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hidden" name="AS GUEMES" sheetId="11" r:id="rId14"/>
    <sheet state="visible" name="LUCERO GUEMES 2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QXlS/JWxCCz2f+wSGH74zdae9T7jA6kE4DtYMQMcpl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j0jPw+YGh6kSRGBmkEZ762Xg4Vag=="/>
    </ext>
  </extLst>
</comments>
</file>

<file path=xl/sharedStrings.xml><?xml version="1.0" encoding="utf-8"?>
<sst xmlns="http://schemas.openxmlformats.org/spreadsheetml/2006/main" count="1756" uniqueCount="415">
  <si>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</si>
  <si>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</si>
  <si>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</si>
  <si>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</si>
  <si>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</si>
  <si>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</si>
  <si>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</si>
  <si>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</si>
  <si>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</si>
  <si>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</si>
  <si>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</si>
  <si>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</si>
  <si>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</si>
  <si>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</si>
  <si>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</si>
  <si>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</si>
  <si>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</si>
  <si>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</si>
  <si>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</si>
  <si>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</si>
  <si>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</si>
  <si>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</si>
  <si>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</si>
  <si>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</si>
  <si>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</si>
  <si>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</si>
  <si>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</si>
  <si>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</si>
  <si>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</si>
  <si>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</si>
  <si>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</si>
  <si>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</si>
  <si>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</si>
  <si>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</si>
  <si>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</si>
  <si>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</si>
  <si>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</si>
  <si>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</si>
  <si>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</si>
  <si>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</si>
  <si>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</si>
  <si>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</si>
  <si>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</si>
  <si>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</si>
  <si>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</si>
  <si>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</si>
  <si>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</si>
  <si>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</si>
  <si>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</si>
  <si>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</si>
  <si>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</si>
  <si>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</si>
  <si>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</si>
  <si>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</si>
  <si>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</si>
  <si>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</si>
  <si>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</si>
  <si>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</si>
  <si>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</si>
  <si>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</si>
  <si>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</si>
  <si>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</si>
  <si>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</si>
  <si>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</si>
  <si>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</si>
  <si>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Sucursal: LUCERO RECOLETA - Vte. Lopez 2050 Loc.214 - Shopping Recoleta Mall - CP C1128ACF</t>
  </si>
  <si>
    <t>pv 00049</t>
  </si>
  <si>
    <t>ABRIL</t>
  </si>
  <si>
    <t>Sucursal: LUCERO FLORIDA - Florida 823 CABA</t>
  </si>
  <si>
    <t>pv 00043</t>
  </si>
  <si>
    <t>Cobrados de más $107,000 x la cajera</t>
  </si>
  <si>
    <t>Sucursal: LUCERO FRENCH - Defensa 1066 (loc 27/29)</t>
  </si>
  <si>
    <t>pv 00045</t>
  </si>
  <si>
    <t>Sucursal: ACCESORIES STORE SAN TELMO - Bolivar 970  (loc 120/121) - CP C1066AAT</t>
  </si>
  <si>
    <t>pv 00041</t>
  </si>
  <si>
    <t>96</t>
  </si>
  <si>
    <t>Sucursal: LUCERO SAN TELMO - Bolivar 970  (loc 92) - CP C1066AAT</t>
  </si>
  <si>
    <t>pv 00050</t>
  </si>
  <si>
    <t>Detalle de Fact B Manual</t>
  </si>
  <si>
    <t>Sucursal: LUCERO SAN TELMO 2 - Bolivar 970  (loc 122)</t>
  </si>
  <si>
    <t>pv 00017</t>
  </si>
  <si>
    <t>Sucursal: LUCERO GUEMES - Florida 159/165 CABA - Caja 1</t>
  </si>
  <si>
    <t>pv 00046</t>
  </si>
  <si>
    <t>Detalle de NOTAS DE CREDITO A</t>
  </si>
  <si>
    <t>Sucursal: LUCERO EL SOLAR - Av.Luis Maria Campos 901 Gond. ES-G209</t>
  </si>
  <si>
    <t>pv 00042</t>
  </si>
  <si>
    <t>Sucursal: ACCESSORIES STORE GUEMES - Florida 159/165 (Góndola 13) CABA</t>
  </si>
  <si>
    <t>pv 00048</t>
  </si>
  <si>
    <t>x</t>
  </si>
  <si>
    <t>Sucursal: LUCERO GUEMES - Florida 159/165 CABA - Góndola 07</t>
  </si>
  <si>
    <t>pv 00047</t>
  </si>
  <si>
    <t>-9.586.024.00</t>
  </si>
  <si>
    <t>Totales de venta neta (c/iva incluido) - 01/2026</t>
  </si>
  <si>
    <t>Formas de pago</t>
  </si>
  <si>
    <t>EL LUCERO</t>
  </si>
  <si>
    <t>Factura B c/iva</t>
  </si>
  <si>
    <t>Fact. A</t>
  </si>
  <si>
    <t>Ticket.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</si>
  <si>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</si>
  <si>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</si>
  <si>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</si>
  <si>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</si>
  <si>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</si>
  <si>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</si>
  <si>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</si>
  <si>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</si>
  <si>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</si>
  <si>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</si>
  <si>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</si>
  <si>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</si>
  <si>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</si>
  <si>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</si>
  <si>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</si>
  <si>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</si>
  <si>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</si>
  <si>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</si>
  <si>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</si>
  <si>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</si>
  <si>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</si>
  <si>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</si>
  <si>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</si>
  <si>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</si>
  <si>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mi</t>
  </si>
  <si>
    <t>1.101.408.08</t>
  </si>
  <si>
    <t>LU FLORIDA C1</t>
  </si>
  <si>
    <t>ju</t>
  </si>
  <si>
    <t>267.177.50</t>
  </si>
  <si>
    <t>LU FLORIDA C2</t>
  </si>
  <si>
    <t>vi</t>
  </si>
  <si>
    <t>LU FRENCH</t>
  </si>
  <si>
    <t>sa</t>
  </si>
  <si>
    <t>65.045.18</t>
  </si>
  <si>
    <t>LU MADERO</t>
  </si>
  <si>
    <t>do</t>
  </si>
  <si>
    <t>LU SAN TELMO</t>
  </si>
  <si>
    <t>lu</t>
  </si>
  <si>
    <t>348.227.22</t>
  </si>
  <si>
    <t>LU CHACO</t>
  </si>
  <si>
    <t>ma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</si>
  <si>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</si>
  <si>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</si>
  <si>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</si>
  <si>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</si>
  <si>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</si>
  <si>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</si>
  <si>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</si>
  <si>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</si>
  <si>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</si>
  <si>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</si>
  <si>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</si>
  <si>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</si>
  <si>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</si>
  <si>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</si>
  <si>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</si>
  <si>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</si>
  <si>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</si>
  <si>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</si>
  <si>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</si>
  <si>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</si>
  <si>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</si>
  <si>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</si>
  <si>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</si>
  <si>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</si>
  <si>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</si>
  <si>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</si>
  <si>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</si>
  <si>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</si>
  <si>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</si>
  <si>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</si>
  <si>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</si>
  <si>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</si>
  <si>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</si>
  <si>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</si>
  <si>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</si>
  <si>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</si>
  <si>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</si>
  <si>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</si>
  <si>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</si>
  <si>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</si>
  <si>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</si>
  <si>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</si>
  <si>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</si>
  <si>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</si>
  <si>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</si>
  <si>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</si>
  <si>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</si>
  <si>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</si>
  <si>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</si>
  <si>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01/03</t>
  </si>
  <si>
    <t>02 al 04/03</t>
  </si>
  <si>
    <t>05 al 08/03</t>
  </si>
  <si>
    <t>09 al 11/03</t>
  </si>
  <si>
    <t>12 al 15/03</t>
  </si>
  <si>
    <t>16 al 18/03</t>
  </si>
  <si>
    <t>19 al 22/03</t>
  </si>
  <si>
    <t>23 al 25/03</t>
  </si>
  <si>
    <t>26 al 29/03</t>
  </si>
  <si>
    <t>30 al 31/03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</si>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</sst>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d&quot;/&quot;mm&quot;/&quot;yyyy"/>
    <numFmt numFmtId="173" formatCode="000000"/>
    <numFmt numFmtId="174" formatCode="0.0%"/>
    <numFmt numFmtId="175" formatCode="&quot;$&quot;#,##0.00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0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sz val="11.0"/>
      <color theme="1"/>
      <name val="Calibri"/>
    </font>
    <font>
      <b/>
      <sz val="14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172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5" numFmtId="4" xfId="0" applyAlignment="1" applyFont="1" applyNumberFormat="1">
      <alignment horizontal="right"/>
    </xf>
    <xf borderId="0" fillId="0" fontId="9" numFmtId="172" xfId="0" applyAlignment="1" applyFont="1" applyNumberFormat="1">
      <alignment horizontal="left"/>
    </xf>
    <xf borderId="0" fillId="0" fontId="5" numFmtId="172" xfId="0" applyAlignment="1" applyFont="1" applyNumberFormat="1">
      <alignment vertical="center"/>
    </xf>
    <xf borderId="0" fillId="14" fontId="5" numFmtId="0" xfId="0" applyAlignment="1" applyFill="1" applyFont="1">
      <alignment vertical="center"/>
    </xf>
    <xf borderId="0" fillId="0" fontId="5" numFmtId="4" xfId="0" applyAlignment="1" applyFont="1" applyNumberFormat="1">
      <alignment vertical="center"/>
    </xf>
    <xf borderId="0" fillId="0" fontId="13" numFmtId="172" xfId="0" applyAlignment="1" applyFont="1" applyNumberFormat="1">
      <alignment horizontal="center"/>
    </xf>
    <xf borderId="1" fillId="2" fontId="8" numFmtId="0" xfId="0" applyAlignment="1" applyBorder="1" applyFont="1">
      <alignment horizontal="center" vertical="center"/>
    </xf>
    <xf borderId="7" fillId="2" fontId="8" numFmtId="172" xfId="0" applyAlignment="1" applyBorder="1" applyFont="1" applyNumberFormat="1">
      <alignment horizontal="center" shrinkToFit="0" vertical="center" wrapText="1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72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9" fontId="3" numFmtId="173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center"/>
    </xf>
    <xf borderId="4" fillId="0" fontId="3" numFmtId="2" xfId="0" applyBorder="1" applyFont="1" applyNumberFormat="1"/>
    <xf borderId="1" fillId="9" fontId="3" numFmtId="173" xfId="0" applyAlignment="1" applyBorder="1" applyFont="1" applyNumberFormat="1">
      <alignment horizontal="center"/>
    </xf>
    <xf borderId="1" fillId="0" fontId="8" numFmtId="172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readingOrder="0"/>
    </xf>
    <xf borderId="1" fillId="0" fontId="16" numFmtId="4" xfId="0" applyAlignment="1" applyBorder="1" applyFont="1" applyNumberFormat="1">
      <alignment readingOrder="0"/>
    </xf>
    <xf borderId="1" fillId="0" fontId="3" numFmtId="173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readingOrder="0"/>
    </xf>
    <xf borderId="4" fillId="0" fontId="3" numFmtId="4" xfId="0" applyBorder="1" applyFont="1" applyNumberFormat="1"/>
    <xf borderId="0" fillId="0" fontId="3" numFmtId="2" xfId="0" applyAlignment="1" applyFont="1" applyNumberFormat="1">
      <alignment horizontal="right" shrinkToFit="0" vertical="bottom" wrapText="0"/>
    </xf>
    <xf borderId="1" fillId="9" fontId="3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right" shrinkToFit="0" vertical="bottom" wrapText="0"/>
    </xf>
    <xf borderId="1" fillId="0" fontId="12" numFmtId="4" xfId="0" applyAlignment="1" applyBorder="1" applyFont="1" applyNumberFormat="1">
      <alignment readingOrder="0"/>
    </xf>
    <xf borderId="0" fillId="0" fontId="3" numFmtId="2" xfId="0" applyAlignment="1" applyFont="1" applyNumberFormat="1">
      <alignment horizontal="right" readingOrder="0" shrinkToFit="0" vertical="bottom" wrapText="0"/>
    </xf>
    <xf borderId="1" fillId="12" fontId="8" numFmtId="172" xfId="0" applyAlignment="1" applyBorder="1" applyFont="1" applyNumberFormat="1">
      <alignment horizontal="center"/>
    </xf>
    <xf borderId="0" fillId="0" fontId="3" numFmtId="172" xfId="0" applyFont="1" applyNumberFormat="1"/>
    <xf borderId="0" fillId="0" fontId="3" numFmtId="173" xfId="0" applyFont="1" applyNumberFormat="1"/>
    <xf borderId="0" fillId="0" fontId="1" numFmtId="173" xfId="0" applyAlignment="1" applyFont="1" applyNumberFormat="1">
      <alignment horizontal="right"/>
    </xf>
    <xf borderId="0" fillId="0" fontId="6" numFmtId="172" xfId="0" applyFont="1" applyNumberFormat="1"/>
    <xf borderId="0" fillId="0" fontId="6" numFmtId="4" xfId="0" applyFont="1" applyNumberFormat="1"/>
    <xf borderId="1" fillId="0" fontId="16" numFmtId="4" xfId="0" applyBorder="1" applyFont="1" applyNumberFormat="1"/>
    <xf borderId="1" fillId="8" fontId="3" numFmtId="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4" fillId="0" fontId="3" numFmtId="173" xfId="0" applyAlignment="1" applyBorder="1" applyFont="1" applyNumberFormat="1">
      <alignment horizontal="right"/>
    </xf>
    <xf borderId="0" fillId="0" fontId="3" numFmtId="0" xfId="0" applyAlignment="1" applyFont="1">
      <alignment readingOrder="0"/>
    </xf>
    <xf borderId="1" fillId="16" fontId="3" numFmtId="4" xfId="0" applyBorder="1" applyFill="1" applyFont="1" applyNumberFormat="1"/>
    <xf borderId="0" fillId="0" fontId="3" numFmtId="173" xfId="0" applyAlignment="1" applyFont="1" applyNumberFormat="1">
      <alignment readingOrder="0"/>
    </xf>
    <xf borderId="1" fillId="14" fontId="16" numFmtId="4" xfId="0" applyAlignment="1" applyBorder="1" applyFont="1" applyNumberFormat="1">
      <alignment readingOrder="0"/>
    </xf>
    <xf borderId="1" fillId="0" fontId="12" numFmtId="4" xfId="0" applyAlignment="1" applyBorder="1" applyFont="1" applyNumberFormat="1">
      <alignment horizontal="right" vertical="bottom"/>
    </xf>
    <xf borderId="1" fillId="9" fontId="16" numFmtId="4" xfId="0" applyAlignment="1" applyBorder="1" applyFont="1" applyNumberFormat="1">
      <alignment vertical="bottom"/>
    </xf>
    <xf borderId="1" fillId="8" fontId="16" numFmtId="4" xfId="0" applyAlignment="1" applyBorder="1" applyFont="1" applyNumberFormat="1">
      <alignment vertical="bottom"/>
    </xf>
    <xf borderId="1" fillId="8" fontId="16" numFmtId="4" xfId="0" applyAlignment="1" applyBorder="1" applyFont="1" applyNumberFormat="1">
      <alignment horizontal="right" vertical="bottom"/>
    </xf>
    <xf borderId="1" fillId="0" fontId="16" numFmtId="4" xfId="0" applyAlignment="1" applyBorder="1" applyFont="1" applyNumberFormat="1">
      <alignment vertical="bottom"/>
    </xf>
    <xf borderId="1" fillId="15" fontId="3" numFmtId="4" xfId="0" applyBorder="1" applyFont="1" applyNumberFormat="1"/>
    <xf borderId="4" fillId="15" fontId="3" numFmtId="4" xfId="0" applyAlignment="1" applyBorder="1" applyFont="1" applyNumberFormat="1">
      <alignment horizontal="right"/>
    </xf>
    <xf borderId="9" fillId="15" fontId="8" numFmtId="4" xfId="0" applyAlignment="1" applyBorder="1" applyFont="1" applyNumberFormat="1">
      <alignment horizontal="right"/>
    </xf>
    <xf borderId="0" fillId="0" fontId="3" numFmtId="0" xfId="0" applyAlignment="1" applyFont="1">
      <alignment horizontal="right" readingOrder="0" shrinkToFit="0" vertical="bottom" wrapText="0"/>
    </xf>
    <xf borderId="1" fillId="0" fontId="3" numFmtId="1" xfId="0" applyAlignment="1" applyBorder="1" applyFont="1" applyNumberFormat="1">
      <alignment horizontal="center"/>
    </xf>
    <xf borderId="1" fillId="14" fontId="12" numFmtId="4" xfId="0" applyBorder="1" applyFont="1" applyNumberFormat="1"/>
    <xf borderId="1" fillId="14" fontId="3" numFmtId="4" xfId="0" applyBorder="1" applyFont="1" applyNumberFormat="1"/>
    <xf borderId="1" fillId="14" fontId="3" numFmtId="4" xfId="0" applyAlignment="1" applyBorder="1" applyFont="1" applyNumberFormat="1">
      <alignment readingOrder="0"/>
    </xf>
    <xf borderId="1" fillId="14" fontId="12" numFmtId="4" xfId="0" applyAlignment="1" applyBorder="1" applyFont="1" applyNumberFormat="1">
      <alignment readingOrder="0"/>
    </xf>
    <xf borderId="1" fillId="5" fontId="3" numFmtId="173" xfId="0" applyAlignment="1" applyBorder="1" applyFont="1" applyNumberFormat="1">
      <alignment horizontal="center"/>
    </xf>
    <xf borderId="1" fillId="4" fontId="3" numFmtId="173" xfId="0" applyAlignment="1" applyBorder="1" applyFont="1" applyNumberFormat="1">
      <alignment horizontal="center"/>
    </xf>
    <xf borderId="0" fillId="0" fontId="17" numFmtId="14" xfId="0" applyAlignment="1" applyFont="1" applyNumberFormat="1">
      <alignment horizontal="center"/>
    </xf>
    <xf borderId="0" fillId="0" fontId="18" numFmtId="0" xfId="0" applyFont="1"/>
    <xf borderId="0" fillId="0" fontId="18" numFmtId="0" xfId="0" applyAlignment="1" applyFont="1">
      <alignment horizontal="center"/>
    </xf>
    <xf borderId="0" fillId="0" fontId="18" numFmtId="2" xfId="0" applyFont="1" applyNumberFormat="1"/>
    <xf borderId="0" fillId="0" fontId="17" numFmtId="2" xfId="0" applyAlignment="1" applyFont="1" applyNumberFormat="1">
      <alignment horizontal="right"/>
    </xf>
    <xf borderId="0" fillId="0" fontId="16" numFmtId="4" xfId="0" applyFont="1" applyNumberFormat="1"/>
    <xf borderId="0" fillId="0" fontId="16" numFmtId="49" xfId="0" applyFont="1" applyNumberFormat="1"/>
    <xf borderId="0" fillId="0" fontId="17" numFmtId="49" xfId="0" applyAlignment="1" applyFont="1" applyNumberFormat="1">
      <alignment horizontal="right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0" xfId="0" applyAlignment="1" applyFont="1">
      <alignment horizontal="left"/>
    </xf>
    <xf borderId="0" fillId="0" fontId="16" numFmtId="0" xfId="0" applyFont="1"/>
    <xf borderId="0" fillId="0" fontId="20" numFmtId="14" xfId="0" applyAlignment="1" applyFont="1" applyNumberFormat="1">
      <alignment horizontal="left"/>
    </xf>
    <xf borderId="0" fillId="0" fontId="20" numFmtId="2" xfId="0" applyAlignment="1" applyFont="1" applyNumberFormat="1">
      <alignment horizontal="right"/>
    </xf>
    <xf borderId="0" fillId="0" fontId="20" numFmtId="49" xfId="0" applyAlignment="1" applyFont="1" applyNumberFormat="1">
      <alignment horizontal="right"/>
    </xf>
    <xf borderId="0" fillId="0" fontId="21" numFmtId="0" xfId="0" applyAlignment="1" applyFont="1">
      <alignment horizontal="left"/>
    </xf>
    <xf borderId="0" fillId="0" fontId="22" numFmtId="0" xfId="0" applyFont="1"/>
    <xf borderId="0" fillId="0" fontId="22" numFmtId="16" xfId="0" applyFont="1" applyNumberFormat="1"/>
    <xf borderId="0" fillId="0" fontId="17" numFmtId="164" xfId="0" applyAlignment="1" applyFont="1" applyNumberFormat="1">
      <alignment horizontal="right"/>
    </xf>
    <xf borderId="0" fillId="0" fontId="23" numFmtId="14" xfId="0" applyAlignment="1" applyFont="1" applyNumberFormat="1">
      <alignment horizontal="left"/>
    </xf>
    <xf borderId="0" fillId="0" fontId="20" numFmtId="0" xfId="0" applyAlignment="1" applyFont="1">
      <alignment horizontal="center"/>
    </xf>
    <xf borderId="0" fillId="0" fontId="23" numFmtId="0" xfId="0" applyFont="1"/>
    <xf borderId="0" fillId="0" fontId="20" numFmtId="14" xfId="0" applyAlignment="1" applyFont="1" applyNumberFormat="1">
      <alignment vertical="center"/>
    </xf>
    <xf borderId="0" fillId="0" fontId="20" numFmtId="0" xfId="0" applyAlignment="1" applyFont="1">
      <alignment vertical="center"/>
    </xf>
    <xf borderId="0" fillId="0" fontId="20" numFmtId="49" xfId="0" applyAlignment="1" applyFont="1" applyNumberFormat="1">
      <alignment vertical="center"/>
    </xf>
    <xf borderId="0" fillId="0" fontId="20" numFmtId="164" xfId="0" applyAlignment="1" applyFont="1" applyNumberFormat="1">
      <alignment vertical="center"/>
    </xf>
    <xf borderId="0" fillId="0" fontId="22" numFmtId="16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4" numFmtId="4" xfId="0" applyAlignment="1" applyFont="1" applyNumberFormat="1">
      <alignment horizontal="center" shrinkToFit="0" wrapText="1"/>
    </xf>
    <xf borderId="0" fillId="0" fontId="24" numFmtId="10" xfId="0" applyAlignment="1" applyFont="1" applyNumberFormat="1">
      <alignment horizontal="right"/>
    </xf>
    <xf borderId="0" fillId="0" fontId="25" numFmtId="0" xfId="0" applyFont="1"/>
    <xf borderId="1" fillId="12" fontId="22" numFmtId="14" xfId="0" applyAlignment="1" applyBorder="1" applyFont="1" applyNumberFormat="1">
      <alignment horizontal="center"/>
    </xf>
    <xf borderId="9" fillId="3" fontId="22" numFmtId="49" xfId="0" applyAlignment="1" applyBorder="1" applyFont="1" applyNumberFormat="1">
      <alignment horizontal="center"/>
    </xf>
    <xf borderId="9" fillId="3" fontId="22" numFmtId="3" xfId="0" applyAlignment="1" applyBorder="1" applyFont="1" applyNumberFormat="1">
      <alignment horizontal="center"/>
    </xf>
    <xf borderId="9" fillId="3" fontId="22" numFmtId="4" xfId="0" applyAlignment="1" applyBorder="1" applyFont="1" applyNumberFormat="1">
      <alignment horizontal="right"/>
    </xf>
    <xf borderId="9" fillId="4" fontId="22" numFmtId="49" xfId="0" applyAlignment="1" applyBorder="1" applyFont="1" applyNumberFormat="1">
      <alignment horizontal="center"/>
    </xf>
    <xf borderId="9" fillId="4" fontId="22" numFmtId="4" xfId="0" applyAlignment="1" applyBorder="1" applyFont="1" applyNumberFormat="1">
      <alignment horizontal="right"/>
    </xf>
    <xf borderId="9" fillId="5" fontId="22" numFmtId="49" xfId="0" applyAlignment="1" applyBorder="1" applyFont="1" applyNumberFormat="1">
      <alignment horizontal="center"/>
    </xf>
    <xf borderId="9" fillId="5" fontId="22" numFmtId="4" xfId="0" applyAlignment="1" applyBorder="1" applyFont="1" applyNumberFormat="1">
      <alignment horizontal="right"/>
    </xf>
    <xf borderId="9" fillId="6" fontId="22" numFmtId="4" xfId="0" applyAlignment="1" applyBorder="1" applyFont="1" applyNumberFormat="1">
      <alignment horizontal="right"/>
    </xf>
    <xf borderId="9" fillId="7" fontId="16" numFmtId="1" xfId="0" applyAlignment="1" applyBorder="1" applyFont="1" applyNumberFormat="1">
      <alignment horizontal="right"/>
    </xf>
    <xf borderId="9" fillId="7" fontId="16" numFmtId="2" xfId="0" applyAlignment="1" applyBorder="1" applyFont="1" applyNumberFormat="1">
      <alignment horizontal="right"/>
    </xf>
    <xf borderId="9" fillId="7" fontId="22" numFmtId="164" xfId="0" applyAlignment="1" applyBorder="1" applyFont="1" applyNumberFormat="1">
      <alignment horizontal="right"/>
    </xf>
    <xf borderId="9" fillId="8" fontId="22" numFmtId="4" xfId="0" applyAlignment="1" applyBorder="1" applyFont="1" applyNumberFormat="1">
      <alignment horizontal="right"/>
    </xf>
    <xf borderId="0" fillId="0" fontId="16" numFmtId="10" xfId="0" applyFont="1" applyNumberFormat="1"/>
    <xf borderId="0" fillId="0" fontId="26" numFmtId="49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26" numFmtId="4" xfId="0" applyAlignment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26" numFmtId="1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26" numFmtId="10" xfId="0" applyAlignment="1" applyFont="1" applyNumberFormat="1">
      <alignment horizontal="center"/>
    </xf>
    <xf borderId="0" fillId="0" fontId="16" numFmtId="1" xfId="0" applyFont="1" applyNumberFormat="1"/>
    <xf borderId="0" fillId="0" fontId="22" numFmtId="164" xfId="0" applyFont="1" applyNumberFormat="1"/>
    <xf borderId="14" fillId="13" fontId="16" numFmtId="4" xfId="0" applyAlignment="1" applyBorder="1" applyFont="1" applyNumberFormat="1">
      <alignment horizontal="center"/>
    </xf>
    <xf borderId="14" fillId="11" fontId="22" numFmtId="0" xfId="0" applyBorder="1" applyFont="1"/>
    <xf borderId="14" fillId="11" fontId="22" numFmtId="4" xfId="0" applyBorder="1" applyFont="1" applyNumberFormat="1"/>
    <xf borderId="15" fillId="0" fontId="22" numFmtId="164" xfId="0" applyBorder="1" applyFont="1" applyNumberFormat="1"/>
    <xf borderId="16" fillId="0" fontId="16" numFmtId="0" xfId="0" applyBorder="1" applyFont="1"/>
    <xf borderId="16" fillId="0" fontId="16" numFmtId="4" xfId="0" applyAlignment="1" applyBorder="1" applyFont="1" applyNumberFormat="1">
      <alignment horizontal="center" shrinkToFit="0" wrapText="1"/>
    </xf>
    <xf borderId="16" fillId="0" fontId="16" numFmtId="0" xfId="0" applyAlignment="1" applyBorder="1" applyFont="1">
      <alignment horizontal="center" shrinkToFit="0" wrapText="1"/>
    </xf>
    <xf borderId="17" fillId="0" fontId="16" numFmtId="0" xfId="0" applyAlignment="1" applyBorder="1" applyFont="1">
      <alignment horizontal="center" shrinkToFit="0" wrapText="1"/>
    </xf>
    <xf borderId="18" fillId="0" fontId="22" numFmtId="164" xfId="0" applyBorder="1" applyFont="1" applyNumberFormat="1"/>
    <xf borderId="19" fillId="0" fontId="16" numFmtId="0" xfId="0" applyAlignment="1" applyBorder="1" applyFont="1">
      <alignment horizontal="right"/>
    </xf>
    <xf borderId="19" fillId="0" fontId="16" numFmtId="170" xfId="0" applyBorder="1" applyFont="1" applyNumberFormat="1"/>
    <xf borderId="20" fillId="0" fontId="16" numFmtId="170" xfId="0" applyBorder="1" applyFont="1" applyNumberFormat="1"/>
    <xf borderId="0" fillId="0" fontId="16" numFmtId="14" xfId="0" applyFont="1" applyNumberFormat="1"/>
    <xf borderId="0" fillId="0" fontId="17" numFmtId="0" xfId="0" applyAlignment="1" applyFont="1">
      <alignment horizontal="center"/>
    </xf>
    <xf borderId="0" fillId="0" fontId="22" numFmtId="165" xfId="0" applyFont="1" applyNumberFormat="1"/>
    <xf borderId="0" fillId="0" fontId="23" numFmtId="0" xfId="0" applyAlignment="1" applyFont="1">
      <alignment horizontal="left"/>
    </xf>
    <xf borderId="0" fillId="0" fontId="17" numFmtId="0" xfId="0" applyAlignment="1" applyFont="1">
      <alignment horizontal="right"/>
    </xf>
    <xf borderId="0" fillId="0" fontId="17" numFmtId="4" xfId="0" applyAlignment="1" applyFont="1" applyNumberFormat="1">
      <alignment horizontal="right"/>
    </xf>
    <xf borderId="0" fillId="0" fontId="20" numFmtId="4" xfId="0" applyAlignment="1" applyFont="1" applyNumberFormat="1">
      <alignment vertical="center"/>
    </xf>
    <xf borderId="9" fillId="4" fontId="22" numFmtId="1" xfId="0" applyAlignment="1" applyBorder="1" applyFont="1" applyNumberFormat="1">
      <alignment horizontal="center"/>
    </xf>
    <xf borderId="9" fillId="10" fontId="16" numFmtId="2" xfId="0" applyAlignment="1" applyBorder="1" applyFont="1" applyNumberFormat="1">
      <alignment horizontal="right"/>
    </xf>
    <xf borderId="0" fillId="0" fontId="26" numFmtId="14" xfId="0" applyAlignment="1" applyFont="1" applyNumberFormat="1">
      <alignment horizontal="center"/>
    </xf>
    <xf borderId="0" fillId="0" fontId="26" numFmtId="3" xfId="0" applyAlignment="1" applyFont="1" applyNumberFormat="1">
      <alignment horizontal="center"/>
    </xf>
    <xf borderId="0" fillId="0" fontId="26" numFmtId="0" xfId="0" applyFont="1"/>
    <xf borderId="0" fillId="0" fontId="26" numFmtId="164" xfId="0" applyAlignment="1" applyFont="1" applyNumberFormat="1">
      <alignment horizontal="center"/>
    </xf>
    <xf borderId="0" fillId="0" fontId="26" numFmtId="2" xfId="0" applyFont="1" applyNumberFormat="1"/>
    <xf borderId="0" fillId="0" fontId="26" numFmtId="2" xfId="0" applyAlignment="1" applyFont="1" applyNumberFormat="1">
      <alignment horizontal="right"/>
    </xf>
    <xf borderId="0" fillId="0" fontId="26" numFmtId="0" xfId="0" applyAlignment="1" applyFont="1">
      <alignment horizontal="right"/>
    </xf>
    <xf borderId="0" fillId="0" fontId="26" numFmtId="4" xfId="0" applyAlignment="1" applyFont="1" applyNumberFormat="1">
      <alignment horizontal="right"/>
    </xf>
    <xf borderId="0" fillId="0" fontId="26" numFmtId="1" xfId="0" applyFont="1" applyNumberFormat="1"/>
    <xf borderId="0" fillId="0" fontId="26" numFmtId="4" xfId="0" applyFont="1" applyNumberFormat="1"/>
    <xf borderId="0" fillId="0" fontId="26" numFmtId="49" xfId="0" applyFont="1" applyNumberFormat="1"/>
    <xf borderId="0" fillId="0" fontId="26" numFmtId="49" xfId="0" applyAlignment="1" applyFont="1" applyNumberFormat="1">
      <alignment horizontal="right"/>
    </xf>
    <xf borderId="0" fillId="0" fontId="26" numFmtId="164" xfId="0" applyFont="1" applyNumberFormat="1"/>
    <xf borderId="14" fillId="13" fontId="16" numFmtId="0" xfId="0" applyBorder="1" applyFont="1"/>
    <xf borderId="0" fillId="0" fontId="25" numFmtId="4" xfId="0" applyFont="1" applyNumberFormat="1"/>
    <xf borderId="0" fillId="0" fontId="16" numFmtId="49" xfId="0" applyAlignment="1" applyFont="1" applyNumberFormat="1">
      <alignment horizontal="center"/>
    </xf>
    <xf borderId="0" fillId="0" fontId="16" numFmtId="0" xfId="0" applyAlignment="1" applyFont="1">
      <alignment horizontal="right"/>
    </xf>
    <xf borderId="0" fillId="0" fontId="16" numFmtId="3" xfId="0" applyFont="1" applyNumberFormat="1"/>
    <xf borderId="0" fillId="0" fontId="16" numFmtId="4" xfId="0" applyAlignment="1" applyFont="1" applyNumberFormat="1">
      <alignment vertical="center"/>
    </xf>
    <xf borderId="0" fillId="0" fontId="16" numFmtId="168" xfId="0" applyAlignment="1" applyFont="1" applyNumberFormat="1">
      <alignment vertical="center"/>
    </xf>
    <xf borderId="0" fillId="0" fontId="16" numFmtId="168" xfId="0" applyFont="1" applyNumberFormat="1"/>
    <xf borderId="19" fillId="0" fontId="22" numFmtId="0" xfId="0" applyBorder="1" applyFont="1"/>
    <xf borderId="19" fillId="0" fontId="16" numFmtId="0" xfId="0" applyBorder="1" applyFont="1"/>
    <xf borderId="19" fillId="0" fontId="16" numFmtId="3" xfId="0" applyBorder="1" applyFont="1" applyNumberFormat="1"/>
    <xf borderId="19" fillId="0" fontId="16" numFmtId="4" xfId="0" applyAlignment="1" applyBorder="1" applyFont="1" applyNumberFormat="1">
      <alignment vertical="center"/>
    </xf>
    <xf borderId="19" fillId="0" fontId="16" numFmtId="168" xfId="0" applyAlignment="1" applyBorder="1" applyFont="1" applyNumberFormat="1">
      <alignment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49" xfId="0" applyAlignment="1" applyBorder="1" applyFont="1" applyNumberFormat="1">
      <alignment horizontal="center" shrinkToFit="0" vertical="center" wrapText="1"/>
    </xf>
    <xf borderId="4" fillId="0" fontId="22" numFmtId="49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11" fillId="0" fontId="22" numFmtId="3" xfId="0" applyAlignment="1" applyBorder="1" applyFont="1" applyNumberFormat="1">
      <alignment horizontal="center" shrinkToFit="0" wrapText="1"/>
    </xf>
    <xf borderId="20" fillId="0" fontId="22" numFmtId="3" xfId="0" applyAlignment="1" applyBorder="1" applyFont="1" applyNumberFormat="1">
      <alignment horizontal="center" shrinkToFit="0" wrapText="1"/>
    </xf>
    <xf borderId="0" fillId="0" fontId="22" numFmtId="1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17" fontId="22" numFmtId="0" xfId="0" applyAlignment="1" applyFill="1" applyFont="1">
      <alignment horizontal="center" shrinkToFit="0" vertical="center" wrapText="1"/>
    </xf>
    <xf borderId="0" fillId="0" fontId="22" numFmtId="4" xfId="0" applyAlignment="1" applyFont="1" applyNumberFormat="1">
      <alignment horizontal="center" shrinkToFit="0" vertical="center" wrapText="1"/>
    </xf>
    <xf borderId="1" fillId="0" fontId="22" numFmtId="4" xfId="0" applyAlignment="1" applyBorder="1" applyFont="1" applyNumberFormat="1">
      <alignment horizontal="center" shrinkToFit="0" vertical="center" wrapText="1"/>
    </xf>
    <xf borderId="1" fillId="0" fontId="22" numFmtId="168" xfId="0" applyAlignment="1" applyBorder="1" applyFont="1" applyNumberForma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wrapText="1"/>
    </xf>
    <xf borderId="1" fillId="0" fontId="16" numFmtId="0" xfId="0" applyBorder="1" applyFont="1"/>
    <xf borderId="1" fillId="0" fontId="16" numFmtId="3" xfId="0" applyBorder="1" applyFont="1" applyNumberFormat="1"/>
    <xf borderId="1" fillId="0" fontId="22" numFmtId="4" xfId="0" applyBorder="1" applyFont="1" applyNumberFormat="1"/>
    <xf borderId="11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right"/>
    </xf>
    <xf borderId="11" fillId="0" fontId="16" numFmtId="174" xfId="0" applyAlignment="1" applyBorder="1" applyFont="1" applyNumberFormat="1">
      <alignment horizontal="right"/>
    </xf>
    <xf borderId="20" fillId="0" fontId="16" numFmtId="174" xfId="0" applyAlignment="1" applyBorder="1" applyFont="1" applyNumberFormat="1">
      <alignment horizontal="right"/>
    </xf>
    <xf borderId="1" fillId="0" fontId="16" numFmtId="4" xfId="0" applyAlignment="1" applyBorder="1" applyFont="1" applyNumberFormat="1">
      <alignment horizontal="right"/>
    </xf>
    <xf borderId="1" fillId="0" fontId="16" numFmtId="49" xfId="0" applyAlignment="1" applyBorder="1" applyFont="1" applyNumberFormat="1">
      <alignment horizontal="right"/>
    </xf>
    <xf borderId="21" fillId="0" fontId="16" numFmtId="49" xfId="0" applyAlignment="1" applyBorder="1" applyFont="1" applyNumberFormat="1">
      <alignment horizontal="right"/>
    </xf>
    <xf borderId="7" fillId="17" fontId="16" numFmtId="3" xfId="0" applyAlignment="1" applyBorder="1" applyFont="1" applyNumberFormat="1">
      <alignment horizontal="right"/>
    </xf>
    <xf borderId="20" fillId="0" fontId="16" numFmtId="3" xfId="0" applyAlignment="1" applyBorder="1" applyFont="1" applyNumberFormat="1">
      <alignment horizontal="right"/>
    </xf>
    <xf borderId="0" fillId="0" fontId="16" numFmtId="4" xfId="0" applyAlignment="1" applyFont="1" applyNumberFormat="1">
      <alignment horizontal="right"/>
    </xf>
    <xf borderId="0" fillId="17" fontId="16" numFmtId="4" xfId="0" applyFont="1" applyNumberFormat="1"/>
    <xf borderId="0" fillId="0" fontId="16" numFmtId="4" xfId="0" applyAlignment="1" applyFont="1" applyNumberFormat="1">
      <alignment horizontal="right" vertical="center"/>
    </xf>
    <xf borderId="1" fillId="8" fontId="16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8" fontId="16" numFmtId="168" xfId="0" applyAlignment="1" applyBorder="1" applyFill="1" applyFont="1" applyNumberFormat="1">
      <alignment horizontal="right" vertical="center"/>
    </xf>
    <xf borderId="0" fillId="0" fontId="16" numFmtId="168" xfId="0" applyAlignment="1" applyFont="1" applyNumberFormat="1">
      <alignment horizontal="right"/>
    </xf>
    <xf borderId="1" fillId="13" fontId="16" numFmtId="4" xfId="0" applyAlignment="1" applyBorder="1" applyFont="1" applyNumberFormat="1">
      <alignment horizontal="right"/>
    </xf>
    <xf borderId="7" fillId="19" fontId="16" numFmtId="3" xfId="0" applyAlignment="1" applyBorder="1" applyFill="1" applyFont="1" applyNumberFormat="1">
      <alignment horizontal="right"/>
    </xf>
    <xf borderId="14" fillId="20" fontId="16" numFmtId="0" xfId="0" applyAlignment="1" applyBorder="1" applyFill="1" applyFont="1">
      <alignment horizontal="right"/>
    </xf>
    <xf borderId="1" fillId="0" fontId="16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16" numFmtId="3" xfId="0" applyAlignment="1" applyBorder="1" applyFont="1" applyNumberFormat="1">
      <alignment horizontal="right"/>
    </xf>
    <xf borderId="1" fillId="9" fontId="16" numFmtId="4" xfId="0" applyAlignment="1" applyBorder="1" applyFont="1" applyNumberFormat="1">
      <alignment horizontal="right" vertical="center"/>
    </xf>
    <xf borderId="1" fillId="21" fontId="16" numFmtId="168" xfId="0" applyAlignment="1" applyBorder="1" applyFill="1" applyFont="1" applyNumberFormat="1">
      <alignment vertical="center"/>
    </xf>
    <xf borderId="1" fillId="22" fontId="16" numFmtId="4" xfId="0" applyAlignment="1" applyBorder="1" applyFill="1" applyFont="1" applyNumberFormat="1">
      <alignment horizontal="right" vertical="center"/>
    </xf>
    <xf borderId="11" fillId="0" fontId="16" numFmtId="3" xfId="0" applyBorder="1" applyFont="1" applyNumberFormat="1"/>
    <xf borderId="20" fillId="0" fontId="16" numFmtId="3" xfId="0" applyBorder="1" applyFont="1" applyNumberFormat="1"/>
    <xf borderId="1" fillId="13" fontId="16" numFmtId="4" xfId="0" applyAlignment="1" applyBorder="1" applyFont="1" applyNumberFormat="1">
      <alignment horizontal="right" vertical="center"/>
    </xf>
    <xf borderId="1" fillId="0" fontId="16" numFmtId="168" xfId="0" applyAlignment="1" applyBorder="1" applyFont="1" applyNumberFormat="1">
      <alignment horizontal="right" vertical="center"/>
    </xf>
    <xf borderId="11" fillId="0" fontId="16" numFmtId="4" xfId="0" applyAlignment="1" applyBorder="1" applyFont="1" applyNumberFormat="1">
      <alignment horizontal="right"/>
    </xf>
    <xf borderId="20" fillId="0" fontId="16" numFmtId="4" xfId="0" applyAlignment="1" applyBorder="1" applyFont="1" applyNumberFormat="1">
      <alignment horizontal="right"/>
    </xf>
    <xf borderId="1" fillId="0" fontId="16" numFmtId="168" xfId="0" applyAlignment="1" applyBorder="1" applyFont="1" applyNumberFormat="1">
      <alignment horizontal="right"/>
    </xf>
    <xf borderId="11" fillId="0" fontId="16" numFmtId="4" xfId="0" applyAlignment="1" applyBorder="1" applyFont="1" applyNumberFormat="1">
      <alignment horizontal="right" vertical="center"/>
    </xf>
    <xf borderId="21" fillId="0" fontId="16" numFmtId="168" xfId="0" applyAlignment="1" applyBorder="1" applyFont="1" applyNumberFormat="1">
      <alignment vertical="center"/>
    </xf>
    <xf borderId="1" fillId="0" fontId="8" numFmtId="4" xfId="0" applyBorder="1" applyFont="1" applyNumberFormat="1"/>
    <xf borderId="1" fillId="0" fontId="16" numFmtId="3" xfId="0" applyAlignment="1" applyBorder="1" applyFont="1" applyNumberFormat="1">
      <alignment horizontal="center"/>
    </xf>
    <xf borderId="0" fillId="0" fontId="22" numFmtId="4" xfId="0" applyAlignment="1" applyFont="1" applyNumberFormat="1">
      <alignment horizontal="right" vertical="center"/>
    </xf>
    <xf borderId="11" fillId="0" fontId="22" numFmtId="4" xfId="0" applyAlignment="1" applyBorder="1" applyFont="1" applyNumberFormat="1">
      <alignment horizontal="right" vertical="center"/>
    </xf>
    <xf borderId="0" fillId="0" fontId="16" numFmtId="0" xfId="0" applyAlignment="1" applyFont="1">
      <alignment vertical="center"/>
    </xf>
    <xf borderId="20" fillId="0" fontId="22" numFmtId="4" xfId="0" applyAlignment="1" applyBorder="1" applyFont="1" applyNumberFormat="1">
      <alignment horizontal="center"/>
    </xf>
    <xf borderId="1" fillId="0" fontId="22" numFmtId="174" xfId="0" applyAlignment="1" applyBorder="1" applyFont="1" applyNumberFormat="1">
      <alignment horizontal="right"/>
    </xf>
    <xf borderId="4" fillId="0" fontId="22" numFmtId="174" xfId="0" applyAlignment="1" applyBorder="1" applyFont="1" applyNumberFormat="1">
      <alignment horizontal="right"/>
    </xf>
    <xf borderId="1" fillId="0" fontId="22" numFmtId="3" xfId="0" applyAlignment="1" applyBorder="1" applyFont="1" applyNumberFormat="1">
      <alignment horizontal="center"/>
    </xf>
    <xf borderId="11" fillId="0" fontId="22" numFmtId="3" xfId="0" applyAlignment="1" applyBorder="1" applyFont="1" applyNumberFormat="1">
      <alignment horizontal="right"/>
    </xf>
    <xf borderId="0" fillId="0" fontId="16" numFmtId="3" xfId="0" applyAlignment="1" applyFont="1" applyNumberFormat="1">
      <alignment horizontal="center"/>
    </xf>
    <xf borderId="11" fillId="0" fontId="22" numFmtId="4" xfId="0" applyAlignment="1" applyBorder="1" applyFont="1" applyNumberFormat="1">
      <alignment horizontal="center" shrinkToFit="0" vertical="center" wrapText="1"/>
    </xf>
    <xf borderId="11" fillId="0" fontId="22" numFmtId="168" xfId="0" applyAlignment="1" applyBorder="1" applyFont="1" applyNumberFormat="1">
      <alignment horizontal="center" shrinkToFit="0" vertical="center" wrapText="1"/>
    </xf>
    <xf borderId="19" fillId="0" fontId="16" numFmtId="3" xfId="0" applyAlignment="1" applyBorder="1" applyFont="1" applyNumberFormat="1">
      <alignment horizontal="center"/>
    </xf>
    <xf borderId="19" fillId="0" fontId="16" numFmtId="49" xfId="0" applyBorder="1" applyFont="1" applyNumberFormat="1"/>
    <xf borderId="11" fillId="0" fontId="16" numFmtId="168" xfId="0" applyAlignment="1" applyBorder="1" applyFont="1" applyNumberFormat="1">
      <alignment horizontal="right" vertical="center"/>
    </xf>
    <xf borderId="1" fillId="0" fontId="22" numFmtId="0" xfId="0" applyAlignment="1" applyBorder="1" applyFont="1">
      <alignment horizontal="center" vertical="center"/>
    </xf>
    <xf borderId="1" fillId="0" fontId="22" numFmtId="3" xfId="0" applyAlignment="1" applyBorder="1" applyFont="1" applyNumberFormat="1">
      <alignment horizontal="center" vertical="center"/>
    </xf>
    <xf borderId="1" fillId="0" fontId="22" numFmtId="4" xfId="0" applyAlignment="1" applyBorder="1" applyFont="1" applyNumberFormat="1">
      <alignment horizontal="center" vertical="center"/>
    </xf>
    <xf borderId="11" fillId="0" fontId="22" numFmtId="3" xfId="0" applyAlignment="1" applyBorder="1" applyFont="1" applyNumberFormat="1">
      <alignment horizontal="center" vertical="center"/>
    </xf>
    <xf borderId="20" fillId="0" fontId="22" numFmtId="3" xfId="0" applyAlignment="1" applyBorder="1" applyFont="1" applyNumberFormat="1">
      <alignment horizontal="center" vertical="center"/>
    </xf>
    <xf borderId="21" fillId="0" fontId="16" numFmtId="0" xfId="0" applyAlignment="1" applyBorder="1" applyFont="1">
      <alignment horizontal="right"/>
    </xf>
    <xf borderId="11" fillId="18" fontId="16" numFmtId="168" xfId="0" applyAlignment="1" applyBorder="1" applyFont="1" applyNumberFormat="1">
      <alignment horizontal="right" vertical="center"/>
    </xf>
    <xf borderId="7" fillId="23" fontId="16" numFmtId="3" xfId="0" applyAlignment="1" applyBorder="1" applyFill="1" applyFont="1" applyNumberFormat="1">
      <alignment horizontal="right"/>
    </xf>
    <xf borderId="1" fillId="0" fontId="22" numFmtId="4" xfId="0" applyAlignment="1" applyBorder="1" applyFont="1" applyNumberFormat="1">
      <alignment horizontal="right" vertical="center"/>
    </xf>
    <xf borderId="0" fillId="0" fontId="22" numFmtId="4" xfId="0" applyFont="1" applyNumberFormat="1"/>
    <xf borderId="19" fillId="0" fontId="16" numFmtId="174" xfId="0" applyBorder="1" applyFont="1" applyNumberFormat="1"/>
    <xf borderId="1" fillId="0" fontId="22" numFmtId="3" xfId="0" applyBorder="1" applyFont="1" applyNumberFormat="1"/>
    <xf borderId="4" fillId="0" fontId="22" numFmtId="3" xfId="0" applyAlignment="1" applyBorder="1" applyFont="1" applyNumberFormat="1">
      <alignment horizontal="center"/>
    </xf>
    <xf borderId="4" fillId="0" fontId="22" numFmtId="3" xfId="0" applyAlignment="1" applyBorder="1" applyFont="1" applyNumberFormat="1">
      <alignment horizontal="right"/>
    </xf>
    <xf borderId="1" fillId="0" fontId="22" numFmtId="4" xfId="0" applyAlignment="1" applyBorder="1" applyFont="1" applyNumberFormat="1">
      <alignment horizontal="right"/>
    </xf>
    <xf borderId="1" fillId="0" fontId="16" numFmtId="4" xfId="0" applyAlignment="1" applyBorder="1" applyFont="1" applyNumberFormat="1">
      <alignment vertical="center"/>
    </xf>
    <xf borderId="11" fillId="0" fontId="16" numFmtId="168" xfId="0" applyAlignment="1" applyBorder="1" applyFont="1" applyNumberFormat="1">
      <alignment vertical="center"/>
    </xf>
    <xf borderId="1" fillId="0" fontId="22" numFmtId="3" xfId="0" applyAlignment="1" applyBorder="1" applyFont="1" applyNumberFormat="1">
      <alignment horizontal="right"/>
    </xf>
    <xf borderId="1" fillId="0" fontId="16" numFmtId="174" xfId="0" applyAlignment="1" applyBorder="1" applyFont="1" applyNumberFormat="1">
      <alignment horizontal="right"/>
    </xf>
    <xf borderId="1" fillId="0" fontId="16" numFmtId="10" xfId="0" applyAlignment="1" applyBorder="1" applyFont="1" applyNumberFormat="1">
      <alignment horizontal="right"/>
    </xf>
    <xf borderId="1" fillId="9" fontId="22" numFmtId="4" xfId="0" applyAlignment="1" applyBorder="1" applyFont="1" applyNumberFormat="1">
      <alignment horizontal="right" vertical="center"/>
    </xf>
    <xf borderId="19" fillId="0" fontId="22" numFmtId="4" xfId="0" applyAlignment="1" applyBorder="1" applyFont="1" applyNumberFormat="1">
      <alignment horizontal="right" vertical="center"/>
    </xf>
    <xf borderId="1" fillId="20" fontId="22" numFmtId="4" xfId="0" applyBorder="1" applyFont="1" applyNumberFormat="1"/>
    <xf borderId="4" fillId="0" fontId="22" numFmtId="4" xfId="0" applyAlignment="1" applyBorder="1" applyFont="1" applyNumberFormat="1">
      <alignment horizontal="center" shrinkToFit="0" vertical="center" wrapText="1"/>
    </xf>
    <xf borderId="4" fillId="0" fontId="22" numFmtId="168" xfId="0" applyAlignment="1" applyBorder="1" applyFont="1" applyNumberFormat="1">
      <alignment horizontal="center" shrinkToFit="0" vertical="center" wrapText="1"/>
    </xf>
    <xf borderId="1" fillId="0" fontId="22" numFmtId="10" xfId="0" applyAlignment="1" applyBorder="1" applyFont="1" applyNumberFormat="1">
      <alignment horizontal="right"/>
    </xf>
    <xf borderId="20" fillId="0" fontId="16" numFmtId="4" xfId="0" applyAlignment="1" applyBorder="1" applyFont="1" applyNumberFormat="1">
      <alignment horizontal="right" vertical="center"/>
    </xf>
    <xf borderId="20" fillId="0" fontId="16" numFmtId="168" xfId="0" applyAlignment="1" applyBorder="1" applyFont="1" applyNumberFormat="1">
      <alignment horizontal="right" vertical="center"/>
    </xf>
    <xf borderId="0" fillId="0" fontId="16" numFmtId="3" xfId="0" applyAlignment="1" applyFont="1" applyNumberFormat="1">
      <alignment horizontal="right"/>
    </xf>
    <xf borderId="0" fillId="0" fontId="16" numFmtId="170" xfId="0" applyAlignment="1" applyFont="1" applyNumberFormat="1">
      <alignment horizontal="right"/>
    </xf>
    <xf borderId="20" fillId="0" fontId="16" numFmtId="168" xfId="0" applyAlignment="1" applyBorder="1" applyFont="1" applyNumberFormat="1">
      <alignment horizontal="right"/>
    </xf>
    <xf borderId="0" fillId="0" fontId="16" numFmtId="0" xfId="0" applyAlignment="1" applyFont="1">
      <alignment vertical="bottom"/>
    </xf>
    <xf borderId="0" fillId="0" fontId="16" numFmtId="10" xfId="0" applyAlignment="1" applyFont="1" applyNumberFormat="1">
      <alignment horizontal="right"/>
    </xf>
    <xf borderId="0" fillId="0" fontId="22" numFmtId="3" xfId="0" applyFont="1" applyNumberFormat="1"/>
    <xf borderId="0" fillId="17" fontId="22" numFmtId="3" xfId="0" applyFont="1" applyNumberFormat="1"/>
    <xf borderId="11" fillId="15" fontId="16" numFmtId="4" xfId="0" applyAlignment="1" applyBorder="1" applyFont="1" applyNumberFormat="1">
      <alignment horizontal="right"/>
    </xf>
    <xf borderId="20" fillId="15" fontId="16" numFmtId="4" xfId="0" applyAlignment="1" applyBorder="1" applyFont="1" applyNumberFormat="1">
      <alignment horizontal="right"/>
    </xf>
    <xf borderId="20" fillId="15" fontId="16" numFmtId="168" xfId="0" applyAlignment="1" applyBorder="1" applyFont="1" applyNumberFormat="1">
      <alignment horizontal="right"/>
    </xf>
    <xf borderId="0" fillId="0" fontId="25" numFmtId="10" xfId="0" applyFont="1" applyNumberFormat="1"/>
    <xf borderId="20" fillId="0" fontId="16" numFmtId="4" xfId="0" applyBorder="1" applyFont="1" applyNumberFormat="1"/>
    <xf borderId="0" fillId="0" fontId="16" numFmtId="175" xfId="0" applyFont="1" applyNumberFormat="1"/>
    <xf borderId="0" fillId="0" fontId="22" numFmtId="4" xfId="0" applyAlignment="1" applyFont="1" applyNumberFormat="1">
      <alignment vertical="center"/>
    </xf>
    <xf borderId="0" fillId="0" fontId="16" numFmtId="4" xfId="0" applyAlignment="1" applyFont="1" applyNumberFormat="1">
      <alignment vertical="bottom"/>
    </xf>
    <xf borderId="0" fillId="0" fontId="16" numFmtId="168" xfId="0" applyAlignment="1" applyFont="1" applyNumberFormat="1">
      <alignment vertical="bottom"/>
    </xf>
    <xf borderId="0" fillId="0" fontId="22" numFmtId="170" xfId="0" applyAlignment="1" applyFont="1" applyNumberFormat="1">
      <alignment horizontal="right"/>
    </xf>
    <xf borderId="22" fillId="24" fontId="22" numFmtId="4" xfId="0" applyBorder="1" applyFill="1" applyFont="1" applyNumberFormat="1"/>
    <xf borderId="13" fillId="24" fontId="22" numFmtId="4" xfId="0" applyAlignment="1" applyBorder="1" applyFont="1" applyNumberFormat="1">
      <alignment horizontal="right"/>
    </xf>
    <xf borderId="0" fillId="9" fontId="28" numFmtId="172" xfId="0" applyAlignment="1" applyFont="1" applyNumberFormat="1">
      <alignment horizontal="center"/>
    </xf>
    <xf borderId="0" fillId="9" fontId="16" numFmtId="172" xfId="0" applyAlignment="1" applyFont="1" applyNumberFormat="1">
      <alignment horizontal="center"/>
    </xf>
    <xf borderId="23" fillId="9" fontId="16" numFmtId="172" xfId="0" applyAlignment="1" applyBorder="1" applyFont="1" applyNumberFormat="1">
      <alignment horizontal="center"/>
    </xf>
    <xf borderId="23" fillId="25" fontId="22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6" fontId="22" numFmtId="0" xfId="0" applyAlignment="1" applyBorder="1" applyFill="1" applyFont="1">
      <alignment horizontal="center"/>
    </xf>
    <xf borderId="23" fillId="27" fontId="22" numFmtId="0" xfId="0" applyAlignment="1" applyBorder="1" applyFill="1" applyFont="1">
      <alignment horizontal="center"/>
    </xf>
    <xf borderId="23" fillId="9" fontId="22" numFmtId="172" xfId="0" applyAlignment="1" applyBorder="1" applyFont="1" applyNumberForma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27" fillId="0" fontId="22" numFmtId="0" xfId="0" applyAlignment="1" applyBorder="1" applyFon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horizontal="center" shrinkToFit="0" vertical="center" wrapText="1"/>
    </xf>
    <xf borderId="30" fillId="0" fontId="22" numFmtId="0" xfId="0" applyAlignment="1" applyBorder="1" applyFont="1">
      <alignment horizontal="center" shrinkToFit="0" vertical="center" wrapText="1"/>
    </xf>
    <xf borderId="31" fillId="28" fontId="16" numFmtId="172" xfId="0" applyAlignment="1" applyBorder="1" applyFill="1" applyFont="1" applyNumberFormat="1">
      <alignment horizontal="center"/>
    </xf>
    <xf borderId="32" fillId="0" fontId="16" numFmtId="176" xfId="0" applyBorder="1" applyFont="1" applyNumberFormat="1"/>
    <xf borderId="1" fillId="14" fontId="16" numFmtId="176" xfId="0" applyAlignment="1" applyBorder="1" applyFont="1" applyNumberFormat="1">
      <alignment horizontal="right"/>
    </xf>
    <xf borderId="1" fillId="14" fontId="16" numFmtId="176" xfId="0" applyBorder="1" applyFont="1" applyNumberFormat="1"/>
    <xf borderId="5" fillId="14" fontId="16" numFmtId="176" xfId="0" applyBorder="1" applyFont="1" applyNumberFormat="1"/>
    <xf borderId="33" fillId="14" fontId="16" numFmtId="176" xfId="0" applyBorder="1" applyFont="1" applyNumberFormat="1"/>
    <xf borderId="32" fillId="14" fontId="16" numFmtId="176" xfId="0" applyBorder="1" applyFont="1" applyNumberFormat="1"/>
    <xf borderId="1" fillId="24" fontId="16" numFmtId="176" xfId="0" applyAlignment="1" applyBorder="1" applyFont="1" applyNumberFormat="1">
      <alignment horizontal="right"/>
    </xf>
    <xf borderId="31" fillId="24" fontId="16" numFmtId="172" xfId="0" applyAlignment="1" applyBorder="1" applyFont="1" applyNumberFormat="1">
      <alignment horizontal="center"/>
    </xf>
    <xf borderId="31" fillId="29" fontId="16" numFmtId="172" xfId="0" applyAlignment="1" applyBorder="1" applyFill="1" applyFont="1" applyNumberFormat="1">
      <alignment horizontal="center"/>
    </xf>
    <xf borderId="1" fillId="13" fontId="16" numFmtId="176" xfId="0" applyAlignment="1" applyBorder="1" applyFont="1" applyNumberFormat="1">
      <alignment horizontal="right"/>
    </xf>
    <xf borderId="31" fillId="13" fontId="16" numFmtId="172" xfId="0" applyAlignment="1" applyBorder="1" applyFont="1" applyNumberFormat="1">
      <alignment horizontal="center"/>
    </xf>
    <xf borderId="0" fillId="0" fontId="16" numFmtId="176" xfId="0" applyFont="1" applyNumberFormat="1"/>
    <xf borderId="1" fillId="9" fontId="16" numFmtId="0" xfId="0" applyAlignment="1" applyBorder="1" applyFont="1">
      <alignment horizontal="center"/>
    </xf>
    <xf borderId="4" fillId="0" fontId="16" numFmtId="176" xfId="0" applyBorder="1" applyFont="1" applyNumberFormat="1"/>
    <xf borderId="23" fillId="9" fontId="22" numFmtId="172" xfId="0" applyAlignment="1" applyBorder="1" applyFont="1" applyNumberFormat="1">
      <alignment horizontal="center" vertical="center"/>
    </xf>
    <xf borderId="11" fillId="9" fontId="22" numFmtId="177" xfId="0" applyAlignment="1" applyBorder="1" applyFont="1" applyNumberFormat="1">
      <alignment horizontal="center"/>
    </xf>
    <xf borderId="11" fillId="0" fontId="3" numFmtId="176" xfId="0" applyBorder="1" applyFont="1" applyNumberFormat="1"/>
    <xf borderId="0" fillId="0" fontId="16" numFmtId="171" xfId="0" applyFont="1" applyNumberFormat="1"/>
    <xf borderId="15" fillId="0" fontId="16" numFmtId="0" xfId="0" applyBorder="1" applyFont="1"/>
    <xf borderId="16" fillId="0" fontId="16" numFmtId="171" xfId="0" applyBorder="1" applyFont="1" applyNumberFormat="1"/>
    <xf borderId="16" fillId="0" fontId="22" numFmtId="168" xfId="0" applyBorder="1" applyFont="1" applyNumberFormat="1"/>
    <xf borderId="17" fillId="0" fontId="16" numFmtId="0" xfId="0" applyBorder="1" applyFont="1"/>
    <xf borderId="1" fillId="9" fontId="22" numFmtId="172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0" fillId="20" fontId="16" numFmtId="0" xfId="0" applyAlignment="1" applyFont="1">
      <alignment readingOrder="0"/>
    </xf>
    <xf borderId="21" fillId="0" fontId="16" numFmtId="0" xfId="0" applyBorder="1" applyFont="1"/>
    <xf borderId="0" fillId="7" fontId="16" numFmtId="0" xfId="0" applyFont="1"/>
    <xf borderId="34" fillId="0" fontId="16" numFmtId="0" xfId="0" applyBorder="1" applyFont="1"/>
    <xf borderId="1" fillId="9" fontId="22" numFmtId="172" xfId="0" applyAlignment="1" applyBorder="1" applyFont="1" applyNumberFormat="1">
      <alignment horizontal="center" readingOrder="0"/>
    </xf>
    <xf borderId="11" fillId="0" fontId="8" numFmtId="176" xfId="0" applyBorder="1" applyFont="1" applyNumberFormat="1"/>
    <xf borderId="0" fillId="30" fontId="16" numFmtId="0" xfId="0" applyAlignment="1" applyFill="1" applyFont="1">
      <alignment readingOrder="0"/>
    </xf>
    <xf borderId="0" fillId="30" fontId="16" numFmtId="0" xfId="0" applyFont="1"/>
    <xf borderId="1" fillId="0" fontId="22" numFmtId="0" xfId="0" applyBorder="1" applyFont="1"/>
    <xf borderId="0" fillId="31" fontId="22" numFmtId="4" xfId="0" applyFill="1" applyFont="1" applyNumberFormat="1"/>
    <xf borderId="0" fillId="31" fontId="22" numFmtId="0" xfId="0" applyFont="1"/>
    <xf borderId="0" fillId="0" fontId="22" numFmtId="176" xfId="0" applyFont="1" applyNumberFormat="1"/>
    <xf borderId="0" fillId="0" fontId="29" numFmtId="176" xfId="0" applyFont="1" applyNumberFormat="1"/>
    <xf borderId="15" fillId="0" fontId="16" numFmtId="171" xfId="0" applyBorder="1" applyFont="1" applyNumberFormat="1"/>
    <xf borderId="16" fillId="0" fontId="22" numFmtId="176" xfId="0" applyBorder="1" applyFont="1" applyNumberFormat="1"/>
    <xf borderId="17" fillId="0" fontId="16" numFmtId="176" xfId="0" applyBorder="1" applyFont="1" applyNumberFormat="1"/>
    <xf borderId="0" fillId="13" fontId="16" numFmtId="0" xfId="0" applyFont="1"/>
    <xf borderId="0" fillId="0" fontId="30" numFmtId="176" xfId="0" applyFont="1" applyNumberFormat="1"/>
    <xf borderId="18" fillId="0" fontId="16" numFmtId="171" xfId="0" applyBorder="1" applyFont="1" applyNumberFormat="1"/>
    <xf borderId="20" fillId="0" fontId="16" numFmtId="0" xfId="0" applyBorder="1" applyFont="1"/>
    <xf borderId="18" fillId="0" fontId="16" numFmtId="0" xfId="0" applyBorder="1" applyFont="1"/>
    <xf borderId="0" fillId="0" fontId="12" numFmtId="176" xfId="0" applyFont="1" applyNumberFormat="1"/>
    <xf borderId="0" fillId="0" fontId="22" numFmtId="171" xfId="0" applyFont="1" applyNumberFormat="1"/>
    <xf borderId="0" fillId="9" fontId="25" numFmtId="172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14" fillId="10" fontId="20" numFmtId="0" xfId="0" applyBorder="1" applyFont="1"/>
    <xf borderId="0" fillId="0" fontId="18" numFmtId="0" xfId="0" applyAlignment="1" applyFont="1">
      <alignment horizontal="right"/>
    </xf>
    <xf borderId="0" fillId="0" fontId="18" numFmtId="0" xfId="0" applyAlignment="1" applyFont="1">
      <alignment horizontal="left"/>
    </xf>
    <xf borderId="14" fillId="10" fontId="16" numFmtId="4" xfId="0" applyBorder="1" applyFont="1" applyNumberFormat="1"/>
    <xf borderId="1" fillId="2" fontId="22" numFmtId="49" xfId="0" applyAlignment="1" applyBorder="1" applyFont="1" applyNumberFormat="1">
      <alignment horizontal="center" vertical="center"/>
    </xf>
    <xf borderId="2" fillId="3" fontId="22" numFmtId="166" xfId="0" applyAlignment="1" applyBorder="1" applyFont="1" applyNumberFormat="1">
      <alignment horizontal="center" shrinkToFit="0" vertical="center" wrapText="1"/>
    </xf>
    <xf borderId="5" fillId="4" fontId="22" numFmtId="166" xfId="0" applyAlignment="1" applyBorder="1" applyFont="1" applyNumberFormat="1">
      <alignment horizontal="center" shrinkToFit="0" vertical="center" wrapText="1"/>
    </xf>
    <xf borderId="5" fillId="5" fontId="22" numFmtId="166" xfId="0" applyAlignment="1" applyBorder="1" applyFont="1" applyNumberFormat="1">
      <alignment horizontal="center" shrinkToFit="0" vertical="center" wrapText="1"/>
    </xf>
    <xf borderId="5" fillId="4" fontId="22" numFmtId="49" xfId="0" applyAlignment="1" applyBorder="1" applyFont="1" applyNumberFormat="1">
      <alignment horizontal="center" shrinkToFit="0" vertical="center" wrapText="1"/>
    </xf>
    <xf borderId="6" fillId="6" fontId="22" numFmtId="166" xfId="0" applyAlignment="1" applyBorder="1" applyFont="1" applyNumberFormat="1">
      <alignment horizontal="center" shrinkToFit="0" vertical="center" wrapText="1"/>
    </xf>
    <xf borderId="5" fillId="7" fontId="22" numFmtId="166" xfId="0" applyAlignment="1" applyBorder="1" applyFont="1" applyNumberFormat="1">
      <alignment horizontal="center" shrinkToFit="0" vertical="center" wrapText="1"/>
    </xf>
    <xf borderId="6" fillId="7" fontId="22" numFmtId="167" xfId="0" applyAlignment="1" applyBorder="1" applyFont="1" applyNumberFormat="1">
      <alignment horizontal="center" shrinkToFit="0" vertical="center" wrapText="1"/>
    </xf>
    <xf borderId="2" fillId="8" fontId="22" numFmtId="4" xfId="0" applyAlignment="1" applyBorder="1" applyFont="1" applyNumberFormat="1">
      <alignment horizontal="center" vertical="center"/>
    </xf>
    <xf borderId="14" fillId="8" fontId="22" numFmtId="4" xfId="0" applyAlignment="1" applyBorder="1" applyFont="1" applyNumberFormat="1">
      <alignment horizontal="center" vertical="center"/>
    </xf>
    <xf borderId="7" fillId="2" fontId="22" numFmtId="14" xfId="0" applyAlignment="1" applyBorder="1" applyFont="1" applyNumberForma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1" fillId="3" fontId="22" numFmtId="166" xfId="0" applyAlignment="1" applyBorder="1" applyFont="1" applyNumberFormat="1">
      <alignment horizontal="center" shrinkToFit="0" vertical="center" wrapText="1"/>
    </xf>
    <xf borderId="8" fillId="3" fontId="22" numFmtId="166" xfId="0" applyAlignment="1" applyBorder="1" applyFont="1" applyNumberFormat="1">
      <alignment horizontal="center" shrinkToFit="0" vertical="center" wrapText="1"/>
    </xf>
    <xf borderId="1" fillId="3" fontId="22" numFmtId="2" xfId="0" applyAlignment="1" applyBorder="1" applyFont="1" applyNumberFormat="1">
      <alignment horizontal="center" shrinkToFit="0" vertical="center" wrapText="1"/>
    </xf>
    <xf borderId="9" fillId="3" fontId="22" numFmtId="2" xfId="0" applyAlignment="1" applyBorder="1" applyFont="1" applyNumberFormat="1">
      <alignment horizontal="center" shrinkToFit="0" vertical="center" wrapText="1"/>
    </xf>
    <xf borderId="9" fillId="4" fontId="22" numFmtId="2" xfId="0" applyAlignment="1" applyBorder="1" applyFont="1" applyNumberFormat="1">
      <alignment horizontal="center" shrinkToFit="0" vertical="center" wrapText="1"/>
    </xf>
    <xf borderId="1" fillId="4" fontId="22" numFmtId="2" xfId="0" applyAlignment="1" applyBorder="1" applyFont="1" applyNumberFormat="1">
      <alignment horizontal="center" shrinkToFit="0" vertical="center" wrapText="1"/>
    </xf>
    <xf borderId="9" fillId="5" fontId="22" numFmtId="2" xfId="0" applyAlignment="1" applyBorder="1" applyFont="1" applyNumberFormat="1">
      <alignment horizontal="center" shrinkToFit="0" vertical="center" wrapText="1"/>
    </xf>
    <xf borderId="1" fillId="5" fontId="22" numFmtId="2" xfId="0" applyAlignment="1" applyBorder="1" applyFont="1" applyNumberFormat="1">
      <alignment horizontal="center" shrinkToFit="0" vertical="center" wrapText="1"/>
    </xf>
    <xf borderId="9" fillId="4" fontId="22" numFmtId="49" xfId="0" applyAlignment="1" applyBorder="1" applyFont="1" applyNumberFormat="1">
      <alignment horizontal="center" shrinkToFit="0" vertical="center" wrapText="1"/>
    </xf>
    <xf borderId="10" fillId="4" fontId="22" numFmtId="2" xfId="0" applyAlignment="1" applyBorder="1" applyFont="1" applyNumberFormat="1">
      <alignment horizontal="center" shrinkToFit="0" vertical="center" wrapText="1"/>
    </xf>
    <xf borderId="1" fillId="7" fontId="22" numFmtId="0" xfId="0" applyAlignment="1" applyBorder="1" applyFont="1">
      <alignment horizontal="center" shrinkToFit="0" vertical="center" wrapText="1"/>
    </xf>
    <xf borderId="1" fillId="7" fontId="22" numFmtId="0" xfId="0" applyAlignment="1" applyBorder="1" applyFont="1">
      <alignment horizontal="center" vertical="center"/>
    </xf>
    <xf borderId="5" fillId="7" fontId="22" numFmtId="4" xfId="0" applyAlignment="1" applyBorder="1" applyFont="1" applyNumberFormat="1">
      <alignment horizontal="center" shrinkToFit="0" vertical="center" wrapText="1"/>
    </xf>
    <xf borderId="8" fillId="7" fontId="22" numFmtId="164" xfId="0" applyAlignment="1" applyBorder="1" applyFont="1" applyNumberFormat="1">
      <alignment horizontal="center" shrinkToFit="0" vertical="center" wrapText="1"/>
    </xf>
    <xf borderId="9" fillId="8" fontId="22" numFmtId="4" xfId="0" applyAlignment="1" applyBorder="1" applyFont="1" applyNumberFormat="1">
      <alignment horizontal="center" shrinkToFit="0" vertical="center" wrapText="1"/>
    </xf>
    <xf borderId="12" fillId="8" fontId="22" numFmtId="4" xfId="0" applyAlignment="1" applyBorder="1" applyFont="1" applyNumberFormat="1">
      <alignment horizontal="center" shrinkToFit="0" vertical="center" wrapText="1"/>
    </xf>
    <xf borderId="1" fillId="8" fontId="22" numFmtId="4" xfId="0" applyAlignment="1" applyBorder="1" applyFont="1" applyNumberFormat="1">
      <alignment horizontal="center" shrinkToFit="0" vertical="center" wrapText="1"/>
    </xf>
    <xf borderId="5" fillId="8" fontId="22" numFmtId="4" xfId="0" applyAlignment="1" applyBorder="1" applyFont="1" applyNumberFormat="1">
      <alignment horizontal="center" shrinkToFit="0" vertical="center" wrapText="1"/>
    </xf>
    <xf borderId="1" fillId="8" fontId="22" numFmtId="2" xfId="0" applyAlignment="1" applyBorder="1" applyFont="1" applyNumberFormat="1">
      <alignment horizontal="center" shrinkToFit="0" vertical="center" wrapText="1"/>
    </xf>
    <xf borderId="1" fillId="8" fontId="22" numFmtId="166" xfId="0" applyAlignment="1" applyBorder="1" applyFont="1" applyNumberFormat="1">
      <alignment horizontal="center" shrinkToFit="0" vertical="center" wrapText="1"/>
    </xf>
    <xf borderId="14" fillId="8" fontId="22" numFmtId="166" xfId="0" applyAlignment="1" applyBorder="1" applyFont="1" applyNumberFormat="1">
      <alignment horizontal="center" shrinkToFit="0" vertical="center" wrapText="1"/>
    </xf>
    <xf borderId="1" fillId="0" fontId="22" numFmtId="14" xfId="0" applyAlignment="1" applyBorder="1" applyFont="1" applyNumberFormat="1">
      <alignment horizontal="center"/>
    </xf>
    <xf borderId="1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1" fillId="0" fontId="16" numFmtId="2" xfId="0" applyBorder="1" applyFont="1" applyNumberFormat="1"/>
    <xf borderId="9" fillId="3" fontId="22" numFmtId="2" xfId="0" applyAlignment="1" applyBorder="1" applyFont="1" applyNumberFormat="1">
      <alignment horizontal="right"/>
    </xf>
    <xf borderId="4" fillId="0" fontId="22" numFmtId="2" xfId="0" applyAlignment="1" applyBorder="1" applyFont="1" applyNumberFormat="1">
      <alignment horizontal="right"/>
    </xf>
    <xf borderId="9" fillId="4" fontId="22" numFmtId="2" xfId="0" applyAlignment="1" applyBorder="1" applyFont="1" applyNumberFormat="1">
      <alignment horizontal="right"/>
    </xf>
    <xf borderId="9" fillId="5" fontId="22" numFmtId="2" xfId="0" applyAlignment="1" applyBorder="1" applyFont="1" applyNumberFormat="1">
      <alignment horizontal="right"/>
    </xf>
    <xf borderId="4" fillId="0" fontId="22" numFmtId="49" xfId="0" applyAlignment="1" applyBorder="1" applyFont="1" applyNumberFormat="1">
      <alignment horizontal="right"/>
    </xf>
    <xf borderId="9" fillId="6" fontId="22" numFmtId="2" xfId="0" applyAlignment="1" applyBorder="1" applyFont="1" applyNumberFormat="1">
      <alignment horizontal="right"/>
    </xf>
    <xf borderId="4" fillId="0" fontId="16" numFmtId="1" xfId="0" applyAlignment="1" applyBorder="1" applyFont="1" applyNumberFormat="1">
      <alignment horizontal="right"/>
    </xf>
    <xf borderId="4" fillId="0" fontId="16" numFmtId="2" xfId="0" applyAlignment="1" applyBorder="1" applyFont="1" applyNumberFormat="1">
      <alignment horizontal="right"/>
    </xf>
    <xf borderId="13" fillId="7" fontId="22" numFmtId="2" xfId="0" applyAlignment="1" applyBorder="1" applyFont="1" applyNumberFormat="1">
      <alignment horizontal="right"/>
    </xf>
    <xf borderId="11" fillId="0" fontId="22" numFmtId="166" xfId="0" applyBorder="1" applyFont="1" applyNumberFormat="1"/>
    <xf borderId="5" fillId="0" fontId="16" numFmtId="4" xfId="0" applyBorder="1" applyFont="1" applyNumberFormat="1"/>
    <xf borderId="9" fillId="8" fontId="16" numFmtId="4" xfId="0" applyBorder="1" applyFont="1" applyNumberFormat="1"/>
    <xf borderId="1" fillId="8" fontId="31" numFmtId="4" xfId="0" applyBorder="1" applyFont="1" applyNumberFormat="1"/>
    <xf borderId="1" fillId="8" fontId="16" numFmtId="4" xfId="0" applyBorder="1" applyFont="1" applyNumberFormat="1"/>
    <xf borderId="1" fillId="10" fontId="16" numFmtId="169" xfId="0" applyBorder="1" applyFont="1" applyNumberFormat="1"/>
    <xf borderId="1" fillId="10" fontId="22" numFmtId="169" xfId="0" applyAlignment="1" applyBorder="1" applyFont="1" applyNumberFormat="1">
      <alignment horizontal="right"/>
    </xf>
    <xf borderId="1" fillId="0" fontId="22" numFmtId="166" xfId="0" applyBorder="1" applyFont="1" applyNumberFormat="1"/>
    <xf borderId="0" fillId="0" fontId="22" numFmtId="166" xfId="0" applyFont="1" applyNumberFormat="1"/>
    <xf borderId="11" fillId="0" fontId="16" numFmtId="4" xfId="0" applyBorder="1" applyFont="1" applyNumberFormat="1"/>
    <xf borderId="1" fillId="14" fontId="16" numFmtId="4" xfId="0" applyBorder="1" applyFont="1" applyNumberFormat="1"/>
    <xf borderId="7" fillId="11" fontId="22" numFmtId="166" xfId="0" applyBorder="1" applyFont="1" applyNumberFormat="1"/>
    <xf borderId="1" fillId="11" fontId="22" numFmtId="166" xfId="0" applyBorder="1" applyFont="1" applyNumberFormat="1"/>
    <xf borderId="14" fillId="11" fontId="22" numFmtId="166" xfId="0" applyBorder="1" applyFont="1" applyNumberFormat="1"/>
    <xf borderId="6" fillId="0" fontId="16" numFmtId="1" xfId="0" applyAlignment="1" applyBorder="1" applyFont="1" applyNumberFormat="1">
      <alignment horizontal="right"/>
    </xf>
    <xf borderId="1" fillId="0" fontId="16" numFmtId="1" xfId="0" applyAlignment="1" applyBorder="1" applyFont="1" applyNumberFormat="1">
      <alignment horizontal="right"/>
    </xf>
    <xf borderId="13" fillId="7" fontId="22" numFmtId="164" xfId="0" applyAlignment="1" applyBorder="1" applyFont="1" applyNumberFormat="1">
      <alignment horizontal="right"/>
    </xf>
    <xf borderId="1" fillId="3" fontId="22" numFmtId="4" xfId="0" applyBorder="1" applyFont="1" applyNumberFormat="1"/>
    <xf borderId="1" fillId="3" fontId="22" numFmtId="3" xfId="0" applyAlignment="1" applyBorder="1" applyFont="1" applyNumberFormat="1">
      <alignment horizontal="center"/>
    </xf>
    <xf borderId="1" fillId="3" fontId="22" numFmtId="4" xfId="0" applyAlignment="1" applyBorder="1" applyFont="1" applyNumberFormat="1">
      <alignment horizontal="center"/>
    </xf>
    <xf borderId="8" fillId="3" fontId="22" numFmtId="3" xfId="0" applyAlignment="1" applyBorder="1" applyFont="1" applyNumberFormat="1">
      <alignment horizontal="center"/>
    </xf>
    <xf borderId="9" fillId="4" fontId="22" numFmtId="4" xfId="0" applyBorder="1" applyFont="1" applyNumberFormat="1"/>
    <xf borderId="9" fillId="4" fontId="22" numFmtId="49" xfId="0" applyAlignment="1" applyBorder="1" applyFont="1" applyNumberFormat="1">
      <alignment horizontal="right"/>
    </xf>
    <xf borderId="1" fillId="7" fontId="16" numFmtId="1" xfId="0" applyBorder="1" applyFont="1" applyNumberFormat="1"/>
    <xf borderId="1" fillId="7" fontId="22" numFmtId="164" xfId="0" applyBorder="1" applyFont="1" applyNumberFormat="1"/>
    <xf borderId="1" fillId="2" fontId="22" numFmtId="49" xfId="0" applyAlignment="1" applyBorder="1" applyFont="1" applyNumberFormat="1">
      <alignment horizontal="left" vertical="center"/>
    </xf>
    <xf borderId="1" fillId="0" fontId="22" numFmtId="168" xfId="0" applyAlignment="1" applyBorder="1" applyFont="1" applyNumberFormat="1">
      <alignment horizontal="center"/>
    </xf>
    <xf borderId="4" fillId="0" fontId="22" numFmtId="0" xfId="0" applyAlignment="1" applyBorder="1" applyFont="1">
      <alignment horizontal="right"/>
    </xf>
    <xf borderId="1" fillId="9" fontId="16" numFmtId="169" xfId="0" applyBorder="1" applyFont="1" applyNumberFormat="1"/>
    <xf borderId="1" fillId="10" fontId="22" numFmtId="4" xfId="0" applyAlignment="1" applyBorder="1" applyFont="1" applyNumberFormat="1">
      <alignment horizontal="right"/>
    </xf>
    <xf borderId="0" fillId="0" fontId="19" numFmtId="0" xfId="0" applyAlignment="1" applyFont="1">
      <alignment horizontal="center"/>
    </xf>
    <xf borderId="0" fillId="0" fontId="16" numFmtId="1" xfId="0" applyAlignment="1" applyFont="1" applyNumberFormat="1">
      <alignment horizontal="center"/>
    </xf>
    <xf borderId="0" fillId="0" fontId="22" numFmtId="164" xfId="0" applyAlignment="1" applyFont="1" applyNumberFormat="1">
      <alignment horizontal="center"/>
    </xf>
    <xf borderId="19" fillId="0" fontId="22" numFmtId="0" xfId="0" applyAlignment="1" applyBorder="1" applyFont="1">
      <alignment horizontal="center"/>
    </xf>
    <xf borderId="19" fillId="0" fontId="10" numFmtId="0" xfId="0" applyBorder="1" applyFont="1"/>
    <xf borderId="1" fillId="32" fontId="22" numFmtId="0" xfId="0" applyBorder="1" applyFill="1" applyFont="1"/>
    <xf borderId="1" fillId="32" fontId="22" numFmtId="178" xfId="0" applyAlignment="1" applyBorder="1" applyFont="1" applyNumberFormat="1">
      <alignment horizontal="center"/>
    </xf>
    <xf borderId="12" fillId="33" fontId="22" numFmtId="0" xfId="0" applyBorder="1" applyFill="1" applyFont="1"/>
    <xf borderId="1" fillId="33" fontId="22" numFmtId="178" xfId="0" applyAlignment="1" applyBorder="1" applyFont="1" applyNumberFormat="1">
      <alignment horizontal="center"/>
    </xf>
    <xf borderId="1" fillId="34" fontId="22" numFmtId="0" xfId="0" applyBorder="1" applyFill="1" applyFont="1"/>
    <xf borderId="1" fillId="34" fontId="22" numFmtId="178" xfId="0" applyAlignment="1" applyBorder="1" applyFont="1" applyNumberFormat="1">
      <alignment horizontal="center"/>
    </xf>
    <xf borderId="1" fillId="35" fontId="22" numFmtId="0" xfId="0" applyBorder="1" applyFill="1" applyFont="1"/>
    <xf borderId="1" fillId="35" fontId="22" numFmtId="178" xfId="0" applyAlignment="1" applyBorder="1" applyFont="1" applyNumberFormat="1">
      <alignment horizontal="center"/>
    </xf>
    <xf borderId="1" fillId="36" fontId="22" numFmtId="0" xfId="0" applyBorder="1" applyFill="1" applyFont="1"/>
    <xf borderId="1" fillId="36" fontId="22" numFmtId="178" xfId="0" applyAlignment="1" applyBorder="1" applyFont="1" applyNumberFormat="1">
      <alignment horizontal="center"/>
    </xf>
    <xf borderId="1" fillId="13" fontId="22" numFmtId="0" xfId="0" applyBorder="1" applyFont="1"/>
    <xf borderId="1" fillId="13" fontId="22" numFmtId="178" xfId="0" applyAlignment="1" applyBorder="1" applyFont="1" applyNumberFormat="1">
      <alignment horizontal="center"/>
    </xf>
    <xf borderId="0" fillId="0" fontId="16" numFmtId="178" xfId="0" applyAlignment="1" applyFont="1" applyNumberFormat="1">
      <alignment horizontal="center"/>
    </xf>
    <xf borderId="0" fillId="0" fontId="32" numFmtId="0" xfId="0" applyFont="1"/>
    <xf borderId="0" fillId="0" fontId="32" numFmtId="166" xfId="0" applyFont="1" applyNumberFormat="1"/>
    <xf borderId="0" fillId="0" fontId="32" numFmtId="164" xfId="0" applyFont="1" applyNumberFormat="1"/>
    <xf borderId="0" fillId="0" fontId="28" numFmtId="166" xfId="0" applyFont="1" applyNumberFormat="1"/>
    <xf borderId="5" fillId="37" fontId="33" numFmtId="166" xfId="0" applyAlignment="1" applyBorder="1" applyFill="1" applyFont="1" applyNumberFormat="1">
      <alignment horizontal="center" shrinkToFit="0" wrapText="1"/>
    </xf>
    <xf borderId="14" fillId="37" fontId="33" numFmtId="166" xfId="0" applyAlignment="1" applyBorder="1" applyFont="1" applyNumberFormat="1">
      <alignment horizontal="center" shrinkToFit="0" wrapText="1"/>
    </xf>
    <xf borderId="1" fillId="37" fontId="33" numFmtId="0" xfId="0" applyAlignment="1" applyBorder="1" applyFont="1">
      <alignment shrinkToFit="0" wrapText="1"/>
    </xf>
    <xf borderId="1" fillId="37" fontId="33" numFmtId="166" xfId="0" applyAlignment="1" applyBorder="1" applyFont="1" applyNumberFormat="1">
      <alignment horizontal="center" shrinkToFit="0" wrapText="1"/>
    </xf>
    <xf borderId="1" fillId="37" fontId="33" numFmtId="164" xfId="0" applyAlignment="1" applyBorder="1" applyFont="1" applyNumberFormat="1">
      <alignment horizontal="center" shrinkToFit="0" wrapText="1"/>
    </xf>
    <xf borderId="1" fillId="37" fontId="34" numFmtId="166" xfId="0" applyAlignment="1" applyBorder="1" applyFont="1" applyNumberFormat="1">
      <alignment horizontal="center" shrinkToFit="0" wrapText="1"/>
    </xf>
    <xf borderId="0" fillId="0" fontId="34" numFmtId="0" xfId="0" applyAlignment="1" applyFont="1">
      <alignment shrinkToFit="0" wrapText="1"/>
    </xf>
    <xf borderId="1" fillId="0" fontId="32" numFmtId="16" xfId="0" applyBorder="1" applyFont="1" applyNumberFormat="1"/>
    <xf borderId="1" fillId="0" fontId="32" numFmtId="166" xfId="0" applyBorder="1" applyFont="1" applyNumberFormat="1"/>
    <xf borderId="1" fillId="0" fontId="32" numFmtId="164" xfId="0" applyBorder="1" applyFont="1" applyNumberFormat="1"/>
    <xf borderId="1" fillId="14" fontId="28" numFmtId="166" xfId="0" applyBorder="1" applyFont="1" applyNumberFormat="1"/>
    <xf borderId="1" fillId="0" fontId="28" numFmtId="164" xfId="0" applyBorder="1" applyFont="1" applyNumberFormat="1"/>
    <xf borderId="1" fillId="0" fontId="33" numFmtId="166" xfId="0" applyBorder="1" applyFont="1" applyNumberFormat="1"/>
    <xf borderId="0" fillId="0" fontId="32" numFmtId="179" xfId="0" applyFont="1" applyNumberFormat="1"/>
    <xf borderId="1" fillId="0" fontId="28" numFmtId="166" xfId="0" applyAlignment="1" applyBorder="1" applyFont="1" applyNumberFormat="1">
      <alignment vertical="center"/>
    </xf>
    <xf borderId="1" fillId="0" fontId="28" numFmtId="164" xfId="0" applyAlignment="1" applyBorder="1" applyFont="1" applyNumberFormat="1">
      <alignment vertical="center"/>
    </xf>
    <xf borderId="1" fillId="14" fontId="28" numFmtId="166" xfId="0" applyAlignment="1" applyBorder="1" applyFont="1" applyNumberFormat="1">
      <alignment vertical="center"/>
    </xf>
    <xf borderId="1" fillId="0" fontId="28" numFmtId="166" xfId="0" applyBorder="1" applyFont="1" applyNumberFormat="1"/>
    <xf borderId="1" fillId="0" fontId="35" numFmtId="166" xfId="0" applyBorder="1" applyFont="1" applyNumberFormat="1"/>
    <xf borderId="1" fillId="0" fontId="33" numFmtId="164" xfId="0" applyBorder="1" applyFont="1" applyNumberFormat="1"/>
    <xf borderId="35" fillId="0" fontId="32" numFmtId="164" xfId="0" applyBorder="1" applyFont="1" applyNumberFormat="1"/>
    <xf borderId="1" fillId="0" fontId="32" numFmtId="0" xfId="0" applyBorder="1" applyFont="1"/>
    <xf borderId="1" fillId="0" fontId="28" numFmtId="0" xfId="0" applyBorder="1" applyFont="1"/>
    <xf borderId="1" fillId="0" fontId="36" numFmtId="166" xfId="0" applyBorder="1" applyFont="1" applyNumberFormat="1"/>
    <xf borderId="0" fillId="0" fontId="33" numFmtId="0" xfId="0" applyFont="1"/>
    <xf borderId="1" fillId="14" fontId="33" numFmtId="166" xfId="0" applyBorder="1" applyFont="1" applyNumberFormat="1"/>
    <xf borderId="1" fillId="14" fontId="32" numFmtId="166" xfId="0" applyBorder="1" applyFont="1" applyNumberFormat="1"/>
    <xf borderId="1" fillId="0" fontId="28" numFmtId="16" xfId="0" applyAlignment="1" applyBorder="1" applyFont="1" applyNumberFormat="1">
      <alignment horizontal="right"/>
    </xf>
    <xf borderId="1" fillId="0" fontId="37" numFmtId="0" xfId="0" applyBorder="1" applyFont="1"/>
    <xf borderId="1" fillId="0" fontId="16" numFmtId="16" xfId="0" applyBorder="1" applyFont="1" applyNumberFormat="1"/>
    <xf borderId="1" fillId="0" fontId="16" numFmtId="166" xfId="0" applyBorder="1" applyFont="1" applyNumberFormat="1"/>
    <xf borderId="1" fillId="0" fontId="16" numFmtId="164" xfId="0" applyBorder="1" applyFont="1" applyNumberFormat="1"/>
    <xf borderId="1" fillId="14" fontId="22" numFmtId="166" xfId="0" applyBorder="1" applyFont="1" applyNumberFormat="1"/>
    <xf borderId="0" fillId="0" fontId="16" numFmtId="166" xfId="0" applyFont="1" applyNumberFormat="1"/>
    <xf borderId="0" fillId="0" fontId="16" numFmtId="164" xfId="0" applyFont="1" applyNumberFormat="1"/>
    <xf borderId="5" fillId="0" fontId="16" numFmtId="0" xfId="0" applyBorder="1" applyFont="1"/>
    <xf borderId="36" fillId="0" fontId="16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6" numFmtId="164" xfId="0" applyBorder="1" applyFont="1" applyNumberFormat="1"/>
    <xf borderId="33" fillId="0" fontId="22" numFmtId="164" xfId="0" applyBorder="1" applyFont="1" applyNumberFormat="1"/>
    <xf borderId="33" fillId="0" fontId="22" numFmtId="180" xfId="0" applyBorder="1" applyFont="1" applyNumberFormat="1"/>
    <xf borderId="33" fillId="0" fontId="22" numFmtId="181" xfId="0" applyBorder="1" applyFont="1" applyNumberFormat="1"/>
    <xf borderId="33" fillId="0" fontId="22" numFmtId="182" xfId="0" applyBorder="1" applyFont="1" applyNumberFormat="1"/>
    <xf borderId="5" fillId="0" fontId="16" numFmtId="16" xfId="0" applyBorder="1" applyFont="1" applyNumberFormat="1"/>
    <xf borderId="0" fillId="0" fontId="16" numFmtId="181" xfId="0" applyFont="1" applyNumberFormat="1"/>
    <xf borderId="39" fillId="0" fontId="16" numFmtId="164" xfId="0" applyBorder="1" applyFont="1" applyNumberFormat="1"/>
    <xf borderId="40" fillId="0" fontId="22" numFmtId="164" xfId="0" applyBorder="1" applyFont="1" applyNumberFormat="1"/>
    <xf borderId="0" fillId="0" fontId="22" numFmtId="180" xfId="0" applyFont="1" applyNumberFormat="1"/>
    <xf borderId="0" fillId="0" fontId="22" numFmtId="181" xfId="0" applyFont="1" applyNumberFormat="1"/>
    <xf borderId="0" fillId="0" fontId="22" numFmtId="182" xfId="0" applyFont="1" applyNumberFormat="1"/>
    <xf borderId="1" fillId="0" fontId="29" numFmtId="0" xfId="0" applyBorder="1" applyFont="1"/>
    <xf borderId="1" fillId="0" fontId="29" numFmtId="0" xfId="0" applyAlignment="1" applyBorder="1" applyFont="1">
      <alignment horizontal="center"/>
    </xf>
    <xf borderId="1" fillId="0" fontId="29" numFmtId="166" xfId="0" applyAlignment="1" applyBorder="1" applyFont="1" applyNumberFormat="1">
      <alignment horizontal="center"/>
    </xf>
    <xf borderId="14" fillId="13" fontId="16" numFmtId="166" xfId="0" applyBorder="1" applyFont="1" applyNumberFormat="1"/>
    <xf borderId="14" fillId="13" fontId="38" numFmtId="166" xfId="0" applyBorder="1" applyFont="1" applyNumberFormat="1"/>
    <xf borderId="1" fillId="13" fontId="22" numFmtId="166" xfId="0" applyBorder="1" applyFont="1" applyNumberFormat="1"/>
    <xf borderId="1" fillId="16" fontId="22" numFmtId="166" xfId="0" applyBorder="1" applyFont="1" applyNumberFormat="1"/>
    <xf borderId="14" fillId="13" fontId="39" numFmtId="166" xfId="0" applyBorder="1" applyFont="1" applyNumberFormat="1"/>
    <xf borderId="0" fillId="0" fontId="39" numFmtId="166" xfId="0" applyFont="1" applyNumberFormat="1"/>
    <xf borderId="1" fillId="0" fontId="29" numFmtId="166" xfId="0" applyBorder="1" applyFont="1" applyNumberFormat="1"/>
    <xf borderId="36" fillId="37" fontId="37" numFmtId="164" xfId="0" applyAlignment="1" applyBorder="1" applyFont="1" applyNumberFormat="1">
      <alignment horizontal="center"/>
    </xf>
    <xf borderId="32" fillId="37" fontId="37" numFmtId="164" xfId="0" applyBorder="1" applyFont="1" applyNumberFormat="1"/>
    <xf borderId="1" fillId="37" fontId="37" numFmtId="164" xfId="0" applyBorder="1" applyFont="1" applyNumberFormat="1"/>
    <xf borderId="33" fillId="37" fontId="37" numFmtId="164" xfId="0" applyBorder="1" applyFont="1" applyNumberFormat="1"/>
    <xf borderId="33" fillId="37" fontId="37" numFmtId="180" xfId="0" applyBorder="1" applyFont="1" applyNumberFormat="1"/>
    <xf borderId="33" fillId="37" fontId="37" numFmtId="181" xfId="0" applyBorder="1" applyFont="1" applyNumberFormat="1"/>
    <xf borderId="33" fillId="37" fontId="37" numFmtId="182" xfId="0" applyBorder="1" applyFont="1" applyNumberFormat="1"/>
    <xf borderId="32" fillId="38" fontId="16" numFmtId="164" xfId="0" applyBorder="1" applyFill="1" applyFont="1" applyNumberFormat="1"/>
    <xf borderId="33" fillId="14" fontId="22" numFmtId="164" xfId="0" applyBorder="1" applyFont="1" applyNumberFormat="1"/>
    <xf borderId="32" fillId="14" fontId="16" numFmtId="164" xfId="0" applyBorder="1" applyFont="1" applyNumberFormat="1"/>
    <xf borderId="1" fillId="14" fontId="16" numFmtId="164" xfId="0" applyBorder="1" applyFont="1" applyNumberFormat="1"/>
    <xf borderId="33" fillId="14" fontId="22" numFmtId="180" xfId="0" applyBorder="1" applyFont="1" applyNumberFormat="1"/>
    <xf borderId="33" fillId="14" fontId="22" numFmtId="181" xfId="0" applyBorder="1" applyFont="1" applyNumberFormat="1"/>
    <xf borderId="33" fillId="14" fontId="22" numFmtId="182" xfId="0" applyBorder="1" applyFont="1" applyNumberFormat="1"/>
    <xf borderId="1" fillId="32" fontId="16" numFmtId="164" xfId="0" applyBorder="1" applyFont="1" applyNumberFormat="1"/>
    <xf borderId="14" fillId="32" fontId="16" numFmtId="0" xfId="0" applyBorder="1" applyFont="1"/>
    <xf borderId="1" fillId="0" fontId="16" numFmtId="0" xfId="0" applyAlignment="1" applyBorder="1" applyFont="1">
      <alignment vertical="center"/>
    </xf>
    <xf borderId="1" fillId="0" fontId="38" numFmtId="164" xfId="0" applyBorder="1" applyFont="1" applyNumberFormat="1"/>
    <xf borderId="0" fillId="0" fontId="38" numFmtId="0" xfId="0" applyFont="1"/>
    <xf borderId="5" fillId="0" fontId="22" numFmtId="164" xfId="0" applyBorder="1" applyFont="1" applyNumberFormat="1"/>
    <xf borderId="1" fillId="0" fontId="22" numFmtId="180" xfId="0" applyBorder="1" applyFont="1" applyNumberFormat="1"/>
    <xf borderId="1" fillId="0" fontId="22" numFmtId="181" xfId="0" applyBorder="1" applyFont="1" applyNumberFormat="1"/>
    <xf borderId="1" fillId="0" fontId="22" numFmtId="182" xfId="0" applyBorder="1" applyFont="1" applyNumberFormat="1"/>
    <xf borderId="5" fillId="0" fontId="22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8" t="str">
        <f>'LUCERO RECOLETA'!AZ2</f>
        <v/>
      </c>
      <c r="AX2" s="18" t="str">
        <f>'LUCERO RECOLETA'!BA2</f>
        <v/>
      </c>
      <c r="AY2" s="18" t="str">
        <f>'LUCERO RECOLETA'!BB2</f>
        <v/>
      </c>
      <c r="AZ2" s="18" t="str">
        <f>'LUCERO RECOLETA'!BC2</f>
        <v/>
      </c>
      <c r="BA2" s="18" t="str">
        <f>'LUCERO RECOLETA'!BD2</f>
        <v/>
      </c>
      <c r="BB2" s="18" t="str">
        <f>'LUCERO RECOLETA'!BE2</f>
        <v/>
      </c>
      <c r="BC2" s="18" t="str">
        <f>'LUCERO RECOLETA'!BF2</f>
        <v/>
      </c>
      <c r="BD2" s="18" t="str">
        <f>'LUCERO RECOLETA'!BG2</f>
        <v/>
      </c>
      <c r="BE2" s="18" t="str">
        <f>'LUCERO RECOLETA'!BH2</f>
        <v/>
      </c>
      <c r="BF2" s="18" t="str">
        <f>'LUCERO RECOLETA'!BI2</f>
        <v/>
      </c>
      <c r="BG2" s="18" t="str">
        <f>'LUCERO RECOLETA'!BJ2</f>
        <v/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ABRIL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46143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46144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46145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46146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46147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46148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46149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46150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46151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46152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46153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46154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46155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46156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46157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46158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46159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46160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46161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46162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46163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46164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46165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46166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46167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46168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46169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46170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46171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46172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>
        <f>'LUCERO RECOLETA'!A39</f>
        <v>46173</v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41" t="str">
        <f>'LUCERO RECOLETA'!AZ2</f>
        <v/>
      </c>
      <c r="AX2" s="141" t="str">
        <f>'LUCERO RECOLETA'!BA2</f>
        <v/>
      </c>
      <c r="AY2" s="141" t="str">
        <f>'LUCERO RECOLETA'!BB2</f>
        <v/>
      </c>
      <c r="AZ2" s="141" t="str">
        <f>'LUCERO RECOLETA'!BC2</f>
        <v/>
      </c>
      <c r="BA2" s="141" t="str">
        <f>'LUCERO RECOLETA'!BD2</f>
        <v/>
      </c>
      <c r="BB2" s="141" t="str">
        <f>'LUCERO RECOLETA'!BE2</f>
        <v/>
      </c>
      <c r="BC2" s="141" t="str">
        <f>'LUCERO RECOLETA'!BF2</f>
        <v/>
      </c>
      <c r="BD2" s="141" t="str">
        <f>'LUCERO RECOLETA'!BG2</f>
        <v/>
      </c>
      <c r="BE2" s="141" t="str">
        <f>'LUCERO RECOLETA'!BH2</f>
        <v/>
      </c>
      <c r="BF2" s="141" t="str">
        <f>'LUCERO RECOLETA'!BI2</f>
        <v/>
      </c>
      <c r="BG2" s="141" t="str">
        <f>'LUCERO RECOLETA'!BJ2</f>
        <v/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46143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46144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46145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46146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46147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46148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46149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46150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46151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46152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46153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46154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46155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46156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46157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46158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46159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46160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46161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46162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46163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46164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46165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46166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46167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46168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46169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46170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46171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46172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57"/>
    <col customWidth="1" min="8" max="8" width="13.86"/>
    <col customWidth="1" min="9" max="9" width="12.14"/>
    <col customWidth="1" min="10" max="10" width="10.71"/>
    <col customWidth="1" min="11" max="11" width="14.14"/>
    <col customWidth="1" min="12" max="17" width="2.43"/>
    <col customWidth="1" min="18" max="22" width="8.14"/>
    <col customWidth="1" min="23" max="23" width="10.57"/>
    <col customWidth="1" min="24" max="25" width="8.14"/>
    <col customWidth="1" min="26" max="26" width="10.71"/>
    <col customWidth="1" min="27" max="27" width="9.71"/>
    <col customWidth="1" min="28" max="28" width="8.14"/>
    <col customWidth="1" min="29" max="29" width="10.71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50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51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2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/>
      <c r="AY2" s="19"/>
      <c r="AZ2" s="18"/>
      <c r="BA2" s="18"/>
      <c r="BB2" s="24"/>
      <c r="BC2" s="18"/>
      <c r="BD2" s="18"/>
      <c r="BE2" s="18"/>
      <c r="BF2" s="18"/>
      <c r="BG2" s="18"/>
      <c r="BH2" s="18"/>
      <c r="BI2" s="18"/>
      <c r="BJ2" s="18"/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53" t="s">
        <v>65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53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154" t="s">
        <v>6</v>
      </c>
      <c r="B5" s="26"/>
      <c r="C5" s="26"/>
      <c r="D5" s="26"/>
      <c r="E5" s="26"/>
      <c r="F5" s="155" t="s">
        <v>66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57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8" t="s">
        <v>67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1">
        <v>46143.0</v>
      </c>
      <c r="B9" s="162"/>
      <c r="C9" s="163">
        <v>0.0</v>
      </c>
      <c r="D9" s="164">
        <v>1314.0</v>
      </c>
      <c r="E9" s="165">
        <f t="shared" ref="E9:E40" si="2">IF(C9="","",C9+D9-1)</f>
        <v>1313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5"/>
      <c r="S9" s="165"/>
      <c r="T9" s="79"/>
      <c r="U9" s="80">
        <f t="shared" ref="U9:U15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v>0.0</v>
      </c>
      <c r="AB9" s="166"/>
      <c r="AC9" s="81">
        <f t="shared" ref="AC9:AC39" si="8">Z9+AA9+AB9</f>
        <v>0</v>
      </c>
      <c r="AD9" s="84">
        <f t="shared" ref="AD9:AD39" si="9">+K9+Q9+W9-AC9</f>
        <v>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0</v>
      </c>
      <c r="AQ9" s="98"/>
      <c r="AR9" s="88"/>
      <c r="AS9" s="89" t="str">
        <f t="shared" ref="AS9:AS38" si="15">AG9</f>
        <v/>
      </c>
      <c r="AT9" s="90">
        <f t="shared" ref="AT9:AT39" si="16">SUM(AU9:AV9)</f>
        <v>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>BA9*BB$2</f>
        <v>0</v>
      </c>
      <c r="BC9" s="75"/>
      <c r="BD9" s="90">
        <f t="shared" ref="BD9:BD13" si="18">BC9*BD$2</f>
        <v>0</v>
      </c>
      <c r="BE9" s="75"/>
      <c r="BF9" s="90">
        <f t="shared" ref="BF9:BF26" si="19">BE9*BF$2</f>
        <v>0</v>
      </c>
      <c r="BG9" s="75"/>
      <c r="BH9" s="90">
        <f t="shared" ref="BH9:BH28" si="20">BG9*BH$2</f>
        <v>0</v>
      </c>
      <c r="BI9" s="75"/>
      <c r="BJ9" s="90">
        <f t="shared" ref="BJ9:BJ13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IF(AV9=0,0,AV9/AD9)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68">
        <f t="shared" ref="A10:A39" si="34">A9+1</f>
        <v>46144</v>
      </c>
      <c r="B10" s="162"/>
      <c r="C10" s="163">
        <v>19.0</v>
      </c>
      <c r="D10" s="165">
        <f t="shared" ref="D10:D40" si="35">E9+1</f>
        <v>1314</v>
      </c>
      <c r="E10" s="165">
        <f t="shared" si="2"/>
        <v>1332</v>
      </c>
      <c r="F10" s="73"/>
      <c r="G10" s="74"/>
      <c r="H10" s="169">
        <v>1398158.58</v>
      </c>
      <c r="I10" s="169">
        <v>293613.32</v>
      </c>
      <c r="J10" s="76"/>
      <c r="K10" s="83">
        <f t="shared" si="3"/>
        <v>1691771.9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v>0.0</v>
      </c>
      <c r="AB10" s="166"/>
      <c r="AC10" s="81">
        <f t="shared" si="8"/>
        <v>0</v>
      </c>
      <c r="AD10" s="84">
        <f t="shared" si="9"/>
        <v>1691771.9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-1691780</v>
      </c>
      <c r="AQ10" s="170">
        <v>100000.0</v>
      </c>
      <c r="AR10" s="88"/>
      <c r="AS10" s="89" t="str">
        <f t="shared" si="15"/>
        <v/>
      </c>
      <c r="AT10" s="90">
        <f t="shared" si="16"/>
        <v>1308780</v>
      </c>
      <c r="AU10" s="169">
        <v>415880.0</v>
      </c>
      <c r="AV10" s="169">
        <v>892900.0</v>
      </c>
      <c r="AW10" s="90"/>
      <c r="AX10" s="88"/>
      <c r="AY10" s="75"/>
      <c r="AZ10" s="90">
        <f t="shared" si="17"/>
        <v>0</v>
      </c>
      <c r="BA10" s="169">
        <v>200.0</v>
      </c>
      <c r="BB10" s="90">
        <f>BA10*1415</f>
        <v>283000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1691780</v>
      </c>
      <c r="BL10" s="93">
        <f t="shared" si="23"/>
        <v>1691771.9</v>
      </c>
      <c r="BM10" s="94">
        <f t="shared" si="24"/>
        <v>8.1</v>
      </c>
      <c r="BN10" s="13"/>
      <c r="BO10" s="95">
        <f t="shared" si="25"/>
        <v>0.05910962347</v>
      </c>
      <c r="BP10" s="95">
        <f t="shared" si="26"/>
        <v>0.2458251021</v>
      </c>
      <c r="BQ10" s="95">
        <f t="shared" si="27"/>
        <v>0.5277898279</v>
      </c>
      <c r="BR10" s="95">
        <f t="shared" si="28"/>
        <v>0</v>
      </c>
      <c r="BS10" s="95">
        <f t="shared" si="29"/>
        <v>0</v>
      </c>
      <c r="BT10" s="95">
        <f t="shared" si="30"/>
        <v>0.1672802344</v>
      </c>
      <c r="BU10" s="95">
        <f t="shared" si="31"/>
        <v>0</v>
      </c>
      <c r="BV10" s="95">
        <f t="shared" si="32"/>
        <v>1.000004788</v>
      </c>
      <c r="BW10" s="95">
        <f t="shared" si="33"/>
        <v>0.1188010779</v>
      </c>
    </row>
    <row r="11" ht="15.75" customHeight="1">
      <c r="A11" s="168">
        <f t="shared" si="34"/>
        <v>46145</v>
      </c>
      <c r="B11" s="162"/>
      <c r="C11" s="163">
        <v>2.0</v>
      </c>
      <c r="D11" s="165">
        <f t="shared" si="35"/>
        <v>1333</v>
      </c>
      <c r="E11" s="165">
        <f t="shared" si="2"/>
        <v>1334</v>
      </c>
      <c r="F11" s="73"/>
      <c r="G11" s="74"/>
      <c r="H11" s="169">
        <v>99148.76</v>
      </c>
      <c r="I11" s="169">
        <v>20821.24</v>
      </c>
      <c r="J11" s="76"/>
      <c r="K11" s="83">
        <f t="shared" si="3"/>
        <v>119970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v>0.0</v>
      </c>
      <c r="AB11" s="166"/>
      <c r="AC11" s="81">
        <f t="shared" si="8"/>
        <v>0</v>
      </c>
      <c r="AD11" s="84">
        <f t="shared" si="9"/>
        <v>119970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-119970</v>
      </c>
      <c r="AQ11" s="170">
        <v>0.0</v>
      </c>
      <c r="AR11" s="88"/>
      <c r="AS11" s="89" t="str">
        <f t="shared" si="15"/>
        <v/>
      </c>
      <c r="AT11" s="90">
        <f t="shared" si="16"/>
        <v>119970</v>
      </c>
      <c r="AU11" s="169">
        <v>79990.0</v>
      </c>
      <c r="AV11" s="169">
        <v>39980.0</v>
      </c>
      <c r="AW11" s="90"/>
      <c r="AX11" s="88"/>
      <c r="AY11" s="75"/>
      <c r="AZ11" s="90">
        <f t="shared" si="17"/>
        <v>0</v>
      </c>
      <c r="BA11" s="75"/>
      <c r="BB11" s="90">
        <f>BA11*1415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6">+AQ11+AR11+AT11+AW11+AX11+AZ11+BB11+BD11+BF11+BH11+BJ11</f>
        <v>119970</v>
      </c>
      <c r="BL11" s="93">
        <f t="shared" si="23"/>
        <v>119970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0.6667500208</v>
      </c>
      <c r="BQ11" s="95">
        <f t="shared" si="27"/>
        <v>0.3332499792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0.008424637694</v>
      </c>
    </row>
    <row r="12" ht="15.75" customHeight="1">
      <c r="A12" s="168">
        <f t="shared" si="34"/>
        <v>46146</v>
      </c>
      <c r="B12" s="162"/>
      <c r="C12" s="163">
        <v>5.0</v>
      </c>
      <c r="D12" s="165">
        <f t="shared" si="35"/>
        <v>1335</v>
      </c>
      <c r="E12" s="165">
        <f t="shared" si="2"/>
        <v>1339</v>
      </c>
      <c r="F12" s="73"/>
      <c r="G12" s="74"/>
      <c r="H12" s="169">
        <v>229702.48</v>
      </c>
      <c r="I12" s="169">
        <v>48237.52</v>
      </c>
      <c r="J12" s="76"/>
      <c r="K12" s="83">
        <f t="shared" si="3"/>
        <v>277940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71">
        <v>25.0</v>
      </c>
      <c r="Y12" s="171">
        <v>25.0</v>
      </c>
      <c r="Z12" s="172">
        <v>57842.97</v>
      </c>
      <c r="AA12" s="173">
        <v>12147.03</v>
      </c>
      <c r="AB12" s="166"/>
      <c r="AC12" s="81">
        <f t="shared" si="8"/>
        <v>69990</v>
      </c>
      <c r="AD12" s="84">
        <f t="shared" si="9"/>
        <v>207950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-231960</v>
      </c>
      <c r="AQ12" s="170">
        <v>20000.0</v>
      </c>
      <c r="AR12" s="88"/>
      <c r="AS12" s="89" t="str">
        <f t="shared" si="15"/>
        <v/>
      </c>
      <c r="AT12" s="90">
        <f t="shared" si="16"/>
        <v>211960</v>
      </c>
      <c r="AU12" s="169">
        <v>84990.0</v>
      </c>
      <c r="AV12" s="169">
        <v>126970.0</v>
      </c>
      <c r="AW12" s="90"/>
      <c r="AX12" s="88"/>
      <c r="AY12" s="75"/>
      <c r="AZ12" s="90">
        <f t="shared" si="17"/>
        <v>0</v>
      </c>
      <c r="BA12" s="75"/>
      <c r="BB12" s="90">
        <f t="shared" ref="BB12:BB14" si="37">BA12*BB$2</f>
        <v>0</v>
      </c>
      <c r="BC12" s="75"/>
      <c r="BD12" s="90">
        <f t="shared" si="18"/>
        <v>0</v>
      </c>
      <c r="BE12" s="75"/>
      <c r="BF12" s="90">
        <f t="shared" si="19"/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6"/>
        <v>231960</v>
      </c>
      <c r="BL12" s="93">
        <f t="shared" si="23"/>
        <v>207950</v>
      </c>
      <c r="BM12" s="94">
        <f t="shared" si="24"/>
        <v>24010</v>
      </c>
      <c r="BN12" s="13"/>
      <c r="BO12" s="95">
        <f t="shared" si="25"/>
        <v>0.09617696562</v>
      </c>
      <c r="BP12" s="95">
        <f t="shared" si="26"/>
        <v>0.4087040154</v>
      </c>
      <c r="BQ12" s="95">
        <f t="shared" si="27"/>
        <v>0.6105794662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1.115460447</v>
      </c>
      <c r="BW12" s="95">
        <f t="shared" si="33"/>
        <v>0.01460284578</v>
      </c>
    </row>
    <row r="13" ht="15.75" customHeight="1">
      <c r="A13" s="168">
        <f t="shared" si="34"/>
        <v>46147</v>
      </c>
      <c r="B13" s="162"/>
      <c r="C13" s="163">
        <v>6.0</v>
      </c>
      <c r="D13" s="165">
        <f t="shared" si="35"/>
        <v>1340</v>
      </c>
      <c r="E13" s="165">
        <f t="shared" si="2"/>
        <v>1345</v>
      </c>
      <c r="F13" s="73"/>
      <c r="G13" s="74"/>
      <c r="H13" s="169">
        <v>376776.86</v>
      </c>
      <c r="I13" s="169">
        <v>79123.14</v>
      </c>
      <c r="J13" s="76"/>
      <c r="K13" s="83">
        <f t="shared" si="3"/>
        <v>455900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71"/>
      <c r="Y13" s="171"/>
      <c r="Z13" s="79"/>
      <c r="AA13" s="80">
        <v>0.0</v>
      </c>
      <c r="AB13" s="166"/>
      <c r="AC13" s="81">
        <f t="shared" si="8"/>
        <v>0</v>
      </c>
      <c r="AD13" s="84">
        <f t="shared" si="9"/>
        <v>455900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-455910</v>
      </c>
      <c r="AQ13" s="170">
        <v>130000.0</v>
      </c>
      <c r="AR13" s="96"/>
      <c r="AS13" s="90" t="str">
        <f t="shared" si="15"/>
        <v/>
      </c>
      <c r="AT13" s="90">
        <f t="shared" si="16"/>
        <v>325910</v>
      </c>
      <c r="AU13" s="169">
        <v>29990.0</v>
      </c>
      <c r="AV13" s="169">
        <v>295920.0</v>
      </c>
      <c r="AW13" s="90"/>
      <c r="AX13" s="88"/>
      <c r="AY13" s="75"/>
      <c r="AZ13" s="90">
        <f t="shared" si="17"/>
        <v>0</v>
      </c>
      <c r="BA13" s="75"/>
      <c r="BB13" s="90">
        <f t="shared" si="37"/>
        <v>0</v>
      </c>
      <c r="BC13" s="75"/>
      <c r="BD13" s="90">
        <f t="shared" si="18"/>
        <v>0</v>
      </c>
      <c r="BE13" s="75"/>
      <c r="BF13" s="90">
        <f t="shared" si="19"/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6"/>
        <v>455910</v>
      </c>
      <c r="BL13" s="93">
        <f t="shared" si="23"/>
        <v>455900</v>
      </c>
      <c r="BM13" s="94">
        <f t="shared" si="24"/>
        <v>10</v>
      </c>
      <c r="BN13" s="13"/>
      <c r="BO13" s="95">
        <f t="shared" si="25"/>
        <v>0.2851502522</v>
      </c>
      <c r="BP13" s="95">
        <f t="shared" si="26"/>
        <v>0.06578196973</v>
      </c>
      <c r="BQ13" s="95">
        <f t="shared" si="27"/>
        <v>0.6490897127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1.000021935</v>
      </c>
      <c r="BW13" s="95">
        <f t="shared" si="33"/>
        <v>0.03201460636</v>
      </c>
    </row>
    <row r="14" ht="15.75" customHeight="1">
      <c r="A14" s="168">
        <f t="shared" si="34"/>
        <v>46148</v>
      </c>
      <c r="B14" s="162"/>
      <c r="C14" s="163">
        <v>2.0</v>
      </c>
      <c r="D14" s="165">
        <f t="shared" si="35"/>
        <v>1346</v>
      </c>
      <c r="E14" s="165">
        <f t="shared" si="2"/>
        <v>1347</v>
      </c>
      <c r="F14" s="73"/>
      <c r="G14" s="74"/>
      <c r="H14" s="169">
        <v>181793.38</v>
      </c>
      <c r="I14" s="169">
        <v>38176.62</v>
      </c>
      <c r="J14" s="76"/>
      <c r="K14" s="83">
        <f t="shared" si="3"/>
        <v>219970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71">
        <v>26.0</v>
      </c>
      <c r="Y14" s="171">
        <v>26.0</v>
      </c>
      <c r="Z14" s="172">
        <v>57842.97</v>
      </c>
      <c r="AA14" s="173">
        <v>12147.03</v>
      </c>
      <c r="AB14" s="166"/>
      <c r="AC14" s="81">
        <f t="shared" si="8"/>
        <v>69990</v>
      </c>
      <c r="AD14" s="84">
        <f t="shared" si="9"/>
        <v>149980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-149980</v>
      </c>
      <c r="AQ14" s="170">
        <v>0.0</v>
      </c>
      <c r="AR14" s="96"/>
      <c r="AS14" s="90" t="str">
        <f t="shared" si="15"/>
        <v/>
      </c>
      <c r="AT14" s="90">
        <f t="shared" si="16"/>
        <v>149980</v>
      </c>
      <c r="AU14" s="75"/>
      <c r="AV14" s="169">
        <v>149980.0</v>
      </c>
      <c r="AW14" s="90"/>
      <c r="AX14" s="88"/>
      <c r="AY14" s="75"/>
      <c r="AZ14" s="90">
        <f t="shared" si="17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19"/>
        <v>0</v>
      </c>
      <c r="BG14" s="75"/>
      <c r="BH14" s="90">
        <f t="shared" si="20"/>
        <v>0</v>
      </c>
      <c r="BI14" s="75"/>
      <c r="BJ14" s="90">
        <f>BI14*1750</f>
        <v>0</v>
      </c>
      <c r="BK14" s="92">
        <f t="shared" si="36"/>
        <v>149980</v>
      </c>
      <c r="BL14" s="93">
        <f t="shared" si="23"/>
        <v>149980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0.01053202602</v>
      </c>
    </row>
    <row r="15" ht="15.75" customHeight="1">
      <c r="A15" s="168">
        <f t="shared" si="34"/>
        <v>46149</v>
      </c>
      <c r="B15" s="162"/>
      <c r="C15" s="163">
        <v>3.0</v>
      </c>
      <c r="D15" s="165">
        <f t="shared" si="35"/>
        <v>1348</v>
      </c>
      <c r="E15" s="165">
        <f t="shared" si="2"/>
        <v>1350</v>
      </c>
      <c r="F15" s="73"/>
      <c r="G15" s="74"/>
      <c r="H15" s="169">
        <v>199975.21</v>
      </c>
      <c r="I15" s="169">
        <v>41994.79</v>
      </c>
      <c r="J15" s="76"/>
      <c r="K15" s="83">
        <f t="shared" si="3"/>
        <v>241970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v>0.0</v>
      </c>
      <c r="AB15" s="166"/>
      <c r="AC15" s="81">
        <f t="shared" si="8"/>
        <v>0</v>
      </c>
      <c r="AD15" s="84">
        <f t="shared" si="9"/>
        <v>241970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-246980</v>
      </c>
      <c r="AQ15" s="170">
        <v>10000.0</v>
      </c>
      <c r="AR15" s="96"/>
      <c r="AS15" s="90" t="str">
        <f t="shared" si="15"/>
        <v/>
      </c>
      <c r="AT15" s="90">
        <f t="shared" si="16"/>
        <v>236980</v>
      </c>
      <c r="AU15" s="169">
        <v>219990.0</v>
      </c>
      <c r="AV15" s="169">
        <v>16990.0</v>
      </c>
      <c r="AW15" s="90"/>
      <c r="AX15" s="88"/>
      <c r="AY15" s="75"/>
      <c r="AZ15" s="90">
        <f t="shared" si="17"/>
        <v>0</v>
      </c>
      <c r="BA15" s="75"/>
      <c r="BB15" s="90">
        <f>BA15*1435</f>
        <v>0</v>
      </c>
      <c r="BC15" s="75"/>
      <c r="BD15" s="90">
        <f t="shared" ref="BD15:BD25" si="38">BC15*BD$2</f>
        <v>0</v>
      </c>
      <c r="BE15" s="75"/>
      <c r="BF15" s="90">
        <f t="shared" si="19"/>
        <v>0</v>
      </c>
      <c r="BG15" s="75"/>
      <c r="BH15" s="90">
        <f t="shared" si="20"/>
        <v>0</v>
      </c>
      <c r="BI15" s="75"/>
      <c r="BJ15" s="90">
        <f>BI15*BJ$2</f>
        <v>0</v>
      </c>
      <c r="BK15" s="92">
        <f t="shared" si="36"/>
        <v>246980</v>
      </c>
      <c r="BL15" s="93">
        <f t="shared" si="23"/>
        <v>241970</v>
      </c>
      <c r="BM15" s="94">
        <f t="shared" si="24"/>
        <v>5010</v>
      </c>
      <c r="BN15" s="13"/>
      <c r="BO15" s="95">
        <f t="shared" si="25"/>
        <v>0.04132743729</v>
      </c>
      <c r="BP15" s="95">
        <f t="shared" si="26"/>
        <v>0.9091622928</v>
      </c>
      <c r="BQ15" s="95">
        <f t="shared" si="27"/>
        <v>0.07021531595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1.020705046</v>
      </c>
      <c r="BW15" s="95">
        <f t="shared" si="33"/>
        <v>0.01699182781</v>
      </c>
    </row>
    <row r="16" ht="15.75" customHeight="1">
      <c r="A16" s="168">
        <f t="shared" si="34"/>
        <v>46150</v>
      </c>
      <c r="B16" s="162"/>
      <c r="C16" s="163">
        <v>8.0</v>
      </c>
      <c r="D16" s="165">
        <f t="shared" si="35"/>
        <v>1351</v>
      </c>
      <c r="E16" s="165">
        <f t="shared" si="2"/>
        <v>1358</v>
      </c>
      <c r="F16" s="73"/>
      <c r="G16" s="74"/>
      <c r="H16" s="169">
        <v>437876.02</v>
      </c>
      <c r="I16" s="169">
        <v>91953.98</v>
      </c>
      <c r="J16" s="76"/>
      <c r="K16" s="83">
        <f t="shared" si="3"/>
        <v>529830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71">
        <v>12.0</v>
      </c>
      <c r="S16" s="171">
        <v>13.0</v>
      </c>
      <c r="T16" s="172">
        <v>325556.86</v>
      </c>
      <c r="U16" s="173">
        <v>68366.94</v>
      </c>
      <c r="V16" s="166"/>
      <c r="W16" s="82">
        <f t="shared" si="7"/>
        <v>393923.8</v>
      </c>
      <c r="X16" s="165"/>
      <c r="Y16" s="165"/>
      <c r="Z16" s="79"/>
      <c r="AA16" s="80">
        <v>0.0</v>
      </c>
      <c r="AB16" s="166"/>
      <c r="AC16" s="81">
        <f t="shared" si="8"/>
        <v>0</v>
      </c>
      <c r="AD16" s="84">
        <f t="shared" si="9"/>
        <v>923753.8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-924820</v>
      </c>
      <c r="AQ16" s="170">
        <f>120000+30000</f>
        <v>150000</v>
      </c>
      <c r="AR16" s="96"/>
      <c r="AS16" s="90" t="str">
        <f t="shared" si="15"/>
        <v/>
      </c>
      <c r="AT16" s="90">
        <f t="shared" si="16"/>
        <v>774820</v>
      </c>
      <c r="AU16" s="75">
        <f>180950+9990</f>
        <v>190940</v>
      </c>
      <c r="AV16" s="169">
        <v>583880.0</v>
      </c>
      <c r="AW16" s="90"/>
      <c r="AX16" s="88"/>
      <c r="AY16" s="75"/>
      <c r="AZ16" s="90">
        <f t="shared" si="17"/>
        <v>0</v>
      </c>
      <c r="BA16" s="75"/>
      <c r="BB16" s="90">
        <f t="shared" ref="BB16:BB17" si="39">BA16*BB$2</f>
        <v>0</v>
      </c>
      <c r="BC16" s="75"/>
      <c r="BD16" s="90">
        <f t="shared" si="38"/>
        <v>0</v>
      </c>
      <c r="BE16" s="75"/>
      <c r="BF16" s="90">
        <f t="shared" si="19"/>
        <v>0</v>
      </c>
      <c r="BG16" s="75"/>
      <c r="BH16" s="90">
        <f t="shared" si="20"/>
        <v>0</v>
      </c>
      <c r="BI16" s="75"/>
      <c r="BJ16" s="90">
        <f>BI16*1665</f>
        <v>0</v>
      </c>
      <c r="BK16" s="92">
        <f t="shared" si="36"/>
        <v>924820</v>
      </c>
      <c r="BL16" s="93">
        <f t="shared" si="23"/>
        <v>923753.8</v>
      </c>
      <c r="BM16" s="94">
        <f t="shared" si="24"/>
        <v>1066.2</v>
      </c>
      <c r="BN16" s="13"/>
      <c r="BO16" s="95">
        <f t="shared" si="25"/>
        <v>0.1623809288</v>
      </c>
      <c r="BP16" s="95">
        <f t="shared" si="26"/>
        <v>0.2067000969</v>
      </c>
      <c r="BQ16" s="95">
        <f t="shared" si="27"/>
        <v>0.6320731779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1.001154204</v>
      </c>
      <c r="BW16" s="95">
        <f t="shared" si="33"/>
        <v>0.06486864286</v>
      </c>
    </row>
    <row r="17" ht="15.75" customHeight="1">
      <c r="A17" s="168">
        <f t="shared" si="34"/>
        <v>46151</v>
      </c>
      <c r="B17" s="162"/>
      <c r="C17" s="163">
        <v>9.0</v>
      </c>
      <c r="D17" s="165">
        <f t="shared" si="35"/>
        <v>1359</v>
      </c>
      <c r="E17" s="165">
        <f t="shared" si="2"/>
        <v>1367</v>
      </c>
      <c r="F17" s="73"/>
      <c r="G17" s="74"/>
      <c r="H17" s="169">
        <v>741218.01</v>
      </c>
      <c r="I17" s="169">
        <v>155655.79</v>
      </c>
      <c r="J17" s="76"/>
      <c r="K17" s="83">
        <f t="shared" si="3"/>
        <v>896873.8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ref="U17:U27" si="40">T17*21%</f>
        <v>0</v>
      </c>
      <c r="V17" s="166"/>
      <c r="W17" s="82">
        <f t="shared" si="7"/>
        <v>0</v>
      </c>
      <c r="X17" s="165"/>
      <c r="Y17" s="165"/>
      <c r="Z17" s="79"/>
      <c r="AA17" s="80">
        <v>0.0</v>
      </c>
      <c r="AB17" s="166"/>
      <c r="AC17" s="81">
        <f t="shared" si="8"/>
        <v>0</v>
      </c>
      <c r="AD17" s="84">
        <f t="shared" si="9"/>
        <v>896873.8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-894920</v>
      </c>
      <c r="AQ17" s="170">
        <v>30000.0</v>
      </c>
      <c r="AR17" s="96"/>
      <c r="AS17" s="90" t="str">
        <f t="shared" si="15"/>
        <v/>
      </c>
      <c r="AT17" s="90">
        <f t="shared" si="16"/>
        <v>847280</v>
      </c>
      <c r="AU17" s="169">
        <v>289950.0</v>
      </c>
      <c r="AV17" s="169">
        <v>557330.0</v>
      </c>
      <c r="AW17" s="90"/>
      <c r="AX17" s="88"/>
      <c r="AY17" s="169">
        <v>60.0</v>
      </c>
      <c r="AZ17" s="90">
        <f>AY17*294</f>
        <v>17640</v>
      </c>
      <c r="BA17" s="75"/>
      <c r="BB17" s="90">
        <f t="shared" si="39"/>
        <v>0</v>
      </c>
      <c r="BC17" s="75"/>
      <c r="BD17" s="90">
        <f t="shared" si="38"/>
        <v>0</v>
      </c>
      <c r="BE17" s="75"/>
      <c r="BF17" s="90">
        <f t="shared" si="19"/>
        <v>0</v>
      </c>
      <c r="BG17" s="75"/>
      <c r="BH17" s="90">
        <f t="shared" si="20"/>
        <v>0</v>
      </c>
      <c r="BI17" s="75"/>
      <c r="BJ17" s="90">
        <f t="shared" ref="BJ17:BJ28" si="41">BI17*BJ$2</f>
        <v>0</v>
      </c>
      <c r="BK17" s="92">
        <f t="shared" si="36"/>
        <v>894920</v>
      </c>
      <c r="BL17" s="93">
        <f t="shared" si="23"/>
        <v>896873.8</v>
      </c>
      <c r="BM17" s="94">
        <f t="shared" si="24"/>
        <v>-1953.8</v>
      </c>
      <c r="BN17" s="13"/>
      <c r="BO17" s="95">
        <f t="shared" si="25"/>
        <v>0.03344952211</v>
      </c>
      <c r="BP17" s="95">
        <f t="shared" si="26"/>
        <v>0.3232896312</v>
      </c>
      <c r="BQ17" s="95">
        <f t="shared" si="27"/>
        <v>0.6214140719</v>
      </c>
      <c r="BR17" s="95">
        <f t="shared" si="28"/>
        <v>0</v>
      </c>
      <c r="BS17" s="95">
        <f t="shared" si="29"/>
        <v>0.019668319</v>
      </c>
      <c r="BT17" s="95">
        <f t="shared" si="30"/>
        <v>0</v>
      </c>
      <c r="BU17" s="95">
        <f t="shared" si="31"/>
        <v>0</v>
      </c>
      <c r="BV17" s="95">
        <f t="shared" si="32"/>
        <v>0.9978215441</v>
      </c>
      <c r="BW17" s="95">
        <f t="shared" si="33"/>
        <v>0.06298105211</v>
      </c>
    </row>
    <row r="18" ht="15.75" customHeight="1">
      <c r="A18" s="168">
        <f t="shared" si="34"/>
        <v>46152</v>
      </c>
      <c r="B18" s="162"/>
      <c r="C18" s="163">
        <v>8.0</v>
      </c>
      <c r="D18" s="165">
        <f t="shared" si="35"/>
        <v>1368</v>
      </c>
      <c r="E18" s="165">
        <f t="shared" si="2"/>
        <v>1375</v>
      </c>
      <c r="F18" s="73"/>
      <c r="G18" s="74"/>
      <c r="H18" s="169">
        <v>410661.16</v>
      </c>
      <c r="I18" s="169">
        <v>86238.84</v>
      </c>
      <c r="J18" s="76"/>
      <c r="K18" s="83">
        <f t="shared" si="3"/>
        <v>496900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40"/>
        <v>0</v>
      </c>
      <c r="V18" s="166"/>
      <c r="W18" s="82">
        <f t="shared" si="7"/>
        <v>0</v>
      </c>
      <c r="X18" s="165"/>
      <c r="Y18" s="165"/>
      <c r="Z18" s="79"/>
      <c r="AA18" s="80">
        <v>0.0</v>
      </c>
      <c r="AB18" s="174"/>
      <c r="AC18" s="83">
        <f t="shared" si="8"/>
        <v>0</v>
      </c>
      <c r="AD18" s="84">
        <f t="shared" si="9"/>
        <v>496900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-496900</v>
      </c>
      <c r="AQ18" s="170">
        <v>0.0</v>
      </c>
      <c r="AR18" s="96"/>
      <c r="AS18" s="90" t="str">
        <f t="shared" si="15"/>
        <v/>
      </c>
      <c r="AT18" s="90">
        <f t="shared" si="16"/>
        <v>496900</v>
      </c>
      <c r="AU18" s="169">
        <v>84990.0</v>
      </c>
      <c r="AV18" s="169">
        <v>411910.0</v>
      </c>
      <c r="AW18" s="90"/>
      <c r="AX18" s="88"/>
      <c r="AY18" s="75"/>
      <c r="AZ18" s="90">
        <f>AY18*284</f>
        <v>0</v>
      </c>
      <c r="BA18" s="75"/>
      <c r="BB18" s="90">
        <f>BA18*1415</f>
        <v>0</v>
      </c>
      <c r="BC18" s="75"/>
      <c r="BD18" s="90">
        <f t="shared" si="38"/>
        <v>0</v>
      </c>
      <c r="BE18" s="75"/>
      <c r="BF18" s="90">
        <f t="shared" si="19"/>
        <v>0</v>
      </c>
      <c r="BG18" s="75"/>
      <c r="BH18" s="90">
        <f t="shared" si="20"/>
        <v>0</v>
      </c>
      <c r="BI18" s="75"/>
      <c r="BJ18" s="90">
        <f t="shared" si="41"/>
        <v>0</v>
      </c>
      <c r="BK18" s="92">
        <f t="shared" si="36"/>
        <v>496900</v>
      </c>
      <c r="BL18" s="93">
        <f t="shared" si="23"/>
        <v>496900</v>
      </c>
      <c r="BM18" s="94">
        <f t="shared" si="24"/>
        <v>0</v>
      </c>
      <c r="BN18" s="13"/>
      <c r="BO18" s="95">
        <f t="shared" si="25"/>
        <v>0</v>
      </c>
      <c r="BP18" s="95">
        <f t="shared" si="26"/>
        <v>0.1710404508</v>
      </c>
      <c r="BQ18" s="95">
        <f t="shared" si="27"/>
        <v>0.8289595492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0.03489374402</v>
      </c>
    </row>
    <row r="19" ht="15.75" customHeight="1">
      <c r="A19" s="168">
        <f t="shared" si="34"/>
        <v>46153</v>
      </c>
      <c r="B19" s="162"/>
      <c r="C19" s="163">
        <v>3.0</v>
      </c>
      <c r="D19" s="165">
        <f t="shared" si="35"/>
        <v>1376</v>
      </c>
      <c r="E19" s="165">
        <f t="shared" si="2"/>
        <v>1378</v>
      </c>
      <c r="F19" s="73"/>
      <c r="G19" s="74"/>
      <c r="H19" s="169">
        <v>239628.1</v>
      </c>
      <c r="I19" s="169">
        <v>50321.9</v>
      </c>
      <c r="J19" s="76"/>
      <c r="K19" s="83">
        <f t="shared" si="3"/>
        <v>289950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40"/>
        <v>0</v>
      </c>
      <c r="V19" s="166"/>
      <c r="W19" s="82">
        <f t="shared" si="7"/>
        <v>0</v>
      </c>
      <c r="X19" s="165"/>
      <c r="Y19" s="165"/>
      <c r="Z19" s="79"/>
      <c r="AA19" s="80">
        <v>0.0</v>
      </c>
      <c r="AB19" s="174"/>
      <c r="AC19" s="83">
        <f t="shared" si="8"/>
        <v>0</v>
      </c>
      <c r="AD19" s="84">
        <f t="shared" si="9"/>
        <v>289950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-289950</v>
      </c>
      <c r="AQ19" s="169">
        <v>0.0</v>
      </c>
      <c r="AR19" s="96"/>
      <c r="AS19" s="90" t="str">
        <f t="shared" si="15"/>
        <v/>
      </c>
      <c r="AT19" s="90">
        <f t="shared" si="16"/>
        <v>289950</v>
      </c>
      <c r="AU19" s="75"/>
      <c r="AV19" s="169">
        <v>289950.0</v>
      </c>
      <c r="AW19" s="90"/>
      <c r="AX19" s="88"/>
      <c r="AY19" s="75"/>
      <c r="AZ19" s="90">
        <f t="shared" ref="AZ19:AZ26" si="42">AY19*AZ$3</f>
        <v>0</v>
      </c>
      <c r="BA19" s="75"/>
      <c r="BB19" s="90">
        <f>BA19*BB$2</f>
        <v>0</v>
      </c>
      <c r="BC19" s="75"/>
      <c r="BD19" s="90">
        <f t="shared" si="38"/>
        <v>0</v>
      </c>
      <c r="BE19" s="75"/>
      <c r="BF19" s="90">
        <f t="shared" si="19"/>
        <v>0</v>
      </c>
      <c r="BG19" s="75"/>
      <c r="BH19" s="90">
        <f t="shared" si="20"/>
        <v>0</v>
      </c>
      <c r="BI19" s="75"/>
      <c r="BJ19" s="90">
        <f t="shared" si="41"/>
        <v>0</v>
      </c>
      <c r="BK19" s="92">
        <f t="shared" si="36"/>
        <v>289950</v>
      </c>
      <c r="BL19" s="93">
        <f t="shared" si="23"/>
        <v>289950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0.02036112111</v>
      </c>
    </row>
    <row r="20" ht="15.75" customHeight="1">
      <c r="A20" s="168">
        <f t="shared" si="34"/>
        <v>46154</v>
      </c>
      <c r="B20" s="162"/>
      <c r="C20" s="163">
        <v>1.0</v>
      </c>
      <c r="D20" s="165">
        <f t="shared" si="35"/>
        <v>1379</v>
      </c>
      <c r="E20" s="165">
        <f t="shared" si="2"/>
        <v>1379</v>
      </c>
      <c r="F20" s="73"/>
      <c r="G20" s="74"/>
      <c r="H20" s="169">
        <v>66107.44</v>
      </c>
      <c r="I20" s="169">
        <v>13882.56</v>
      </c>
      <c r="J20" s="76"/>
      <c r="K20" s="83">
        <f t="shared" si="3"/>
        <v>79990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40"/>
        <v>0</v>
      </c>
      <c r="V20" s="166"/>
      <c r="W20" s="82">
        <f t="shared" si="7"/>
        <v>0</v>
      </c>
      <c r="X20" s="165"/>
      <c r="Y20" s="165"/>
      <c r="Z20" s="79"/>
      <c r="AA20" s="80">
        <v>0.0</v>
      </c>
      <c r="AB20" s="166"/>
      <c r="AC20" s="81">
        <f t="shared" si="8"/>
        <v>0</v>
      </c>
      <c r="AD20" s="84">
        <f t="shared" si="9"/>
        <v>79990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-79990</v>
      </c>
      <c r="AQ20" s="169">
        <v>0.0</v>
      </c>
      <c r="AR20" s="96"/>
      <c r="AS20" s="90" t="str">
        <f t="shared" si="15"/>
        <v/>
      </c>
      <c r="AT20" s="90">
        <f t="shared" si="16"/>
        <v>79990</v>
      </c>
      <c r="AU20" s="75"/>
      <c r="AV20" s="169">
        <v>79990.0</v>
      </c>
      <c r="AW20" s="90"/>
      <c r="AX20" s="88"/>
      <c r="AY20" s="75"/>
      <c r="AZ20" s="90">
        <f t="shared" si="42"/>
        <v>0</v>
      </c>
      <c r="BA20" s="75"/>
      <c r="BB20" s="90">
        <f t="shared" ref="BB20:BB23" si="43">BA20*1425</f>
        <v>0</v>
      </c>
      <c r="BC20" s="75"/>
      <c r="BD20" s="90">
        <f t="shared" si="38"/>
        <v>0</v>
      </c>
      <c r="BE20" s="75"/>
      <c r="BF20" s="90">
        <f t="shared" si="19"/>
        <v>0</v>
      </c>
      <c r="BG20" s="75"/>
      <c r="BH20" s="90">
        <f t="shared" si="20"/>
        <v>0</v>
      </c>
      <c r="BI20" s="75"/>
      <c r="BJ20" s="90">
        <f t="shared" si="41"/>
        <v>0</v>
      </c>
      <c r="BK20" s="92">
        <f t="shared" si="36"/>
        <v>79990</v>
      </c>
      <c r="BL20" s="93">
        <f t="shared" si="23"/>
        <v>79990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0.005617127358</v>
      </c>
    </row>
    <row r="21" ht="15.75" customHeight="1">
      <c r="A21" s="168">
        <f t="shared" si="34"/>
        <v>46155</v>
      </c>
      <c r="B21" s="162"/>
      <c r="C21" s="163">
        <v>2.0</v>
      </c>
      <c r="D21" s="165">
        <f t="shared" si="35"/>
        <v>1380</v>
      </c>
      <c r="E21" s="165">
        <f t="shared" si="2"/>
        <v>1381</v>
      </c>
      <c r="F21" s="73"/>
      <c r="G21" s="74"/>
      <c r="H21" s="169">
        <v>53702.47</v>
      </c>
      <c r="I21" s="169">
        <v>11277.53</v>
      </c>
      <c r="J21" s="76"/>
      <c r="K21" s="83">
        <f t="shared" si="3"/>
        <v>64980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40"/>
        <v>0</v>
      </c>
      <c r="V21" s="166"/>
      <c r="W21" s="82">
        <f t="shared" si="7"/>
        <v>0</v>
      </c>
      <c r="X21" s="165"/>
      <c r="Y21" s="165"/>
      <c r="Z21" s="79"/>
      <c r="AA21" s="80">
        <v>0.0</v>
      </c>
      <c r="AB21" s="166"/>
      <c r="AC21" s="81">
        <f t="shared" si="8"/>
        <v>0</v>
      </c>
      <c r="AD21" s="84">
        <f t="shared" si="9"/>
        <v>64980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-64980</v>
      </c>
      <c r="AQ21" s="169">
        <v>0.0</v>
      </c>
      <c r="AR21" s="96"/>
      <c r="AS21" s="90" t="str">
        <f t="shared" si="15"/>
        <v/>
      </c>
      <c r="AT21" s="90">
        <f t="shared" si="16"/>
        <v>64980</v>
      </c>
      <c r="AU21" s="75"/>
      <c r="AV21" s="169">
        <v>64980.0</v>
      </c>
      <c r="AW21" s="90"/>
      <c r="AX21" s="88"/>
      <c r="AY21" s="75"/>
      <c r="AZ21" s="90">
        <f t="shared" si="42"/>
        <v>0</v>
      </c>
      <c r="BA21" s="75"/>
      <c r="BB21" s="90">
        <f t="shared" si="43"/>
        <v>0</v>
      </c>
      <c r="BC21" s="75"/>
      <c r="BD21" s="90">
        <f t="shared" si="38"/>
        <v>0</v>
      </c>
      <c r="BE21" s="75"/>
      <c r="BF21" s="90">
        <f t="shared" si="19"/>
        <v>0</v>
      </c>
      <c r="BG21" s="75"/>
      <c r="BH21" s="90">
        <f t="shared" si="20"/>
        <v>0</v>
      </c>
      <c r="BI21" s="75"/>
      <c r="BJ21" s="90">
        <f t="shared" si="41"/>
        <v>0</v>
      </c>
      <c r="BK21" s="92">
        <f t="shared" si="36"/>
        <v>64980</v>
      </c>
      <c r="BL21" s="93">
        <f t="shared" si="23"/>
        <v>64980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0.004563082082</v>
      </c>
    </row>
    <row r="22" ht="15.75" customHeight="1">
      <c r="A22" s="168">
        <f t="shared" si="34"/>
        <v>46156</v>
      </c>
      <c r="B22" s="162"/>
      <c r="C22" s="163">
        <v>3.0</v>
      </c>
      <c r="D22" s="165">
        <f t="shared" si="35"/>
        <v>1382</v>
      </c>
      <c r="E22" s="165">
        <f t="shared" si="2"/>
        <v>1384</v>
      </c>
      <c r="F22" s="73"/>
      <c r="G22" s="74"/>
      <c r="H22" s="169">
        <v>261851.24</v>
      </c>
      <c r="I22" s="169">
        <v>54988.76</v>
      </c>
      <c r="J22" s="76"/>
      <c r="K22" s="83">
        <f t="shared" si="3"/>
        <v>316840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40"/>
        <v>0</v>
      </c>
      <c r="V22" s="166"/>
      <c r="W22" s="82">
        <f t="shared" si="7"/>
        <v>0</v>
      </c>
      <c r="X22" s="165"/>
      <c r="Y22" s="165"/>
      <c r="Z22" s="79"/>
      <c r="AA22" s="80">
        <v>0.0</v>
      </c>
      <c r="AB22" s="166"/>
      <c r="AC22" s="81">
        <f t="shared" si="8"/>
        <v>0</v>
      </c>
      <c r="AD22" s="84">
        <f t="shared" si="9"/>
        <v>316840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-316850</v>
      </c>
      <c r="AQ22" s="169">
        <v>100000.0</v>
      </c>
      <c r="AR22" s="96"/>
      <c r="AS22" s="90" t="str">
        <f t="shared" si="15"/>
        <v/>
      </c>
      <c r="AT22" s="90">
        <f t="shared" si="16"/>
        <v>216850</v>
      </c>
      <c r="AU22" s="169">
        <v>106930.0</v>
      </c>
      <c r="AV22" s="169">
        <v>109920.0</v>
      </c>
      <c r="AW22" s="90"/>
      <c r="AX22" s="88"/>
      <c r="AY22" s="75"/>
      <c r="AZ22" s="90">
        <f t="shared" si="42"/>
        <v>0</v>
      </c>
      <c r="BA22" s="75"/>
      <c r="BB22" s="90">
        <f t="shared" si="43"/>
        <v>0</v>
      </c>
      <c r="BC22" s="75"/>
      <c r="BD22" s="90">
        <f t="shared" si="38"/>
        <v>0</v>
      </c>
      <c r="BE22" s="75"/>
      <c r="BF22" s="90">
        <f t="shared" si="19"/>
        <v>0</v>
      </c>
      <c r="BG22" s="75"/>
      <c r="BH22" s="90">
        <f t="shared" si="20"/>
        <v>0</v>
      </c>
      <c r="BI22" s="75"/>
      <c r="BJ22" s="90">
        <f t="shared" si="41"/>
        <v>0</v>
      </c>
      <c r="BK22" s="92">
        <f t="shared" si="36"/>
        <v>316850</v>
      </c>
      <c r="BL22" s="93">
        <f t="shared" si="23"/>
        <v>316840</v>
      </c>
      <c r="BM22" s="94">
        <f t="shared" si="24"/>
        <v>10</v>
      </c>
      <c r="BN22" s="13"/>
      <c r="BO22" s="95">
        <f t="shared" si="25"/>
        <v>0.3156167151</v>
      </c>
      <c r="BP22" s="95">
        <f t="shared" si="26"/>
        <v>0.3374889534</v>
      </c>
      <c r="BQ22" s="95">
        <f t="shared" si="27"/>
        <v>0.3469258932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1.000031562</v>
      </c>
      <c r="BW22" s="95">
        <f t="shared" si="33"/>
        <v>0.02224941408</v>
      </c>
    </row>
    <row r="23" ht="15.75" customHeight="1">
      <c r="A23" s="168">
        <f t="shared" si="34"/>
        <v>46157</v>
      </c>
      <c r="B23" s="162"/>
      <c r="C23" s="163">
        <v>6.0</v>
      </c>
      <c r="D23" s="165">
        <f t="shared" si="35"/>
        <v>1385</v>
      </c>
      <c r="E23" s="165">
        <f t="shared" si="2"/>
        <v>1390</v>
      </c>
      <c r="F23" s="73"/>
      <c r="G23" s="74"/>
      <c r="H23" s="169">
        <v>368520.65</v>
      </c>
      <c r="I23" s="169">
        <v>77389.35</v>
      </c>
      <c r="J23" s="76"/>
      <c r="K23" s="83">
        <f t="shared" si="3"/>
        <v>445910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40"/>
        <v>0</v>
      </c>
      <c r="V23" s="166"/>
      <c r="W23" s="82">
        <f t="shared" si="7"/>
        <v>0</v>
      </c>
      <c r="X23" s="165"/>
      <c r="Y23" s="165"/>
      <c r="Z23" s="79"/>
      <c r="AA23" s="80">
        <v>0.0</v>
      </c>
      <c r="AB23" s="166"/>
      <c r="AC23" s="81">
        <f t="shared" si="8"/>
        <v>0</v>
      </c>
      <c r="AD23" s="84">
        <f t="shared" si="9"/>
        <v>445910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-445920</v>
      </c>
      <c r="AQ23" s="169">
        <v>30000.0</v>
      </c>
      <c r="AR23" s="96"/>
      <c r="AS23" s="90" t="str">
        <f t="shared" si="15"/>
        <v/>
      </c>
      <c r="AT23" s="90">
        <f t="shared" si="16"/>
        <v>415920</v>
      </c>
      <c r="AU23" s="169">
        <v>49990.0</v>
      </c>
      <c r="AV23" s="169">
        <v>365930.0</v>
      </c>
      <c r="AW23" s="90"/>
      <c r="AX23" s="88"/>
      <c r="AY23" s="75"/>
      <c r="AZ23" s="90">
        <f t="shared" si="42"/>
        <v>0</v>
      </c>
      <c r="BA23" s="75"/>
      <c r="BB23" s="90">
        <f t="shared" si="43"/>
        <v>0</v>
      </c>
      <c r="BC23" s="75"/>
      <c r="BD23" s="90">
        <f t="shared" si="38"/>
        <v>0</v>
      </c>
      <c r="BE23" s="75"/>
      <c r="BF23" s="90">
        <f t="shared" si="19"/>
        <v>0</v>
      </c>
      <c r="BG23" s="75"/>
      <c r="BH23" s="90">
        <f t="shared" si="20"/>
        <v>0</v>
      </c>
      <c r="BI23" s="75"/>
      <c r="BJ23" s="90">
        <f t="shared" si="41"/>
        <v>0</v>
      </c>
      <c r="BK23" s="92">
        <f t="shared" si="36"/>
        <v>445920</v>
      </c>
      <c r="BL23" s="93">
        <f t="shared" si="23"/>
        <v>445910</v>
      </c>
      <c r="BM23" s="94">
        <f t="shared" si="24"/>
        <v>10</v>
      </c>
      <c r="BN23" s="13"/>
      <c r="BO23" s="95">
        <f t="shared" si="25"/>
        <v>0.0672781503</v>
      </c>
      <c r="BP23" s="95">
        <f t="shared" si="26"/>
        <v>0.1121078244</v>
      </c>
      <c r="BQ23" s="95">
        <f t="shared" si="27"/>
        <v>0.8206364513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1.000022426</v>
      </c>
      <c r="BW23" s="95">
        <f t="shared" si="33"/>
        <v>0.03131307989</v>
      </c>
    </row>
    <row r="24" ht="15.75" customHeight="1">
      <c r="A24" s="168">
        <f t="shared" si="34"/>
        <v>46158</v>
      </c>
      <c r="B24" s="162"/>
      <c r="C24" s="163">
        <v>8.0</v>
      </c>
      <c r="D24" s="165">
        <f t="shared" si="35"/>
        <v>1391</v>
      </c>
      <c r="E24" s="165">
        <f t="shared" si="2"/>
        <v>1398</v>
      </c>
      <c r="F24" s="73"/>
      <c r="G24" s="74"/>
      <c r="H24" s="169">
        <v>641223.13</v>
      </c>
      <c r="I24" s="169">
        <v>134656.87</v>
      </c>
      <c r="J24" s="76"/>
      <c r="K24" s="83">
        <f t="shared" si="3"/>
        <v>775880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40"/>
        <v>0</v>
      </c>
      <c r="V24" s="166"/>
      <c r="W24" s="82">
        <f t="shared" si="7"/>
        <v>0</v>
      </c>
      <c r="X24" s="171">
        <v>27.0</v>
      </c>
      <c r="Y24" s="171">
        <v>27.0</v>
      </c>
      <c r="Z24" s="172">
        <v>41314.05</v>
      </c>
      <c r="AA24" s="173">
        <v>8675.95</v>
      </c>
      <c r="AB24" s="166"/>
      <c r="AC24" s="81">
        <f t="shared" si="8"/>
        <v>49990</v>
      </c>
      <c r="AD24" s="84">
        <f t="shared" si="9"/>
        <v>725890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-727960</v>
      </c>
      <c r="AQ24" s="75">
        <f>100000</f>
        <v>100000</v>
      </c>
      <c r="AR24" s="96"/>
      <c r="AS24" s="90" t="str">
        <f t="shared" si="15"/>
        <v/>
      </c>
      <c r="AT24" s="90">
        <f t="shared" si="16"/>
        <v>345960</v>
      </c>
      <c r="AU24" s="75"/>
      <c r="AV24" s="169">
        <v>345960.0</v>
      </c>
      <c r="AW24" s="90"/>
      <c r="AX24" s="88"/>
      <c r="AY24" s="75"/>
      <c r="AZ24" s="90">
        <f t="shared" si="42"/>
        <v>0</v>
      </c>
      <c r="BA24" s="169">
        <v>200.0</v>
      </c>
      <c r="BB24" s="90">
        <f>BA24*1410</f>
        <v>282000</v>
      </c>
      <c r="BC24" s="75"/>
      <c r="BD24" s="90">
        <f t="shared" si="38"/>
        <v>0</v>
      </c>
      <c r="BE24" s="75"/>
      <c r="BF24" s="90">
        <f t="shared" si="19"/>
        <v>0</v>
      </c>
      <c r="BG24" s="75"/>
      <c r="BH24" s="90">
        <f t="shared" si="20"/>
        <v>0</v>
      </c>
      <c r="BI24" s="75"/>
      <c r="BJ24" s="90">
        <f t="shared" si="41"/>
        <v>0</v>
      </c>
      <c r="BK24" s="92">
        <f t="shared" si="36"/>
        <v>727960</v>
      </c>
      <c r="BL24" s="93">
        <f t="shared" si="23"/>
        <v>725890</v>
      </c>
      <c r="BM24" s="94">
        <f t="shared" si="24"/>
        <v>2070</v>
      </c>
      <c r="BN24" s="13"/>
      <c r="BO24" s="95">
        <f t="shared" si="25"/>
        <v>0.1377619199</v>
      </c>
      <c r="BP24" s="95">
        <f t="shared" si="26"/>
        <v>0</v>
      </c>
      <c r="BQ24" s="95">
        <f t="shared" si="27"/>
        <v>0.4766011379</v>
      </c>
      <c r="BR24" s="95">
        <f t="shared" si="28"/>
        <v>0</v>
      </c>
      <c r="BS24" s="95">
        <f t="shared" si="29"/>
        <v>0</v>
      </c>
      <c r="BT24" s="95">
        <f t="shared" si="30"/>
        <v>0.388488614</v>
      </c>
      <c r="BU24" s="95">
        <f t="shared" si="31"/>
        <v>0</v>
      </c>
      <c r="BV24" s="95">
        <f t="shared" si="32"/>
        <v>1.002851672</v>
      </c>
      <c r="BW24" s="95">
        <f t="shared" si="33"/>
        <v>0.05097407898</v>
      </c>
    </row>
    <row r="25" ht="15.75" customHeight="1">
      <c r="A25" s="168">
        <f t="shared" si="34"/>
        <v>46159</v>
      </c>
      <c r="B25" s="162"/>
      <c r="C25" s="176">
        <v>7.0</v>
      </c>
      <c r="D25" s="165">
        <f t="shared" si="35"/>
        <v>1399</v>
      </c>
      <c r="E25" s="165">
        <f t="shared" si="2"/>
        <v>1405</v>
      </c>
      <c r="F25" s="73"/>
      <c r="G25" s="74"/>
      <c r="H25" s="169">
        <v>542867.76</v>
      </c>
      <c r="I25" s="169">
        <v>114002.24</v>
      </c>
      <c r="J25" s="76"/>
      <c r="K25" s="83">
        <f t="shared" si="3"/>
        <v>656870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40"/>
        <v>0</v>
      </c>
      <c r="V25" s="166"/>
      <c r="W25" s="82">
        <f t="shared" si="7"/>
        <v>0</v>
      </c>
      <c r="X25" s="171">
        <v>28.0</v>
      </c>
      <c r="Y25" s="171">
        <v>28.0</v>
      </c>
      <c r="Z25" s="172">
        <v>165280.99</v>
      </c>
      <c r="AA25" s="173">
        <v>34709.01</v>
      </c>
      <c r="AB25" s="166"/>
      <c r="AC25" s="81">
        <f t="shared" si="8"/>
        <v>199990</v>
      </c>
      <c r="AD25" s="84">
        <f t="shared" si="9"/>
        <v>456880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-456880</v>
      </c>
      <c r="AQ25" s="169">
        <v>0.0</v>
      </c>
      <c r="AR25" s="97"/>
      <c r="AS25" s="90" t="str">
        <f t="shared" si="15"/>
        <v/>
      </c>
      <c r="AT25" s="90">
        <f t="shared" si="16"/>
        <v>456880</v>
      </c>
      <c r="AU25" s="75">
        <f>29990+29990</f>
        <v>59980</v>
      </c>
      <c r="AV25" s="169">
        <v>396900.0</v>
      </c>
      <c r="AW25" s="90"/>
      <c r="AX25" s="88"/>
      <c r="AY25" s="75"/>
      <c r="AZ25" s="90">
        <f t="shared" si="42"/>
        <v>0</v>
      </c>
      <c r="BA25" s="75"/>
      <c r="BB25" s="90">
        <f>BA25*1415</f>
        <v>0</v>
      </c>
      <c r="BC25" s="75"/>
      <c r="BD25" s="90">
        <f t="shared" si="38"/>
        <v>0</v>
      </c>
      <c r="BE25" s="75"/>
      <c r="BF25" s="90">
        <f t="shared" si="19"/>
        <v>0</v>
      </c>
      <c r="BG25" s="75"/>
      <c r="BH25" s="90">
        <f t="shared" si="20"/>
        <v>0</v>
      </c>
      <c r="BI25" s="75"/>
      <c r="BJ25" s="90">
        <f t="shared" si="41"/>
        <v>0</v>
      </c>
      <c r="BK25" s="92">
        <f t="shared" si="36"/>
        <v>456880</v>
      </c>
      <c r="BL25" s="93">
        <f t="shared" si="23"/>
        <v>456880</v>
      </c>
      <c r="BM25" s="94">
        <f t="shared" si="24"/>
        <v>0</v>
      </c>
      <c r="BN25" s="13"/>
      <c r="BO25" s="95">
        <f t="shared" si="25"/>
        <v>0</v>
      </c>
      <c r="BP25" s="95">
        <f t="shared" si="26"/>
        <v>0.131281737</v>
      </c>
      <c r="BQ25" s="95">
        <f t="shared" si="27"/>
        <v>0.868718263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</v>
      </c>
      <c r="BW25" s="95">
        <f t="shared" si="33"/>
        <v>0.03208342477</v>
      </c>
    </row>
    <row r="26" ht="15.75" customHeight="1">
      <c r="A26" s="168">
        <f t="shared" si="34"/>
        <v>46160</v>
      </c>
      <c r="B26" s="162"/>
      <c r="C26" s="163">
        <v>6.0</v>
      </c>
      <c r="D26" s="165">
        <f t="shared" si="35"/>
        <v>1406</v>
      </c>
      <c r="E26" s="165">
        <f t="shared" si="2"/>
        <v>1411</v>
      </c>
      <c r="F26" s="73"/>
      <c r="G26" s="74"/>
      <c r="H26" s="169">
        <v>797446.27</v>
      </c>
      <c r="I26" s="169">
        <v>167463.73</v>
      </c>
      <c r="J26" s="76"/>
      <c r="K26" s="83">
        <f t="shared" si="3"/>
        <v>964910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40"/>
        <v>0</v>
      </c>
      <c r="V26" s="166"/>
      <c r="W26" s="82">
        <f t="shared" si="7"/>
        <v>0</v>
      </c>
      <c r="X26" s="165"/>
      <c r="Y26" s="165"/>
      <c r="Z26" s="79"/>
      <c r="AA26" s="80">
        <v>0.0</v>
      </c>
      <c r="AB26" s="166"/>
      <c r="AC26" s="81">
        <f t="shared" si="8"/>
        <v>0</v>
      </c>
      <c r="AD26" s="84">
        <f t="shared" si="9"/>
        <v>964910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-977940</v>
      </c>
      <c r="AQ26" s="169">
        <v>0.0</v>
      </c>
      <c r="AR26" s="96"/>
      <c r="AS26" s="90" t="str">
        <f t="shared" si="15"/>
        <v/>
      </c>
      <c r="AT26" s="90">
        <f t="shared" si="16"/>
        <v>554940</v>
      </c>
      <c r="AU26" s="75"/>
      <c r="AV26" s="169">
        <v>554940.0</v>
      </c>
      <c r="AW26" s="90"/>
      <c r="AX26" s="88"/>
      <c r="AY26" s="75"/>
      <c r="AZ26" s="90">
        <f t="shared" si="42"/>
        <v>0</v>
      </c>
      <c r="BA26" s="169">
        <v>300.0</v>
      </c>
      <c r="BB26" s="90">
        <f>BA26*1410</f>
        <v>423000</v>
      </c>
      <c r="BC26" s="75"/>
      <c r="BD26" s="90">
        <f>BC26*1415</f>
        <v>0</v>
      </c>
      <c r="BE26" s="75"/>
      <c r="BF26" s="90">
        <f t="shared" si="19"/>
        <v>0</v>
      </c>
      <c r="BG26" s="75"/>
      <c r="BH26" s="90">
        <f t="shared" si="20"/>
        <v>0</v>
      </c>
      <c r="BI26" s="75"/>
      <c r="BJ26" s="90">
        <f t="shared" si="41"/>
        <v>0</v>
      </c>
      <c r="BK26" s="92">
        <f t="shared" si="36"/>
        <v>977940</v>
      </c>
      <c r="BL26" s="93">
        <f t="shared" si="23"/>
        <v>964910</v>
      </c>
      <c r="BM26" s="94">
        <f t="shared" si="24"/>
        <v>13030</v>
      </c>
      <c r="BN26" s="13"/>
      <c r="BO26" s="95">
        <f t="shared" si="25"/>
        <v>0</v>
      </c>
      <c r="BP26" s="95">
        <f t="shared" si="26"/>
        <v>0</v>
      </c>
      <c r="BQ26" s="95">
        <f t="shared" si="27"/>
        <v>0.5751209957</v>
      </c>
      <c r="BR26" s="95">
        <f t="shared" si="28"/>
        <v>0</v>
      </c>
      <c r="BS26" s="95">
        <f t="shared" si="29"/>
        <v>0</v>
      </c>
      <c r="BT26" s="95">
        <f t="shared" si="30"/>
        <v>0.4383828544</v>
      </c>
      <c r="BU26" s="95">
        <f t="shared" si="31"/>
        <v>0</v>
      </c>
      <c r="BV26" s="95">
        <f t="shared" si="32"/>
        <v>1.01350385</v>
      </c>
      <c r="BW26" s="95">
        <f t="shared" si="33"/>
        <v>0.06775874933</v>
      </c>
    </row>
    <row r="27" ht="15.75" customHeight="1">
      <c r="A27" s="168">
        <f t="shared" si="34"/>
        <v>46161</v>
      </c>
      <c r="B27" s="162"/>
      <c r="C27" s="163">
        <v>4.0</v>
      </c>
      <c r="D27" s="165">
        <f t="shared" si="35"/>
        <v>1412</v>
      </c>
      <c r="E27" s="165">
        <f t="shared" si="2"/>
        <v>1415</v>
      </c>
      <c r="F27" s="73"/>
      <c r="G27" s="74"/>
      <c r="H27" s="169">
        <v>138786.69</v>
      </c>
      <c r="I27" s="169">
        <v>29145.21</v>
      </c>
      <c r="J27" s="76"/>
      <c r="K27" s="83">
        <f t="shared" si="3"/>
        <v>167931.9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40"/>
        <v>0</v>
      </c>
      <c r="V27" s="166"/>
      <c r="W27" s="82">
        <f t="shared" si="7"/>
        <v>0</v>
      </c>
      <c r="X27" s="165"/>
      <c r="Y27" s="165"/>
      <c r="Z27" s="79"/>
      <c r="AA27" s="80">
        <v>0.0</v>
      </c>
      <c r="AB27" s="166"/>
      <c r="AC27" s="81">
        <f t="shared" si="8"/>
        <v>0</v>
      </c>
      <c r="AD27" s="84">
        <f t="shared" si="9"/>
        <v>167931.9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-167930</v>
      </c>
      <c r="AQ27" s="169">
        <v>0.0</v>
      </c>
      <c r="AR27" s="96"/>
      <c r="AS27" s="90" t="str">
        <f t="shared" si="15"/>
        <v/>
      </c>
      <c r="AT27" s="90">
        <f t="shared" si="16"/>
        <v>167930</v>
      </c>
      <c r="AU27" s="169">
        <v>92950.0</v>
      </c>
      <c r="AV27" s="169">
        <v>74980.0</v>
      </c>
      <c r="AW27" s="90"/>
      <c r="AX27" s="88"/>
      <c r="AY27" s="75"/>
      <c r="AZ27" s="90">
        <f>AY27*278</f>
        <v>0</v>
      </c>
      <c r="BA27" s="75"/>
      <c r="BB27" s="90">
        <f t="shared" ref="BB27:BB28" si="44">BA27*BB$2</f>
        <v>0</v>
      </c>
      <c r="BC27" s="75"/>
      <c r="BD27" s="90">
        <f>BC27*1480</f>
        <v>0</v>
      </c>
      <c r="BE27" s="75"/>
      <c r="BF27" s="90">
        <f>BE27*1480</f>
        <v>0</v>
      </c>
      <c r="BG27" s="75"/>
      <c r="BH27" s="90">
        <f t="shared" si="20"/>
        <v>0</v>
      </c>
      <c r="BI27" s="75"/>
      <c r="BJ27" s="90">
        <f t="shared" si="41"/>
        <v>0</v>
      </c>
      <c r="BK27" s="92">
        <f t="shared" si="36"/>
        <v>167930</v>
      </c>
      <c r="BL27" s="93">
        <f t="shared" si="23"/>
        <v>167931.9</v>
      </c>
      <c r="BM27" s="94">
        <f t="shared" si="24"/>
        <v>-1.9</v>
      </c>
      <c r="BN27" s="13"/>
      <c r="BO27" s="95">
        <f t="shared" si="25"/>
        <v>0</v>
      </c>
      <c r="BP27" s="95">
        <f t="shared" si="26"/>
        <v>0.553498174</v>
      </c>
      <c r="BQ27" s="95">
        <f t="shared" si="27"/>
        <v>0.4464905119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0.9999886859</v>
      </c>
      <c r="BW27" s="95">
        <f t="shared" si="33"/>
        <v>0.01179265995</v>
      </c>
    </row>
    <row r="28" ht="15.75" customHeight="1">
      <c r="A28" s="168">
        <f t="shared" si="34"/>
        <v>46162</v>
      </c>
      <c r="B28" s="162"/>
      <c r="C28" s="163">
        <v>4.0</v>
      </c>
      <c r="D28" s="165">
        <f t="shared" si="35"/>
        <v>1416</v>
      </c>
      <c r="E28" s="165">
        <f t="shared" si="2"/>
        <v>1419</v>
      </c>
      <c r="F28" s="73"/>
      <c r="G28" s="74"/>
      <c r="H28" s="169">
        <v>424743.81</v>
      </c>
      <c r="I28" s="169">
        <v>89196.19</v>
      </c>
      <c r="J28" s="76"/>
      <c r="K28" s="83">
        <f t="shared" si="3"/>
        <v>513940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71">
        <v>14.0</v>
      </c>
      <c r="S28" s="171">
        <v>14.0</v>
      </c>
      <c r="T28" s="172">
        <v>41314.05</v>
      </c>
      <c r="U28" s="173">
        <v>8675.95</v>
      </c>
      <c r="V28" s="166"/>
      <c r="W28" s="82">
        <f t="shared" si="7"/>
        <v>49990</v>
      </c>
      <c r="X28" s="165"/>
      <c r="Y28" s="165"/>
      <c r="Z28" s="79"/>
      <c r="AA28" s="80">
        <v>0.0</v>
      </c>
      <c r="AB28" s="166"/>
      <c r="AC28" s="81">
        <f t="shared" si="8"/>
        <v>0</v>
      </c>
      <c r="AD28" s="84">
        <f t="shared" si="9"/>
        <v>563930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-563930</v>
      </c>
      <c r="AQ28" s="169">
        <v>0.0</v>
      </c>
      <c r="AR28" s="99"/>
      <c r="AS28" s="90" t="str">
        <f t="shared" si="15"/>
        <v/>
      </c>
      <c r="AT28" s="90">
        <f t="shared" si="16"/>
        <v>563930</v>
      </c>
      <c r="AU28" s="75">
        <f>319980+159980</f>
        <v>479960</v>
      </c>
      <c r="AV28" s="169">
        <v>83970.0</v>
      </c>
      <c r="AW28" s="90"/>
      <c r="AX28" s="88"/>
      <c r="AY28" s="75"/>
      <c r="AZ28" s="90">
        <f>AY28*281</f>
        <v>0</v>
      </c>
      <c r="BA28" s="75"/>
      <c r="BB28" s="90">
        <f t="shared" si="44"/>
        <v>0</v>
      </c>
      <c r="BC28" s="75"/>
      <c r="BD28" s="90">
        <f>BC28*BD$2</f>
        <v>0</v>
      </c>
      <c r="BE28" s="75"/>
      <c r="BF28" s="90">
        <f>BE28*BF$2</f>
        <v>0</v>
      </c>
      <c r="BG28" s="75"/>
      <c r="BH28" s="90">
        <f t="shared" si="20"/>
        <v>0</v>
      </c>
      <c r="BI28" s="75"/>
      <c r="BJ28" s="90">
        <f t="shared" si="41"/>
        <v>0</v>
      </c>
      <c r="BK28" s="92">
        <f t="shared" si="36"/>
        <v>563930</v>
      </c>
      <c r="BL28" s="93">
        <f t="shared" si="23"/>
        <v>563930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0.8510985406</v>
      </c>
      <c r="BQ28" s="95">
        <f t="shared" si="27"/>
        <v>0.1489014594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0.03960078298</v>
      </c>
    </row>
    <row r="29" ht="15.75" customHeight="1">
      <c r="A29" s="168">
        <f t="shared" si="34"/>
        <v>46163</v>
      </c>
      <c r="B29" s="162"/>
      <c r="C29" s="163">
        <v>6.0</v>
      </c>
      <c r="D29" s="165">
        <f t="shared" si="35"/>
        <v>1420</v>
      </c>
      <c r="E29" s="165">
        <f t="shared" si="2"/>
        <v>1425</v>
      </c>
      <c r="F29" s="73"/>
      <c r="G29" s="74"/>
      <c r="H29" s="169">
        <v>245388.43</v>
      </c>
      <c r="I29" s="169">
        <v>51531.57</v>
      </c>
      <c r="J29" s="76"/>
      <c r="K29" s="83">
        <f t="shared" si="3"/>
        <v>296920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ref="U29:U40" si="45">T29*21%</f>
        <v>0</v>
      </c>
      <c r="V29" s="166"/>
      <c r="W29" s="82">
        <f t="shared" si="7"/>
        <v>0</v>
      </c>
      <c r="X29" s="165"/>
      <c r="Y29" s="165"/>
      <c r="Z29" s="79"/>
      <c r="AA29" s="80">
        <v>0.0</v>
      </c>
      <c r="AB29" s="166"/>
      <c r="AC29" s="81">
        <f t="shared" si="8"/>
        <v>0</v>
      </c>
      <c r="AD29" s="84">
        <f t="shared" si="9"/>
        <v>296920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-275960</v>
      </c>
      <c r="AQ29" s="75">
        <f>80000+10000</f>
        <v>90000</v>
      </c>
      <c r="AR29" s="99"/>
      <c r="AS29" s="90" t="str">
        <f t="shared" si="15"/>
        <v/>
      </c>
      <c r="AT29" s="90">
        <f t="shared" si="16"/>
        <v>185960</v>
      </c>
      <c r="AU29" s="169">
        <v>163970.0</v>
      </c>
      <c r="AV29" s="169">
        <v>21990.0</v>
      </c>
      <c r="AW29" s="90"/>
      <c r="AX29" s="88"/>
      <c r="AY29" s="75"/>
      <c r="AZ29" s="90">
        <f t="shared" ref="AZ29:AZ40" si="46">AY29*AZ$3</f>
        <v>0</v>
      </c>
      <c r="BA29" s="75"/>
      <c r="BB29" s="90">
        <f>BA29*BB$3</f>
        <v>0</v>
      </c>
      <c r="BC29" s="75"/>
      <c r="BD29" s="90">
        <f t="shared" ref="BD29:BD31" si="47">BC29*BD$3</f>
        <v>0</v>
      </c>
      <c r="BE29" s="75"/>
      <c r="BF29" s="90">
        <f t="shared" ref="BF29:BF40" si="48">BE29*BF$3</f>
        <v>0</v>
      </c>
      <c r="BG29" s="75"/>
      <c r="BH29" s="90">
        <f t="shared" ref="BH29:BH40" si="49">BG29*BH$3</f>
        <v>0</v>
      </c>
      <c r="BI29" s="75"/>
      <c r="BJ29" s="90">
        <f t="shared" ref="BJ29:BJ40" si="50">BI29*BJ$3</f>
        <v>0</v>
      </c>
      <c r="BK29" s="92">
        <f t="shared" si="36"/>
        <v>275960</v>
      </c>
      <c r="BL29" s="93">
        <f t="shared" si="23"/>
        <v>296920</v>
      </c>
      <c r="BM29" s="94">
        <f t="shared" si="24"/>
        <v>-20960</v>
      </c>
      <c r="BN29" s="13"/>
      <c r="BO29" s="95">
        <f t="shared" si="25"/>
        <v>0.3031119493</v>
      </c>
      <c r="BP29" s="95">
        <f t="shared" si="26"/>
        <v>0.5522362926</v>
      </c>
      <c r="BQ29" s="95">
        <f t="shared" si="27"/>
        <v>0.07406035296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0.9294085949</v>
      </c>
      <c r="BW29" s="95">
        <f t="shared" si="33"/>
        <v>0.02085057451</v>
      </c>
    </row>
    <row r="30" ht="15.75" customHeight="1">
      <c r="A30" s="168">
        <f t="shared" si="34"/>
        <v>46164</v>
      </c>
      <c r="B30" s="162"/>
      <c r="C30" s="163">
        <v>6.0</v>
      </c>
      <c r="D30" s="165">
        <f t="shared" si="35"/>
        <v>1426</v>
      </c>
      <c r="E30" s="165">
        <f t="shared" si="2"/>
        <v>1431</v>
      </c>
      <c r="F30" s="73"/>
      <c r="G30" s="74"/>
      <c r="H30" s="169">
        <v>366066.1</v>
      </c>
      <c r="I30" s="169">
        <v>76873.9</v>
      </c>
      <c r="J30" s="76"/>
      <c r="K30" s="83">
        <f t="shared" si="3"/>
        <v>442940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45"/>
        <v>0</v>
      </c>
      <c r="V30" s="166"/>
      <c r="W30" s="82">
        <f t="shared" si="7"/>
        <v>0</v>
      </c>
      <c r="X30" s="165"/>
      <c r="Y30" s="165"/>
      <c r="Z30" s="79"/>
      <c r="AA30" s="80">
        <v>0.0</v>
      </c>
      <c r="AB30" s="166"/>
      <c r="AC30" s="81">
        <f t="shared" si="8"/>
        <v>0</v>
      </c>
      <c r="AD30" s="84">
        <f t="shared" si="9"/>
        <v>442940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-447970</v>
      </c>
      <c r="AQ30" s="75">
        <f>80000+20000</f>
        <v>100000</v>
      </c>
      <c r="AR30" s="99"/>
      <c r="AS30" s="90" t="str">
        <f t="shared" si="15"/>
        <v/>
      </c>
      <c r="AT30" s="90">
        <f t="shared" si="16"/>
        <v>347970</v>
      </c>
      <c r="AU30" s="75"/>
      <c r="AV30" s="169">
        <v>347970.0</v>
      </c>
      <c r="AW30" s="90"/>
      <c r="AX30" s="88"/>
      <c r="AY30" s="75"/>
      <c r="AZ30" s="90">
        <f t="shared" si="46"/>
        <v>0</v>
      </c>
      <c r="BA30" s="75"/>
      <c r="BB30" s="90">
        <f>BA30*1400</f>
        <v>0</v>
      </c>
      <c r="BC30" s="75"/>
      <c r="BD30" s="90">
        <f t="shared" si="47"/>
        <v>0</v>
      </c>
      <c r="BE30" s="75"/>
      <c r="BF30" s="90">
        <f t="shared" si="48"/>
        <v>0</v>
      </c>
      <c r="BG30" s="75"/>
      <c r="BH30" s="90">
        <f t="shared" si="49"/>
        <v>0</v>
      </c>
      <c r="BI30" s="75"/>
      <c r="BJ30" s="90">
        <f t="shared" si="50"/>
        <v>0</v>
      </c>
      <c r="BK30" s="92">
        <f t="shared" si="36"/>
        <v>447970</v>
      </c>
      <c r="BL30" s="93">
        <f t="shared" si="23"/>
        <v>442940</v>
      </c>
      <c r="BM30" s="94">
        <f t="shared" si="24"/>
        <v>5030</v>
      </c>
      <c r="BN30" s="13"/>
      <c r="BO30" s="95">
        <f t="shared" si="25"/>
        <v>0.2257642119</v>
      </c>
      <c r="BP30" s="95">
        <f t="shared" si="26"/>
        <v>0</v>
      </c>
      <c r="BQ30" s="95">
        <f t="shared" si="27"/>
        <v>0.785591728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1.01135594</v>
      </c>
      <c r="BW30" s="95">
        <f t="shared" si="33"/>
        <v>0.03110451796</v>
      </c>
    </row>
    <row r="31" ht="15.75" customHeight="1">
      <c r="A31" s="168">
        <f t="shared" si="34"/>
        <v>46165</v>
      </c>
      <c r="B31" s="162"/>
      <c r="C31" s="163">
        <v>6.0</v>
      </c>
      <c r="D31" s="165">
        <f t="shared" si="35"/>
        <v>1432</v>
      </c>
      <c r="E31" s="165">
        <f t="shared" si="2"/>
        <v>1437</v>
      </c>
      <c r="F31" s="73"/>
      <c r="G31" s="74"/>
      <c r="H31" s="169">
        <v>303256.19</v>
      </c>
      <c r="I31" s="169">
        <v>63683.81</v>
      </c>
      <c r="J31" s="76"/>
      <c r="K31" s="83">
        <f t="shared" si="3"/>
        <v>366940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45"/>
        <v>0</v>
      </c>
      <c r="V31" s="166"/>
      <c r="W31" s="82">
        <f t="shared" si="7"/>
        <v>0</v>
      </c>
      <c r="X31" s="165"/>
      <c r="Y31" s="165"/>
      <c r="Z31" s="79"/>
      <c r="AA31" s="80">
        <v>0.0</v>
      </c>
      <c r="AB31" s="166"/>
      <c r="AC31" s="81">
        <f t="shared" si="8"/>
        <v>0</v>
      </c>
      <c r="AD31" s="84">
        <f t="shared" si="9"/>
        <v>366940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-359960</v>
      </c>
      <c r="AQ31" s="75">
        <f>10000+20000</f>
        <v>30000</v>
      </c>
      <c r="AR31" s="96"/>
      <c r="AS31" s="90" t="str">
        <f t="shared" si="15"/>
        <v/>
      </c>
      <c r="AT31" s="90">
        <f t="shared" si="16"/>
        <v>329960</v>
      </c>
      <c r="AU31" s="169">
        <v>99975.0</v>
      </c>
      <c r="AV31" s="169">
        <v>229985.0</v>
      </c>
      <c r="AW31" s="90"/>
      <c r="AX31" s="88"/>
      <c r="AY31" s="75"/>
      <c r="AZ31" s="90">
        <f t="shared" si="46"/>
        <v>0</v>
      </c>
      <c r="BA31" s="75"/>
      <c r="BB31" s="90">
        <f>BA31*BB$3</f>
        <v>0</v>
      </c>
      <c r="BC31" s="75"/>
      <c r="BD31" s="90">
        <f t="shared" si="47"/>
        <v>0</v>
      </c>
      <c r="BE31" s="75"/>
      <c r="BF31" s="90">
        <f t="shared" si="48"/>
        <v>0</v>
      </c>
      <c r="BG31" s="75"/>
      <c r="BH31" s="90">
        <f t="shared" si="49"/>
        <v>0</v>
      </c>
      <c r="BI31" s="75"/>
      <c r="BJ31" s="90">
        <f t="shared" si="50"/>
        <v>0</v>
      </c>
      <c r="BK31" s="92">
        <f t="shared" si="36"/>
        <v>359960</v>
      </c>
      <c r="BL31" s="93">
        <f t="shared" si="23"/>
        <v>366940</v>
      </c>
      <c r="BM31" s="94">
        <f t="shared" si="24"/>
        <v>-6980</v>
      </c>
      <c r="BN31" s="13"/>
      <c r="BO31" s="95">
        <f t="shared" si="25"/>
        <v>0.08175723552</v>
      </c>
      <c r="BP31" s="95">
        <f t="shared" si="26"/>
        <v>0.2724559874</v>
      </c>
      <c r="BQ31" s="95">
        <f t="shared" si="27"/>
        <v>0.6267645937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0.9809778165</v>
      </c>
      <c r="BW31" s="95">
        <f t="shared" si="33"/>
        <v>0.02576757986</v>
      </c>
    </row>
    <row r="32" ht="15.75" customHeight="1">
      <c r="A32" s="168">
        <f t="shared" si="34"/>
        <v>46166</v>
      </c>
      <c r="B32" s="162"/>
      <c r="C32" s="163">
        <v>7.0</v>
      </c>
      <c r="D32" s="165">
        <f t="shared" si="35"/>
        <v>1438</v>
      </c>
      <c r="E32" s="165">
        <f t="shared" si="2"/>
        <v>1444</v>
      </c>
      <c r="F32" s="73"/>
      <c r="G32" s="74"/>
      <c r="H32" s="169">
        <v>637910.65</v>
      </c>
      <c r="I32" s="169">
        <v>133961.25</v>
      </c>
      <c r="J32" s="76"/>
      <c r="K32" s="83">
        <f t="shared" si="3"/>
        <v>771871.9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45"/>
        <v>0</v>
      </c>
      <c r="V32" s="166"/>
      <c r="W32" s="82">
        <f t="shared" si="7"/>
        <v>0</v>
      </c>
      <c r="X32" s="165"/>
      <c r="Y32" s="165"/>
      <c r="Z32" s="79"/>
      <c r="AA32" s="80">
        <v>0.0</v>
      </c>
      <c r="AB32" s="166"/>
      <c r="AC32" s="81">
        <f t="shared" si="8"/>
        <v>0</v>
      </c>
      <c r="AD32" s="84">
        <f t="shared" si="9"/>
        <v>771871.9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-779690</v>
      </c>
      <c r="AQ32" s="75">
        <f>20000+50000</f>
        <v>70000</v>
      </c>
      <c r="AR32" s="96"/>
      <c r="AS32" s="90" t="str">
        <f t="shared" si="15"/>
        <v/>
      </c>
      <c r="AT32" s="90">
        <f t="shared" si="16"/>
        <v>510890</v>
      </c>
      <c r="AU32" s="75">
        <f>59990</f>
        <v>59990</v>
      </c>
      <c r="AV32" s="169">
        <v>450900.0</v>
      </c>
      <c r="AW32" s="90"/>
      <c r="AX32" s="88"/>
      <c r="AY32" s="75"/>
      <c r="AZ32" s="90">
        <f t="shared" si="46"/>
        <v>0</v>
      </c>
      <c r="BA32" s="169">
        <v>140.0</v>
      </c>
      <c r="BB32" s="90">
        <f t="shared" ref="BB32:BB33" si="51">BA32*1420</f>
        <v>198800</v>
      </c>
      <c r="BC32" s="75"/>
      <c r="BD32" s="90">
        <f>BC32*1400</f>
        <v>0</v>
      </c>
      <c r="BE32" s="75"/>
      <c r="BF32" s="90">
        <f t="shared" si="48"/>
        <v>0</v>
      </c>
      <c r="BG32" s="75"/>
      <c r="BH32" s="90">
        <f t="shared" si="49"/>
        <v>0</v>
      </c>
      <c r="BI32" s="75"/>
      <c r="BJ32" s="90">
        <f t="shared" si="50"/>
        <v>0</v>
      </c>
      <c r="BK32" s="92">
        <f t="shared" si="36"/>
        <v>779690</v>
      </c>
      <c r="BL32" s="93">
        <f t="shared" si="23"/>
        <v>771871.9</v>
      </c>
      <c r="BM32" s="94">
        <f t="shared" si="24"/>
        <v>7818.1</v>
      </c>
      <c r="BN32" s="13"/>
      <c r="BO32" s="95">
        <f t="shared" si="25"/>
        <v>0.09068862333</v>
      </c>
      <c r="BP32" s="95">
        <f t="shared" si="26"/>
        <v>0.0777201502</v>
      </c>
      <c r="BQ32" s="95">
        <f t="shared" si="27"/>
        <v>0.5841642894</v>
      </c>
      <c r="BR32" s="95">
        <f t="shared" si="28"/>
        <v>0</v>
      </c>
      <c r="BS32" s="95">
        <f t="shared" si="29"/>
        <v>0</v>
      </c>
      <c r="BT32" s="95">
        <f t="shared" si="30"/>
        <v>0.2575556903</v>
      </c>
      <c r="BU32" s="95">
        <f t="shared" si="31"/>
        <v>0</v>
      </c>
      <c r="BV32" s="95">
        <f t="shared" si="32"/>
        <v>1.010128753</v>
      </c>
      <c r="BW32" s="95">
        <f t="shared" si="33"/>
        <v>0.05420305996</v>
      </c>
    </row>
    <row r="33" ht="15.75" customHeight="1">
      <c r="A33" s="168">
        <f t="shared" si="34"/>
        <v>46167</v>
      </c>
      <c r="B33" s="162"/>
      <c r="C33" s="176">
        <v>10.0</v>
      </c>
      <c r="D33" s="165">
        <f t="shared" si="35"/>
        <v>1445</v>
      </c>
      <c r="E33" s="165">
        <f t="shared" si="2"/>
        <v>1454</v>
      </c>
      <c r="F33" s="73"/>
      <c r="G33" s="74"/>
      <c r="H33" s="169">
        <v>519732.88</v>
      </c>
      <c r="I33" s="169">
        <v>109143.92</v>
      </c>
      <c r="J33" s="76"/>
      <c r="K33" s="83">
        <f t="shared" si="3"/>
        <v>628876.8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45"/>
        <v>0</v>
      </c>
      <c r="V33" s="166"/>
      <c r="W33" s="82">
        <f t="shared" si="7"/>
        <v>0</v>
      </c>
      <c r="X33" s="165"/>
      <c r="Y33" s="165"/>
      <c r="Z33" s="79"/>
      <c r="AA33" s="80">
        <v>0.0</v>
      </c>
      <c r="AB33" s="166"/>
      <c r="AC33" s="81">
        <f t="shared" si="8"/>
        <v>0</v>
      </c>
      <c r="AD33" s="84">
        <f t="shared" si="9"/>
        <v>628876.8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-637910</v>
      </c>
      <c r="AQ33" s="178">
        <v>0.0</v>
      </c>
      <c r="AR33" s="96"/>
      <c r="AS33" s="90" t="str">
        <f t="shared" si="15"/>
        <v/>
      </c>
      <c r="AT33" s="90">
        <f t="shared" si="16"/>
        <v>495910</v>
      </c>
      <c r="AU33" s="169">
        <v>92980.0</v>
      </c>
      <c r="AV33" s="169">
        <v>402930.0</v>
      </c>
      <c r="AW33" s="90"/>
      <c r="AX33" s="88"/>
      <c r="AY33" s="75"/>
      <c r="AZ33" s="90">
        <f t="shared" si="46"/>
        <v>0</v>
      </c>
      <c r="BA33" s="169">
        <v>100.0</v>
      </c>
      <c r="BB33" s="90">
        <f t="shared" si="51"/>
        <v>142000</v>
      </c>
      <c r="BC33" s="75"/>
      <c r="BD33" s="90">
        <f t="shared" ref="BD33:BD36" si="52">BC33*BD$3</f>
        <v>0</v>
      </c>
      <c r="BE33" s="75"/>
      <c r="BF33" s="90">
        <f t="shared" si="48"/>
        <v>0</v>
      </c>
      <c r="BG33" s="75"/>
      <c r="BH33" s="90">
        <f t="shared" si="49"/>
        <v>0</v>
      </c>
      <c r="BI33" s="75"/>
      <c r="BJ33" s="90">
        <f t="shared" si="50"/>
        <v>0</v>
      </c>
      <c r="BK33" s="92">
        <f t="shared" si="36"/>
        <v>637910</v>
      </c>
      <c r="BL33" s="93">
        <f t="shared" si="23"/>
        <v>628876.8</v>
      </c>
      <c r="BM33" s="94">
        <f t="shared" si="24"/>
        <v>9033.2</v>
      </c>
      <c r="BN33" s="13"/>
      <c r="BO33" s="95">
        <f t="shared" si="25"/>
        <v>0</v>
      </c>
      <c r="BP33" s="95">
        <f t="shared" si="26"/>
        <v>0.1478508986</v>
      </c>
      <c r="BQ33" s="95">
        <f t="shared" si="27"/>
        <v>0.6407137296</v>
      </c>
      <c r="BR33" s="95">
        <f t="shared" si="28"/>
        <v>0</v>
      </c>
      <c r="BS33" s="95">
        <f t="shared" si="29"/>
        <v>0</v>
      </c>
      <c r="BT33" s="95">
        <f t="shared" si="30"/>
        <v>0.2257993935</v>
      </c>
      <c r="BU33" s="95">
        <f t="shared" si="31"/>
        <v>0</v>
      </c>
      <c r="BV33" s="95">
        <f t="shared" si="32"/>
        <v>1.014364022</v>
      </c>
      <c r="BW33" s="95">
        <f t="shared" si="33"/>
        <v>0.04416153367</v>
      </c>
    </row>
    <row r="34" ht="15.75" customHeight="1">
      <c r="A34" s="168">
        <f t="shared" si="34"/>
        <v>46168</v>
      </c>
      <c r="B34" s="162"/>
      <c r="C34" s="176">
        <v>5.0</v>
      </c>
      <c r="D34" s="165">
        <f t="shared" si="35"/>
        <v>1455</v>
      </c>
      <c r="E34" s="165">
        <f t="shared" si="2"/>
        <v>1459</v>
      </c>
      <c r="F34" s="73"/>
      <c r="G34" s="74"/>
      <c r="H34" s="169">
        <v>274330.57</v>
      </c>
      <c r="I34" s="169">
        <v>57609.43</v>
      </c>
      <c r="J34" s="76"/>
      <c r="K34" s="83">
        <f t="shared" si="3"/>
        <v>331940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45"/>
        <v>0</v>
      </c>
      <c r="V34" s="166"/>
      <c r="W34" s="82">
        <f t="shared" si="7"/>
        <v>0</v>
      </c>
      <c r="X34" s="165"/>
      <c r="Y34" s="165"/>
      <c r="Z34" s="79"/>
      <c r="AA34" s="80">
        <v>0.0</v>
      </c>
      <c r="AB34" s="166"/>
      <c r="AC34" s="81">
        <f t="shared" si="8"/>
        <v>0</v>
      </c>
      <c r="AD34" s="84">
        <f t="shared" si="9"/>
        <v>331940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-331940</v>
      </c>
      <c r="AQ34" s="178">
        <v>0.0</v>
      </c>
      <c r="AR34" s="96"/>
      <c r="AS34" s="90" t="str">
        <f t="shared" si="15"/>
        <v/>
      </c>
      <c r="AT34" s="90">
        <f t="shared" si="16"/>
        <v>331940</v>
      </c>
      <c r="AU34" s="169">
        <f>232970+26990</f>
        <v>259960</v>
      </c>
      <c r="AV34" s="169">
        <v>71980.0</v>
      </c>
      <c r="AW34" s="90"/>
      <c r="AX34" s="88"/>
      <c r="AY34" s="75"/>
      <c r="AZ34" s="90">
        <f t="shared" si="46"/>
        <v>0</v>
      </c>
      <c r="BA34" s="75"/>
      <c r="BB34" s="90">
        <f>BA34*BB$3</f>
        <v>0</v>
      </c>
      <c r="BC34" s="75"/>
      <c r="BD34" s="90">
        <f t="shared" si="52"/>
        <v>0</v>
      </c>
      <c r="BE34" s="75"/>
      <c r="BF34" s="90">
        <f t="shared" si="48"/>
        <v>0</v>
      </c>
      <c r="BG34" s="75"/>
      <c r="BH34" s="90">
        <f t="shared" si="49"/>
        <v>0</v>
      </c>
      <c r="BI34" s="75"/>
      <c r="BJ34" s="90">
        <f t="shared" si="50"/>
        <v>0</v>
      </c>
      <c r="BK34" s="92">
        <f t="shared" si="36"/>
        <v>331940</v>
      </c>
      <c r="BL34" s="93">
        <f t="shared" si="23"/>
        <v>331940</v>
      </c>
      <c r="BM34" s="94">
        <f t="shared" si="24"/>
        <v>0</v>
      </c>
      <c r="BN34" s="13"/>
      <c r="BO34" s="95">
        <f t="shared" si="25"/>
        <v>0</v>
      </c>
      <c r="BP34" s="95">
        <f t="shared" si="26"/>
        <v>0.783153582</v>
      </c>
      <c r="BQ34" s="95">
        <f t="shared" si="27"/>
        <v>0.216846418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0.02330977941</v>
      </c>
    </row>
    <row r="35" ht="15.75" customHeight="1">
      <c r="A35" s="168">
        <f t="shared" si="34"/>
        <v>46169</v>
      </c>
      <c r="B35" s="162"/>
      <c r="C35" s="163">
        <v>1.0</v>
      </c>
      <c r="D35" s="165">
        <f t="shared" si="35"/>
        <v>1460</v>
      </c>
      <c r="E35" s="165">
        <f t="shared" si="2"/>
        <v>1460</v>
      </c>
      <c r="F35" s="73"/>
      <c r="G35" s="74"/>
      <c r="H35" s="169">
        <v>79305.79</v>
      </c>
      <c r="I35" s="169">
        <v>16654.21</v>
      </c>
      <c r="J35" s="76"/>
      <c r="K35" s="83">
        <f t="shared" si="3"/>
        <v>95960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45"/>
        <v>0</v>
      </c>
      <c r="V35" s="166"/>
      <c r="W35" s="82">
        <f t="shared" si="7"/>
        <v>0</v>
      </c>
      <c r="X35" s="165"/>
      <c r="Y35" s="165"/>
      <c r="Z35" s="79"/>
      <c r="AA35" s="80">
        <v>0.0</v>
      </c>
      <c r="AB35" s="166"/>
      <c r="AC35" s="81">
        <f t="shared" si="8"/>
        <v>0</v>
      </c>
      <c r="AD35" s="84">
        <f t="shared" si="9"/>
        <v>95960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-95960</v>
      </c>
      <c r="AQ35" s="178">
        <v>0.0</v>
      </c>
      <c r="AR35" s="96"/>
      <c r="AS35" s="90" t="str">
        <f t="shared" si="15"/>
        <v/>
      </c>
      <c r="AT35" s="90">
        <f t="shared" si="16"/>
        <v>95960</v>
      </c>
      <c r="AU35" s="75"/>
      <c r="AV35" s="169">
        <v>95960.0</v>
      </c>
      <c r="AW35" s="90"/>
      <c r="AX35" s="88"/>
      <c r="AY35" s="75"/>
      <c r="AZ35" s="90">
        <f t="shared" si="46"/>
        <v>0</v>
      </c>
      <c r="BA35" s="75"/>
      <c r="BB35" s="90">
        <f>BA35*1420</f>
        <v>0</v>
      </c>
      <c r="BC35" s="75"/>
      <c r="BD35" s="90">
        <f t="shared" si="52"/>
        <v>0</v>
      </c>
      <c r="BE35" s="75"/>
      <c r="BF35" s="90">
        <f t="shared" si="48"/>
        <v>0</v>
      </c>
      <c r="BG35" s="75"/>
      <c r="BH35" s="90">
        <f t="shared" si="49"/>
        <v>0</v>
      </c>
      <c r="BI35" s="75"/>
      <c r="BJ35" s="90">
        <f t="shared" si="50"/>
        <v>0</v>
      </c>
      <c r="BK35" s="92">
        <f t="shared" si="36"/>
        <v>95960</v>
      </c>
      <c r="BL35" s="93">
        <f t="shared" si="23"/>
        <v>95960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1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</v>
      </c>
      <c r="BW35" s="95">
        <f t="shared" si="33"/>
        <v>0.006738586589</v>
      </c>
    </row>
    <row r="36" ht="15.75" customHeight="1">
      <c r="A36" s="168">
        <f t="shared" si="34"/>
        <v>46170</v>
      </c>
      <c r="B36" s="162"/>
      <c r="C36" s="163">
        <v>6.0</v>
      </c>
      <c r="D36" s="165">
        <f t="shared" si="35"/>
        <v>1461</v>
      </c>
      <c r="E36" s="165">
        <f t="shared" si="2"/>
        <v>1466</v>
      </c>
      <c r="F36" s="73"/>
      <c r="G36" s="74"/>
      <c r="H36" s="169">
        <v>410652.89</v>
      </c>
      <c r="I36" s="169">
        <v>86237.11</v>
      </c>
      <c r="J36" s="76"/>
      <c r="K36" s="83">
        <f t="shared" si="3"/>
        <v>496890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45"/>
        <v>0</v>
      </c>
      <c r="V36" s="166"/>
      <c r="W36" s="82">
        <f t="shared" si="7"/>
        <v>0</v>
      </c>
      <c r="X36" s="165"/>
      <c r="Y36" s="165"/>
      <c r="Z36" s="79"/>
      <c r="AA36" s="80">
        <v>0.0</v>
      </c>
      <c r="AB36" s="166"/>
      <c r="AC36" s="81">
        <f t="shared" si="8"/>
        <v>0</v>
      </c>
      <c r="AD36" s="84">
        <f t="shared" si="9"/>
        <v>496890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-496890</v>
      </c>
      <c r="AQ36" s="178">
        <v>0.0</v>
      </c>
      <c r="AR36" s="96"/>
      <c r="AS36" s="90" t="str">
        <f t="shared" si="15"/>
        <v/>
      </c>
      <c r="AT36" s="90">
        <f t="shared" si="16"/>
        <v>496890</v>
      </c>
      <c r="AU36" s="169">
        <v>13010.0</v>
      </c>
      <c r="AV36" s="169">
        <v>483880.0</v>
      </c>
      <c r="AW36" s="90"/>
      <c r="AX36" s="88"/>
      <c r="AY36" s="75"/>
      <c r="AZ36" s="90">
        <f t="shared" si="46"/>
        <v>0</v>
      </c>
      <c r="BA36" s="75"/>
      <c r="BB36" s="90">
        <f>BA36*BB$3</f>
        <v>0</v>
      </c>
      <c r="BC36" s="75"/>
      <c r="BD36" s="90">
        <f t="shared" si="52"/>
        <v>0</v>
      </c>
      <c r="BE36" s="75"/>
      <c r="BF36" s="90">
        <f t="shared" si="48"/>
        <v>0</v>
      </c>
      <c r="BG36" s="75"/>
      <c r="BH36" s="90">
        <f t="shared" si="49"/>
        <v>0</v>
      </c>
      <c r="BI36" s="75"/>
      <c r="BJ36" s="90">
        <f t="shared" si="50"/>
        <v>0</v>
      </c>
      <c r="BK36" s="92">
        <f t="shared" si="36"/>
        <v>496890</v>
      </c>
      <c r="BL36" s="93">
        <f t="shared" si="23"/>
        <v>496890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0.02618285737</v>
      </c>
      <c r="BQ36" s="95">
        <f t="shared" si="27"/>
        <v>0.9738171426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</v>
      </c>
      <c r="BW36" s="95">
        <f t="shared" si="33"/>
        <v>0.03489304179</v>
      </c>
    </row>
    <row r="37" ht="15.75" customHeight="1">
      <c r="A37" s="168">
        <f t="shared" si="34"/>
        <v>46171</v>
      </c>
      <c r="B37" s="162"/>
      <c r="C37" s="163">
        <v>7.0</v>
      </c>
      <c r="D37" s="165">
        <f t="shared" si="35"/>
        <v>1467</v>
      </c>
      <c r="E37" s="165">
        <f t="shared" si="2"/>
        <v>1473</v>
      </c>
      <c r="F37" s="73"/>
      <c r="G37" s="74"/>
      <c r="H37" s="169">
        <v>441225.62</v>
      </c>
      <c r="I37" s="169">
        <v>92657.38</v>
      </c>
      <c r="J37" s="76"/>
      <c r="K37" s="83">
        <f t="shared" si="3"/>
        <v>533883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45"/>
        <v>0</v>
      </c>
      <c r="V37" s="166"/>
      <c r="W37" s="82">
        <f t="shared" si="7"/>
        <v>0</v>
      </c>
      <c r="X37" s="165"/>
      <c r="Y37" s="165"/>
      <c r="Z37" s="79"/>
      <c r="AA37" s="80">
        <v>0.0</v>
      </c>
      <c r="AB37" s="166"/>
      <c r="AC37" s="81">
        <f t="shared" si="8"/>
        <v>0</v>
      </c>
      <c r="AD37" s="84">
        <f t="shared" si="9"/>
        <v>533883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-520883</v>
      </c>
      <c r="AQ37" s="98">
        <f>100000+20000</f>
        <v>120000</v>
      </c>
      <c r="AR37" s="96"/>
      <c r="AS37" s="90" t="str">
        <f t="shared" si="15"/>
        <v/>
      </c>
      <c r="AT37" s="90">
        <f t="shared" si="16"/>
        <v>400883</v>
      </c>
      <c r="AU37" s="169">
        <v>45983.0</v>
      </c>
      <c r="AV37" s="169">
        <v>354900.0</v>
      </c>
      <c r="AW37" s="90"/>
      <c r="AX37" s="88"/>
      <c r="AY37" s="75"/>
      <c r="AZ37" s="90">
        <f t="shared" si="46"/>
        <v>0</v>
      </c>
      <c r="BA37" s="75"/>
      <c r="BB37" s="90">
        <f>BA37*1430</f>
        <v>0</v>
      </c>
      <c r="BC37" s="75"/>
      <c r="BD37" s="90">
        <f>BC37*1400</f>
        <v>0</v>
      </c>
      <c r="BE37" s="75"/>
      <c r="BF37" s="90">
        <f t="shared" si="48"/>
        <v>0</v>
      </c>
      <c r="BG37" s="75"/>
      <c r="BH37" s="90">
        <f t="shared" si="49"/>
        <v>0</v>
      </c>
      <c r="BI37" s="75"/>
      <c r="BJ37" s="90">
        <f t="shared" si="50"/>
        <v>0</v>
      </c>
      <c r="BK37" s="92">
        <f t="shared" si="36"/>
        <v>520883</v>
      </c>
      <c r="BL37" s="93">
        <f t="shared" si="23"/>
        <v>533883</v>
      </c>
      <c r="BM37" s="94">
        <f t="shared" si="24"/>
        <v>-13000</v>
      </c>
      <c r="BN37" s="13"/>
      <c r="BO37" s="95">
        <f t="shared" si="25"/>
        <v>0.2247683481</v>
      </c>
      <c r="BP37" s="95">
        <f t="shared" si="26"/>
        <v>0.08612935793</v>
      </c>
      <c r="BQ37" s="95">
        <f t="shared" si="27"/>
        <v>0.6647523896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0.9756500956</v>
      </c>
      <c r="BW37" s="95">
        <f t="shared" si="33"/>
        <v>0.03749079642</v>
      </c>
    </row>
    <row r="38" ht="15.75" customHeight="1">
      <c r="A38" s="168">
        <f t="shared" si="34"/>
        <v>46172</v>
      </c>
      <c r="B38" s="162"/>
      <c r="C38" s="163">
        <v>5.0</v>
      </c>
      <c r="D38" s="165">
        <f t="shared" si="35"/>
        <v>1474</v>
      </c>
      <c r="E38" s="165">
        <f t="shared" si="2"/>
        <v>1478</v>
      </c>
      <c r="F38" s="73"/>
      <c r="G38" s="74"/>
      <c r="H38" s="169">
        <v>477636.36</v>
      </c>
      <c r="I38" s="169">
        <v>100303.64</v>
      </c>
      <c r="J38" s="76"/>
      <c r="K38" s="83">
        <f t="shared" si="3"/>
        <v>577940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45"/>
        <v>0</v>
      </c>
      <c r="V38" s="166"/>
      <c r="W38" s="82">
        <f t="shared" si="7"/>
        <v>0</v>
      </c>
      <c r="X38" s="171">
        <v>29.0</v>
      </c>
      <c r="Y38" s="171">
        <v>29.0</v>
      </c>
      <c r="Z38" s="179">
        <v>66107.44</v>
      </c>
      <c r="AA38" s="173">
        <v>13882.56</v>
      </c>
      <c r="AB38" s="166"/>
      <c r="AC38" s="81">
        <f t="shared" si="8"/>
        <v>79990</v>
      </c>
      <c r="AD38" s="84">
        <f t="shared" si="9"/>
        <v>497950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-497950</v>
      </c>
      <c r="AQ38" s="178">
        <v>0.0</v>
      </c>
      <c r="AR38" s="96"/>
      <c r="AS38" s="90" t="str">
        <f t="shared" si="15"/>
        <v/>
      </c>
      <c r="AT38" s="90">
        <f t="shared" si="16"/>
        <v>497950</v>
      </c>
      <c r="AU38" s="169">
        <v>49990.0</v>
      </c>
      <c r="AV38" s="169">
        <v>447960.0</v>
      </c>
      <c r="AW38" s="90"/>
      <c r="AX38" s="88"/>
      <c r="AY38" s="75"/>
      <c r="AZ38" s="90">
        <f t="shared" si="46"/>
        <v>0</v>
      </c>
      <c r="BA38" s="75"/>
      <c r="BB38" s="90">
        <f>BA38*1460</f>
        <v>0</v>
      </c>
      <c r="BC38" s="75"/>
      <c r="BD38" s="90">
        <f t="shared" ref="BD38:BD40" si="53">BC38*BD$3</f>
        <v>0</v>
      </c>
      <c r="BE38" s="75"/>
      <c r="BF38" s="90">
        <f t="shared" si="48"/>
        <v>0</v>
      </c>
      <c r="BG38" s="75"/>
      <c r="BH38" s="90">
        <f t="shared" si="49"/>
        <v>0</v>
      </c>
      <c r="BI38" s="75"/>
      <c r="BJ38" s="90">
        <f t="shared" si="50"/>
        <v>0</v>
      </c>
      <c r="BK38" s="92">
        <f t="shared" si="36"/>
        <v>497950</v>
      </c>
      <c r="BL38" s="93">
        <f t="shared" si="23"/>
        <v>497950</v>
      </c>
      <c r="BM38" s="94">
        <f t="shared" si="24"/>
        <v>0</v>
      </c>
      <c r="BN38" s="13"/>
      <c r="BO38" s="95">
        <f t="shared" si="25"/>
        <v>0</v>
      </c>
      <c r="BP38" s="95">
        <f t="shared" si="26"/>
        <v>0.1003916056</v>
      </c>
      <c r="BQ38" s="95">
        <f t="shared" si="27"/>
        <v>0.8996083944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0.03496747803</v>
      </c>
    </row>
    <row r="39" ht="15.75" customHeight="1">
      <c r="A39" s="168">
        <f t="shared" si="34"/>
        <v>46173</v>
      </c>
      <c r="B39" s="162"/>
      <c r="C39" s="163">
        <v>7.0</v>
      </c>
      <c r="D39" s="165">
        <f t="shared" si="35"/>
        <v>1479</v>
      </c>
      <c r="E39" s="165">
        <f t="shared" si="2"/>
        <v>1485</v>
      </c>
      <c r="F39" s="73"/>
      <c r="G39" s="74"/>
      <c r="H39" s="169">
        <v>424728.82</v>
      </c>
      <c r="I39" s="169">
        <v>89193.08</v>
      </c>
      <c r="J39" s="76"/>
      <c r="K39" s="83">
        <f t="shared" si="3"/>
        <v>513921.9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45"/>
        <v>0</v>
      </c>
      <c r="V39" s="166"/>
      <c r="W39" s="82">
        <f t="shared" si="7"/>
        <v>0</v>
      </c>
      <c r="X39" s="165"/>
      <c r="Y39" s="165"/>
      <c r="Z39" s="79"/>
      <c r="AA39" s="80">
        <f t="shared" ref="AA39:AA40" si="54">Z39*21%</f>
        <v>0</v>
      </c>
      <c r="AB39" s="166"/>
      <c r="AC39" s="81">
        <f t="shared" si="8"/>
        <v>0</v>
      </c>
      <c r="AD39" s="84">
        <f t="shared" si="9"/>
        <v>513921.9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178">
        <f>10000+3000</f>
        <v>13000</v>
      </c>
      <c r="AR39" s="96"/>
      <c r="AS39" s="90"/>
      <c r="AT39" s="90">
        <f t="shared" si="16"/>
        <v>499930</v>
      </c>
      <c r="AU39" s="169">
        <v>49990.0</v>
      </c>
      <c r="AV39" s="169">
        <v>449940.0</v>
      </c>
      <c r="AW39" s="90"/>
      <c r="AX39" s="88"/>
      <c r="AY39" s="75"/>
      <c r="AZ39" s="90">
        <f t="shared" si="46"/>
        <v>0</v>
      </c>
      <c r="BA39" s="75"/>
      <c r="BB39" s="90">
        <f t="shared" ref="BB39:BB40" si="55">BA39*BB$3</f>
        <v>0</v>
      </c>
      <c r="BC39" s="75"/>
      <c r="BD39" s="90">
        <f t="shared" si="53"/>
        <v>0</v>
      </c>
      <c r="BE39" s="75"/>
      <c r="BF39" s="90">
        <f t="shared" si="48"/>
        <v>0</v>
      </c>
      <c r="BG39" s="75"/>
      <c r="BH39" s="90">
        <f t="shared" si="49"/>
        <v>0</v>
      </c>
      <c r="BI39" s="75"/>
      <c r="BJ39" s="90">
        <f t="shared" si="50"/>
        <v>0</v>
      </c>
      <c r="BK39" s="92">
        <f t="shared" si="36"/>
        <v>512930</v>
      </c>
      <c r="BL39" s="93">
        <f t="shared" si="23"/>
        <v>513921.9</v>
      </c>
      <c r="BM39" s="94">
        <f t="shared" si="24"/>
        <v>-991.9</v>
      </c>
      <c r="BN39" s="13"/>
      <c r="BO39" s="95">
        <f t="shared" si="25"/>
        <v>0.02529567236</v>
      </c>
      <c r="BP39" s="95">
        <f t="shared" si="26"/>
        <v>0.09727158932</v>
      </c>
      <c r="BQ39" s="95">
        <f t="shared" si="27"/>
        <v>0.8755026785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0.9980699402</v>
      </c>
      <c r="BW39" s="95">
        <f t="shared" si="33"/>
        <v>0.03608907069</v>
      </c>
    </row>
    <row r="40" ht="15.75" customHeight="1">
      <c r="A40" s="168"/>
      <c r="B40" s="73"/>
      <c r="C40" s="73"/>
      <c r="D40" s="165">
        <f t="shared" si="35"/>
        <v>1486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45"/>
        <v>0</v>
      </c>
      <c r="V40" s="166"/>
      <c r="W40" s="82"/>
      <c r="X40" s="165">
        <v>0.0</v>
      </c>
      <c r="Y40" s="165"/>
      <c r="Z40" s="79"/>
      <c r="AA40" s="80">
        <f t="shared" si="54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6"/>
        <v>0</v>
      </c>
      <c r="BA40" s="75"/>
      <c r="BB40" s="90">
        <f t="shared" si="55"/>
        <v>0</v>
      </c>
      <c r="BC40" s="75"/>
      <c r="BD40" s="90">
        <f t="shared" si="53"/>
        <v>0</v>
      </c>
      <c r="BE40" s="75"/>
      <c r="BF40" s="90">
        <f t="shared" si="48"/>
        <v>0</v>
      </c>
      <c r="BG40" s="75"/>
      <c r="BH40" s="90">
        <f t="shared" si="49"/>
        <v>0</v>
      </c>
      <c r="BI40" s="75"/>
      <c r="BJ40" s="90">
        <f t="shared" si="50"/>
        <v>0</v>
      </c>
      <c r="BK40" s="92">
        <f t="shared" si="36"/>
        <v>0</v>
      </c>
      <c r="BL40" s="93"/>
      <c r="BM40" s="94">
        <f t="shared" si="24"/>
        <v>0</v>
      </c>
      <c r="BN40" s="13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80" t="s">
        <v>54</v>
      </c>
      <c r="B41" s="105">
        <f>MAX(B9:B40)</f>
        <v>0</v>
      </c>
      <c r="C41" s="106">
        <f>SUM(C9:C40)</f>
        <v>172</v>
      </c>
      <c r="D41" s="105">
        <f>MIN(D9:D40)</f>
        <v>1314</v>
      </c>
      <c r="E41" s="105">
        <f>MAX(E9:E40)</f>
        <v>1485</v>
      </c>
      <c r="F41" s="106">
        <f t="shared" ref="F41:I41" si="56">SUM(F9:F40)</f>
        <v>0</v>
      </c>
      <c r="G41" s="106">
        <f t="shared" si="56"/>
        <v>0</v>
      </c>
      <c r="H41" s="77">
        <f t="shared" si="56"/>
        <v>11790422.32</v>
      </c>
      <c r="I41" s="77">
        <f t="shared" si="56"/>
        <v>2475988.88</v>
      </c>
      <c r="J41" s="77"/>
      <c r="K41" s="83">
        <f>SUM(K9:K40)</f>
        <v>14266411.2</v>
      </c>
      <c r="L41" s="107">
        <f>MIN(L9:L40)</f>
        <v>0</v>
      </c>
      <c r="M41" s="107">
        <f>MAX(M9:M40)</f>
        <v>0</v>
      </c>
      <c r="N41" s="83">
        <f t="shared" ref="N41:O41" si="57">SUM(N9:N40)</f>
        <v>0</v>
      </c>
      <c r="O41" s="83">
        <f t="shared" si="57"/>
        <v>0</v>
      </c>
      <c r="P41" s="83"/>
      <c r="Q41" s="83">
        <f>SUM(Q9:Q40)</f>
        <v>0</v>
      </c>
      <c r="R41" s="108">
        <f>MIN(R9:R40)</f>
        <v>12</v>
      </c>
      <c r="S41" s="108">
        <f>MAX(S9:S40)</f>
        <v>14</v>
      </c>
      <c r="T41" s="82">
        <f t="shared" ref="T41:U41" si="58">SUM(T9:T40)</f>
        <v>366870.91</v>
      </c>
      <c r="U41" s="82">
        <f t="shared" si="58"/>
        <v>77042.89</v>
      </c>
      <c r="V41" s="82"/>
      <c r="W41" s="82">
        <f>SUM(W9:W40)</f>
        <v>443913.8</v>
      </c>
      <c r="X41" s="107">
        <f>MIN(X9:X40)</f>
        <v>0</v>
      </c>
      <c r="Y41" s="107">
        <f>MAX(Y9:Y40)</f>
        <v>29</v>
      </c>
      <c r="Z41" s="83">
        <f t="shared" ref="Z41:AA41" si="59">SUM(Z9:Z40)</f>
        <v>388388.42</v>
      </c>
      <c r="AA41" s="83">
        <f t="shared" si="59"/>
        <v>81561.58</v>
      </c>
      <c r="AB41" s="83"/>
      <c r="AC41" s="83">
        <f t="shared" ref="AC41:AD41" si="60">SUM(AC9:AC40)</f>
        <v>469950</v>
      </c>
      <c r="AD41" s="84">
        <f t="shared" si="60"/>
        <v>14240375</v>
      </c>
      <c r="AE41" s="109">
        <f t="shared" ref="AE41:AP41" si="61">SUM(AE9:AE38)</f>
        <v>0</v>
      </c>
      <c r="AF41" s="109">
        <f t="shared" si="61"/>
        <v>0</v>
      </c>
      <c r="AG41" s="109">
        <f t="shared" si="61"/>
        <v>0</v>
      </c>
      <c r="AH41" s="109">
        <f t="shared" si="61"/>
        <v>0</v>
      </c>
      <c r="AI41" s="109">
        <f t="shared" si="61"/>
        <v>0</v>
      </c>
      <c r="AJ41" s="110">
        <f t="shared" si="61"/>
        <v>0</v>
      </c>
      <c r="AK41" s="109">
        <f t="shared" si="61"/>
        <v>0</v>
      </c>
      <c r="AL41" s="110">
        <f t="shared" si="61"/>
        <v>0</v>
      </c>
      <c r="AM41" s="109">
        <f t="shared" si="61"/>
        <v>0</v>
      </c>
      <c r="AN41" s="109">
        <f t="shared" si="61"/>
        <v>0</v>
      </c>
      <c r="AO41" s="111">
        <f t="shared" si="61"/>
        <v>0</v>
      </c>
      <c r="AP41" s="112">
        <f t="shared" si="61"/>
        <v>-13750663</v>
      </c>
      <c r="AQ41" s="112">
        <f t="shared" ref="AQ41:BM41" si="62">SUM(AQ9:AQ40)</f>
        <v>1093000</v>
      </c>
      <c r="AR41" s="112">
        <f t="shared" si="62"/>
        <v>0</v>
      </c>
      <c r="AS41" s="112">
        <f t="shared" si="62"/>
        <v>0</v>
      </c>
      <c r="AT41" s="112">
        <f t="shared" si="62"/>
        <v>11824153</v>
      </c>
      <c r="AU41" s="112">
        <f t="shared" si="62"/>
        <v>3022378</v>
      </c>
      <c r="AV41" s="112">
        <f t="shared" si="62"/>
        <v>8801775</v>
      </c>
      <c r="AW41" s="112">
        <f t="shared" si="62"/>
        <v>0</v>
      </c>
      <c r="AX41" s="112">
        <f t="shared" si="62"/>
        <v>0</v>
      </c>
      <c r="AY41" s="112">
        <f t="shared" si="62"/>
        <v>60</v>
      </c>
      <c r="AZ41" s="112">
        <f t="shared" si="62"/>
        <v>17640</v>
      </c>
      <c r="BA41" s="112">
        <f t="shared" si="62"/>
        <v>940</v>
      </c>
      <c r="BB41" s="112">
        <f t="shared" si="62"/>
        <v>1328800</v>
      </c>
      <c r="BC41" s="112">
        <f t="shared" si="62"/>
        <v>0</v>
      </c>
      <c r="BD41" s="112">
        <f t="shared" si="62"/>
        <v>0</v>
      </c>
      <c r="BE41" s="112">
        <f t="shared" si="62"/>
        <v>0</v>
      </c>
      <c r="BF41" s="112">
        <f t="shared" si="62"/>
        <v>0</v>
      </c>
      <c r="BG41" s="112">
        <f t="shared" si="62"/>
        <v>0</v>
      </c>
      <c r="BH41" s="112">
        <f t="shared" si="62"/>
        <v>0</v>
      </c>
      <c r="BI41" s="112">
        <f t="shared" si="62"/>
        <v>0</v>
      </c>
      <c r="BJ41" s="112">
        <f t="shared" si="62"/>
        <v>0</v>
      </c>
      <c r="BK41" s="112">
        <f t="shared" si="62"/>
        <v>14263593</v>
      </c>
      <c r="BL41" s="112">
        <f t="shared" si="62"/>
        <v>14240375</v>
      </c>
      <c r="BM41" s="112">
        <f t="shared" si="62"/>
        <v>23218</v>
      </c>
      <c r="BN41" s="13"/>
      <c r="BO41" s="95">
        <f t="shared" si="25"/>
        <v>0.07675359673</v>
      </c>
      <c r="BP41" s="95">
        <f t="shared" si="26"/>
        <v>0.2122400569</v>
      </c>
      <c r="BQ41" s="95">
        <f t="shared" si="27"/>
        <v>0.6180859001</v>
      </c>
      <c r="BR41" s="95">
        <f t="shared" si="28"/>
        <v>0</v>
      </c>
      <c r="BS41" s="95">
        <f t="shared" si="29"/>
        <v>0.001238731424</v>
      </c>
      <c r="BT41" s="95">
        <f t="shared" si="30"/>
        <v>0.09331214943</v>
      </c>
      <c r="BU41" s="95">
        <f t="shared" si="31"/>
        <v>0</v>
      </c>
      <c r="BV41" s="95">
        <f t="shared" si="32"/>
        <v>1.001630435</v>
      </c>
      <c r="BW41" s="95">
        <f t="shared" si="33"/>
        <v>1</v>
      </c>
    </row>
    <row r="42" ht="14.25" customHeight="1">
      <c r="A42" s="181"/>
      <c r="B42" s="7"/>
      <c r="C42" s="14"/>
      <c r="D42" s="182">
        <v>789.0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7.0</v>
      </c>
      <c r="S42" s="14"/>
      <c r="T42" s="14"/>
      <c r="U42" s="14"/>
      <c r="V42" s="14"/>
      <c r="W42" s="14"/>
      <c r="X42" s="182">
        <v>5.0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57" t="s">
        <v>55</v>
      </c>
      <c r="B43" s="114">
        <f>B9-B42</f>
        <v>0</v>
      </c>
      <c r="C43" s="114"/>
      <c r="D43" s="114">
        <f>D9-D42</f>
        <v>525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7"/>
      <c r="R43" s="114">
        <f>S41-R42</f>
        <v>7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50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50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50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14240375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50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3">AQ41</f>
        <v>1093000</v>
      </c>
      <c r="AR47" s="136">
        <f t="shared" si="63"/>
        <v>0</v>
      </c>
      <c r="AS47" s="136">
        <f t="shared" ref="AS47:AU47" si="64">AU41</f>
        <v>3022378</v>
      </c>
      <c r="AT47" s="136">
        <f t="shared" si="64"/>
        <v>8801775</v>
      </c>
      <c r="AU47" s="136">
        <f t="shared" si="64"/>
        <v>0</v>
      </c>
      <c r="AV47" s="136">
        <f>AZ41</f>
        <v>17640</v>
      </c>
      <c r="AW47" s="136">
        <f>BD41+BF41+BH41+BB41</f>
        <v>1328800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50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5">AQ47/$AD$41</f>
        <v>0.07675359673</v>
      </c>
      <c r="AR48" s="113">
        <f t="shared" si="65"/>
        <v>0</v>
      </c>
      <c r="AS48" s="113">
        <f t="shared" si="65"/>
        <v>0.2122400569</v>
      </c>
      <c r="AT48" s="113">
        <f t="shared" si="65"/>
        <v>0.6180859001</v>
      </c>
      <c r="AU48" s="113">
        <f t="shared" si="65"/>
        <v>0</v>
      </c>
      <c r="AV48" s="113">
        <f t="shared" si="65"/>
        <v>0.001238731424</v>
      </c>
      <c r="AW48" s="113">
        <f t="shared" si="65"/>
        <v>0.09331214943</v>
      </c>
      <c r="AX48" s="113">
        <f t="shared" si="65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50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50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50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50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50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50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50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50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50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50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50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50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50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50"/>
      <c r="B62" s="13"/>
      <c r="C62" s="3"/>
      <c r="D62" s="3"/>
      <c r="E62" s="3"/>
      <c r="F62" s="3"/>
      <c r="G62" s="3"/>
      <c r="H62" s="4"/>
      <c r="I62" s="4"/>
      <c r="J62" s="5"/>
      <c r="K62" s="5"/>
      <c r="L62" s="183"/>
      <c r="M62" s="183"/>
      <c r="N62" s="183"/>
      <c r="O62" s="183"/>
      <c r="P62" s="5"/>
      <c r="Q62" s="151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50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50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50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50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50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50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50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50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50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50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50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50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50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50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50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50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50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50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50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50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50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50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50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50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50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50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50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50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50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50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50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50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50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50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50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50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50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50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50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50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50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50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50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50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50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50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50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50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50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50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50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50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50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50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50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50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50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50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50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50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50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50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50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50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50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50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50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50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50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50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50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50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50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50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50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50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50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50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50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50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50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50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50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50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50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50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50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50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50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50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50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50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50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50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50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50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50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50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50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50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50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50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50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50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50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50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50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50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50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50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50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50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50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50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50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50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50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50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50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50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50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50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50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50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50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50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50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50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50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50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50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50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50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50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50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50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50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50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50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50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50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50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50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50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50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50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50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50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50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50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50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50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50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50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50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50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50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50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50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50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50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50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50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50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50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50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50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50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50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50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50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50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50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50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50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50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50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50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81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81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81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8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8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8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8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8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8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8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8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8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8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8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8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8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8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8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8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8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8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8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8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8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8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8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8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8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8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8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8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8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8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8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8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8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8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8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8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8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8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8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8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8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8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8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8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8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8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8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8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8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8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8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8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8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8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8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8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8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8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8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8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8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8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8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8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8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8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8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8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8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8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8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8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8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8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8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8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8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8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8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8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8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8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8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8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8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8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8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8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8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8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8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8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8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8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8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8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8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8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8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8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8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8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8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8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8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8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8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8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8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8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8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8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8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8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8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8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8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8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8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8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8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8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8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8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8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8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8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8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8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8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8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8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8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8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8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8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8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8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8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8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8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8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8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8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8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8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8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8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8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8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8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8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8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8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8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8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8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8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8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8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8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8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8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8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8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8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8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8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8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8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8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8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8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8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8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8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8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8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8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8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8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8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8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8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8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8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8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8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8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8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8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8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8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8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8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8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8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8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8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8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8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8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8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8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8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8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8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8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8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8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8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8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8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8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8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8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8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8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8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8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8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8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8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8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8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8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8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8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8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8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8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8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8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8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8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8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8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8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8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8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8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8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8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8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8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8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8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8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8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8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8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8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8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8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8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8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8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8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8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8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8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8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8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8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8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8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8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8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8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8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8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8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8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8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8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8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8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8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8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8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8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8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8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8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8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8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8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8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8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8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8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8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8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8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8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8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8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8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8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8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8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8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8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8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8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8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8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8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8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8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8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8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8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8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8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8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8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8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8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8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8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8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8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8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8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8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8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8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8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8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8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8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8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8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8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8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8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8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8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8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8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8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8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8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8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8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8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8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8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8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8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8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8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8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8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8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8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8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8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8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8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8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8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8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8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8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8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8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8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8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8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8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8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8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8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8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8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8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8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8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8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8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8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8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8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8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8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8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8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8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8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8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8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8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8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8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8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8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8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8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8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8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8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8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8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8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8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8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8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8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8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8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8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8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8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8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8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8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8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8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8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8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8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8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8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8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8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8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8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8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8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8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8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8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8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8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8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8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8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8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8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8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8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8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8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8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8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8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8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8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8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8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8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8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8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8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8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8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8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8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8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8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8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8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8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8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8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8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8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8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8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8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8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8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8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8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8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8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8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8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8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8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8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8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8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8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8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8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8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8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8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8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8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8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8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8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8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8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8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8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8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8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8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8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8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8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8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8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8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8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8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8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8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8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8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8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8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8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8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8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8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8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8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8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8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8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8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8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8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8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8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8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8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8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8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8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8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8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8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8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8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8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8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8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8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8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8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8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8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8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8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8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8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8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8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8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8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8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8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8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8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8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8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8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8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8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8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8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8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8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8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8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8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8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8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8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8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8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8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8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8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8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8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8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8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8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8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8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8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8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8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8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8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8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8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8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8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8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8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8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8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8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8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8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8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8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8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8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8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8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8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8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8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8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8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8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8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8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8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8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8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8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8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8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8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8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8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8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8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8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8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8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8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8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8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8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8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8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8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8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8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8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8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8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8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8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8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8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8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8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8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8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8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8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8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8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8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8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8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8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8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8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8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8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8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8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8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8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8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8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8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8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8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8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8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8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8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8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8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8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8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8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8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8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8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8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8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8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8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8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8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8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8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8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8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8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8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8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8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8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8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8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8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8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8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8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8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8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8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8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8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8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8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8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8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8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8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8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8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8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8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8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8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8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8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8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8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8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8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8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8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8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8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8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8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8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8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8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8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8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8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8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8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8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8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8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8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8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8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8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8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8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8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8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8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8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8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K8:K40 Q1:Q1000">
    <cfRule type="notContainsBlanks" dxfId="3" priority="11">
      <formula>LEN(TRIM(K8))&gt;0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4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3.43"/>
    <col customWidth="1" min="10" max="10" width="11.86"/>
    <col customWidth="1" min="11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10.29"/>
    <col customWidth="1" min="23" max="23" width="15.29"/>
    <col customWidth="1" min="24" max="25" width="8.43"/>
    <col customWidth="1" min="26" max="28" width="11.57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68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69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4">
        <v>543.0</v>
      </c>
      <c r="E9" s="165">
        <f t="shared" ref="E9:E40" si="2">IF(C9="","",C9+D9-1)</f>
        <v>542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19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>Z9*21%</f>
        <v>0</v>
      </c>
      <c r="AB9" s="166"/>
      <c r="AC9" s="81">
        <f t="shared" ref="AC9:AC39" si="8">Z9+AA9+AB9</f>
        <v>0</v>
      </c>
      <c r="AD9" s="84">
        <f t="shared" ref="AD9:AD39" si="9">+K9+Q9+W9-AC9</f>
        <v>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0</v>
      </c>
      <c r="AQ9" s="186"/>
      <c r="AR9" s="88"/>
      <c r="AS9" s="89"/>
      <c r="AT9" s="187">
        <v>0.0</v>
      </c>
      <c r="AU9" s="75"/>
      <c r="AV9" s="75"/>
      <c r="AW9" s="90"/>
      <c r="AX9" s="91"/>
      <c r="AY9" s="75"/>
      <c r="AZ9" s="90">
        <f>AY9*277</f>
        <v>0</v>
      </c>
      <c r="BA9" s="75"/>
      <c r="BB9" s="90">
        <f>BA9*1405</f>
        <v>0</v>
      </c>
      <c r="BC9" s="75"/>
      <c r="BD9" s="90">
        <f>BC9*BD$2</f>
        <v>0</v>
      </c>
      <c r="BE9" s="75"/>
      <c r="BF9" s="90">
        <f t="shared" ref="BF9:BF10" si="15">BE9*BF$2</f>
        <v>0</v>
      </c>
      <c r="BG9" s="75"/>
      <c r="BH9" s="90">
        <f t="shared" ref="BH9:BH28" si="16">BG9*BH$2</f>
        <v>0</v>
      </c>
      <c r="BI9" s="75"/>
      <c r="BJ9" s="90">
        <f>BI9*1640</f>
        <v>0</v>
      </c>
      <c r="BK9" s="92">
        <f t="shared" ref="BK9:BK10" si="17">+AQ9+AR9+AT9+AW9+AX9+AZ9+BB9+BD9+BF9+BH8+BJ9</f>
        <v>0</v>
      </c>
      <c r="BL9" s="93">
        <f t="shared" ref="BL9:BL39" si="18">AD9</f>
        <v>0</v>
      </c>
      <c r="BM9" s="94">
        <f t="shared" ref="BM9:BM40" si="19">SUM(BK9-BL9)</f>
        <v>0</v>
      </c>
      <c r="BN9" s="13"/>
      <c r="BO9" s="95">
        <f t="shared" ref="BO9:BO41" si="20">IF(AQ9+AR9=0,0,(AQ9+AR9)/AD9)</f>
        <v>0</v>
      </c>
      <c r="BP9" s="95">
        <f t="shared" ref="BP9:BP41" si="21">IF(AU9=0,0,AU9/AD9)</f>
        <v>0</v>
      </c>
      <c r="BQ9" s="95">
        <f t="shared" ref="BQ9:BQ41" si="22">IF(AT9=0,0,AT9/AD9)</f>
        <v>0</v>
      </c>
      <c r="BR9" s="95">
        <f t="shared" ref="BR9:BR41" si="23">IF(AW9=0,0,AW9/AD9)</f>
        <v>0</v>
      </c>
      <c r="BS9" s="95">
        <f t="shared" ref="BS9:BS41" si="24">IF(AZ9=0,0,AZ9/AD9)</f>
        <v>0</v>
      </c>
      <c r="BT9" s="95">
        <f t="shared" ref="BT9:BT41" si="25">IF(BB9+BD9+BF9=0,0,(BB9+BD9+BF9)/AD9)</f>
        <v>0</v>
      </c>
      <c r="BU9" s="95">
        <f t="shared" ref="BU9:BU41" si="26">IF(BJ9=0,0,BJ9/AD9)</f>
        <v>0</v>
      </c>
      <c r="BV9" s="95">
        <f t="shared" ref="BV9:BV41" si="27">SUM(BO9:BU9)</f>
        <v>0</v>
      </c>
      <c r="BW9" s="95">
        <f t="shared" ref="BW9:BW41" si="28">AD9/$AD$41</f>
        <v>0</v>
      </c>
    </row>
    <row r="10" ht="15.75" customHeight="1">
      <c r="A10" s="168">
        <f>'LUCERO RECOLETA'!A10</f>
        <v>46144</v>
      </c>
      <c r="B10" s="162"/>
      <c r="C10" s="176">
        <v>21.0</v>
      </c>
      <c r="D10" s="165">
        <f t="shared" ref="D10:D39" si="29">E9+1</f>
        <v>543</v>
      </c>
      <c r="E10" s="165">
        <f t="shared" si="2"/>
        <v>563</v>
      </c>
      <c r="F10" s="73"/>
      <c r="G10" s="74"/>
      <c r="H10" s="169">
        <v>1866687.52</v>
      </c>
      <c r="I10" s="169">
        <v>392004.38</v>
      </c>
      <c r="J10" s="76"/>
      <c r="K10" s="83">
        <f t="shared" si="3"/>
        <v>2258691.9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71">
        <v>17.0</v>
      </c>
      <c r="Y10" s="171">
        <v>17.0</v>
      </c>
      <c r="Z10" s="172">
        <v>165280.99</v>
      </c>
      <c r="AA10" s="173">
        <v>34709.01</v>
      </c>
      <c r="AB10" s="166"/>
      <c r="AC10" s="81">
        <f t="shared" si="8"/>
        <v>199990</v>
      </c>
      <c r="AD10" s="84">
        <f t="shared" si="9"/>
        <v>2058701.9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-2037740</v>
      </c>
      <c r="AQ10" s="186">
        <f>40000+10000+40000</f>
        <v>90000</v>
      </c>
      <c r="AR10" s="88"/>
      <c r="AS10" s="89"/>
      <c r="AT10" s="187">
        <v>1947740.0</v>
      </c>
      <c r="AU10" s="75"/>
      <c r="AV10" s="75"/>
      <c r="AW10" s="90"/>
      <c r="AX10" s="88"/>
      <c r="AY10" s="75"/>
      <c r="AZ10" s="90">
        <f>AY10*276</f>
        <v>0</v>
      </c>
      <c r="BA10" s="75"/>
      <c r="BB10" s="90">
        <f>BA10*1465</f>
        <v>0</v>
      </c>
      <c r="BC10" s="75"/>
      <c r="BD10" s="90">
        <f>BC10*1480</f>
        <v>0</v>
      </c>
      <c r="BE10" s="75"/>
      <c r="BF10" s="90">
        <f t="shared" si="15"/>
        <v>0</v>
      </c>
      <c r="BG10" s="75"/>
      <c r="BH10" s="90">
        <f t="shared" si="16"/>
        <v>0</v>
      </c>
      <c r="BI10" s="75"/>
      <c r="BJ10" s="90">
        <f>BI10*BJ$2</f>
        <v>0</v>
      </c>
      <c r="BK10" s="92">
        <f t="shared" si="17"/>
        <v>2037740</v>
      </c>
      <c r="BL10" s="93">
        <f t="shared" si="18"/>
        <v>2058701.9</v>
      </c>
      <c r="BM10" s="94">
        <f t="shared" si="19"/>
        <v>-20961.9</v>
      </c>
      <c r="BN10" s="13"/>
      <c r="BO10" s="95">
        <f t="shared" si="20"/>
        <v>0.04371686838</v>
      </c>
      <c r="BP10" s="95">
        <f t="shared" si="21"/>
        <v>0</v>
      </c>
      <c r="BQ10" s="95">
        <f t="shared" si="22"/>
        <v>0.9461010358</v>
      </c>
      <c r="BR10" s="95">
        <f t="shared" si="23"/>
        <v>0</v>
      </c>
      <c r="BS10" s="95">
        <f t="shared" si="24"/>
        <v>0</v>
      </c>
      <c r="BT10" s="95">
        <f t="shared" si="25"/>
        <v>0</v>
      </c>
      <c r="BU10" s="95">
        <f t="shared" si="26"/>
        <v>0</v>
      </c>
      <c r="BV10" s="95">
        <f t="shared" si="27"/>
        <v>0.9898179042</v>
      </c>
      <c r="BW10" s="95">
        <f t="shared" si="28"/>
        <v>0.04445339874</v>
      </c>
    </row>
    <row r="11" ht="15.75" customHeight="1">
      <c r="A11" s="168">
        <f>'LUCERO RECOLETA'!A11</f>
        <v>46145</v>
      </c>
      <c r="B11" s="162"/>
      <c r="C11" s="176">
        <v>21.0</v>
      </c>
      <c r="D11" s="165">
        <f t="shared" si="29"/>
        <v>564</v>
      </c>
      <c r="E11" s="165">
        <f t="shared" si="2"/>
        <v>584</v>
      </c>
      <c r="F11" s="73"/>
      <c r="G11" s="74"/>
      <c r="H11" s="169">
        <v>1682718.99</v>
      </c>
      <c r="I11" s="169">
        <v>353371.01</v>
      </c>
      <c r="J11" s="76"/>
      <c r="K11" s="83">
        <f t="shared" si="3"/>
        <v>2036090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ref="AA11:AA22" si="30">Z11*21%</f>
        <v>0</v>
      </c>
      <c r="AB11" s="166"/>
      <c r="AC11" s="81">
        <f t="shared" si="8"/>
        <v>0</v>
      </c>
      <c r="AD11" s="84">
        <f t="shared" si="9"/>
        <v>2036090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-2039710</v>
      </c>
      <c r="AQ11" s="170">
        <v>15000.0</v>
      </c>
      <c r="AR11" s="88"/>
      <c r="AS11" s="89"/>
      <c r="AT11" s="187">
        <v>1826610.0</v>
      </c>
      <c r="AU11" s="75"/>
      <c r="AV11" s="75"/>
      <c r="AW11" s="90"/>
      <c r="AX11" s="88"/>
      <c r="AY11" s="75"/>
      <c r="AZ11" s="90">
        <f>AY11*283</f>
        <v>0</v>
      </c>
      <c r="BA11" s="169">
        <v>100.0</v>
      </c>
      <c r="BB11" s="90">
        <f t="shared" ref="BB11:BB13" si="31">BA11*1415</f>
        <v>141500</v>
      </c>
      <c r="BC11" s="169">
        <v>40.0</v>
      </c>
      <c r="BD11" s="90">
        <f t="shared" ref="BD11:BD12" si="32">BC11*1415</f>
        <v>56600</v>
      </c>
      <c r="BE11" s="75"/>
      <c r="BF11" s="90">
        <f>BE11*1470</f>
        <v>0</v>
      </c>
      <c r="BG11" s="75"/>
      <c r="BH11" s="90">
        <f t="shared" si="16"/>
        <v>0</v>
      </c>
      <c r="BI11" s="75"/>
      <c r="BJ11" s="90">
        <f>BI11*1700</f>
        <v>0</v>
      </c>
      <c r="BK11" s="92">
        <f t="shared" ref="BK11:BK40" si="33">+AQ11+AR11+AT11+AW11+AX11+AZ11+BB11+BD11+BF11+BH11+BJ11</f>
        <v>2039710</v>
      </c>
      <c r="BL11" s="93">
        <f t="shared" si="18"/>
        <v>2036090</v>
      </c>
      <c r="BM11" s="94">
        <f t="shared" si="19"/>
        <v>3620</v>
      </c>
      <c r="BN11" s="13"/>
      <c r="BO11" s="95">
        <f t="shared" si="20"/>
        <v>0.007367061377</v>
      </c>
      <c r="BP11" s="95">
        <f t="shared" si="21"/>
        <v>0</v>
      </c>
      <c r="BQ11" s="95">
        <f t="shared" si="22"/>
        <v>0.8971165322</v>
      </c>
      <c r="BR11" s="95">
        <f t="shared" si="23"/>
        <v>0</v>
      </c>
      <c r="BS11" s="95">
        <f t="shared" si="24"/>
        <v>0</v>
      </c>
      <c r="BT11" s="95">
        <f t="shared" si="25"/>
        <v>0.09729432392</v>
      </c>
      <c r="BU11" s="95">
        <f t="shared" si="26"/>
        <v>0</v>
      </c>
      <c r="BV11" s="95">
        <f t="shared" si="27"/>
        <v>1.001777917</v>
      </c>
      <c r="BW11" s="95">
        <f t="shared" si="28"/>
        <v>0.04396514165</v>
      </c>
    </row>
    <row r="12" ht="15.75" customHeight="1">
      <c r="A12" s="168">
        <f>'LUCERO RECOLETA'!A12</f>
        <v>46146</v>
      </c>
      <c r="B12" s="162"/>
      <c r="C12" s="176">
        <v>15.0</v>
      </c>
      <c r="D12" s="165">
        <f t="shared" si="29"/>
        <v>585</v>
      </c>
      <c r="E12" s="165">
        <f t="shared" si="2"/>
        <v>599</v>
      </c>
      <c r="F12" s="73"/>
      <c r="G12" s="74"/>
      <c r="H12" s="169">
        <v>2639396.7</v>
      </c>
      <c r="I12" s="169">
        <v>554273.3</v>
      </c>
      <c r="J12" s="76"/>
      <c r="K12" s="83">
        <f t="shared" si="3"/>
        <v>3193670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30"/>
        <v>0</v>
      </c>
      <c r="AB12" s="166"/>
      <c r="AC12" s="81">
        <f t="shared" si="8"/>
        <v>0</v>
      </c>
      <c r="AD12" s="84">
        <f t="shared" si="9"/>
        <v>3193670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-3191070</v>
      </c>
      <c r="AQ12" s="186">
        <f>20000+10000</f>
        <v>30000</v>
      </c>
      <c r="AR12" s="88"/>
      <c r="AS12" s="89"/>
      <c r="AT12" s="187">
        <v>2283770.0</v>
      </c>
      <c r="AU12" s="75"/>
      <c r="AV12" s="75"/>
      <c r="AW12" s="90"/>
      <c r="AX12" s="88"/>
      <c r="AY12" s="75"/>
      <c r="AZ12" s="90">
        <f>AY12*1495</f>
        <v>0</v>
      </c>
      <c r="BA12" s="169">
        <v>520.0</v>
      </c>
      <c r="BB12" s="90">
        <f t="shared" si="31"/>
        <v>735800</v>
      </c>
      <c r="BC12" s="169">
        <v>100.0</v>
      </c>
      <c r="BD12" s="90">
        <f t="shared" si="32"/>
        <v>141500</v>
      </c>
      <c r="BE12" s="75"/>
      <c r="BF12" s="90">
        <f>BE12*1495</f>
        <v>0</v>
      </c>
      <c r="BG12" s="75"/>
      <c r="BH12" s="90">
        <f t="shared" si="16"/>
        <v>0</v>
      </c>
      <c r="BI12" s="75"/>
      <c r="BJ12" s="90">
        <f t="shared" ref="BJ12:BJ13" si="34">BI12*BJ$2</f>
        <v>0</v>
      </c>
      <c r="BK12" s="92">
        <f t="shared" si="33"/>
        <v>3191070</v>
      </c>
      <c r="BL12" s="93">
        <f t="shared" si="18"/>
        <v>3193670</v>
      </c>
      <c r="BM12" s="94">
        <f t="shared" si="19"/>
        <v>-2600</v>
      </c>
      <c r="BN12" s="13"/>
      <c r="BO12" s="95">
        <f t="shared" si="20"/>
        <v>0.009393581679</v>
      </c>
      <c r="BP12" s="95">
        <f t="shared" si="21"/>
        <v>0</v>
      </c>
      <c r="BQ12" s="95">
        <f t="shared" si="22"/>
        <v>0.7150926677</v>
      </c>
      <c r="BR12" s="95">
        <f t="shared" si="23"/>
        <v>0</v>
      </c>
      <c r="BS12" s="95">
        <f t="shared" si="24"/>
        <v>0</v>
      </c>
      <c r="BT12" s="95">
        <f t="shared" si="25"/>
        <v>0.2746996402</v>
      </c>
      <c r="BU12" s="95">
        <f t="shared" si="26"/>
        <v>0</v>
      </c>
      <c r="BV12" s="95">
        <f t="shared" si="27"/>
        <v>0.9991858896</v>
      </c>
      <c r="BW12" s="95">
        <f t="shared" si="28"/>
        <v>0.06896068147</v>
      </c>
    </row>
    <row r="13" ht="15.75" customHeight="1">
      <c r="A13" s="168">
        <f>'LUCERO RECOLETA'!A13</f>
        <v>46147</v>
      </c>
      <c r="B13" s="162"/>
      <c r="C13" s="176">
        <v>12.0</v>
      </c>
      <c r="D13" s="165">
        <f t="shared" si="29"/>
        <v>600</v>
      </c>
      <c r="E13" s="165">
        <f t="shared" si="2"/>
        <v>611</v>
      </c>
      <c r="F13" s="73"/>
      <c r="G13" s="74"/>
      <c r="H13" s="169">
        <v>977528.92</v>
      </c>
      <c r="I13" s="169">
        <v>205281.08</v>
      </c>
      <c r="J13" s="76"/>
      <c r="K13" s="83">
        <f t="shared" si="3"/>
        <v>1182810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30"/>
        <v>0</v>
      </c>
      <c r="AB13" s="166"/>
      <c r="AC13" s="81">
        <f t="shared" si="8"/>
        <v>0</v>
      </c>
      <c r="AD13" s="84">
        <f t="shared" si="9"/>
        <v>1182810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-1186820</v>
      </c>
      <c r="AQ13" s="186">
        <f>80000+9000</f>
        <v>89000</v>
      </c>
      <c r="AR13" s="96"/>
      <c r="AS13" s="90"/>
      <c r="AT13" s="187">
        <v>899720.0</v>
      </c>
      <c r="AU13" s="75"/>
      <c r="AV13" s="75"/>
      <c r="AW13" s="90"/>
      <c r="AX13" s="88"/>
      <c r="AY13" s="75"/>
      <c r="AZ13" s="90">
        <f t="shared" ref="AZ13:AZ16" si="35">AY13*AZ$2</f>
        <v>0</v>
      </c>
      <c r="BA13" s="169">
        <v>140.0</v>
      </c>
      <c r="BB13" s="90">
        <f t="shared" si="31"/>
        <v>198100</v>
      </c>
      <c r="BC13" s="75"/>
      <c r="BD13" s="90">
        <f t="shared" ref="BD13:BD23" si="36">BC13*BD$2</f>
        <v>0</v>
      </c>
      <c r="BE13" s="75"/>
      <c r="BF13" s="90">
        <f t="shared" ref="BF13:BF14" si="37">BE13*BF$2</f>
        <v>0</v>
      </c>
      <c r="BG13" s="75"/>
      <c r="BH13" s="90">
        <f t="shared" si="16"/>
        <v>0</v>
      </c>
      <c r="BI13" s="75"/>
      <c r="BJ13" s="90">
        <f t="shared" si="34"/>
        <v>0</v>
      </c>
      <c r="BK13" s="92">
        <f t="shared" si="33"/>
        <v>1186820</v>
      </c>
      <c r="BL13" s="93">
        <f t="shared" si="18"/>
        <v>1182810</v>
      </c>
      <c r="BM13" s="94">
        <f t="shared" si="19"/>
        <v>4010</v>
      </c>
      <c r="BN13" s="13"/>
      <c r="BO13" s="95">
        <f t="shared" si="20"/>
        <v>0.07524454477</v>
      </c>
      <c r="BP13" s="95">
        <f t="shared" si="21"/>
        <v>0</v>
      </c>
      <c r="BQ13" s="95">
        <f t="shared" si="22"/>
        <v>0.7606631665</v>
      </c>
      <c r="BR13" s="95">
        <f t="shared" si="23"/>
        <v>0</v>
      </c>
      <c r="BS13" s="95">
        <f t="shared" si="24"/>
        <v>0</v>
      </c>
      <c r="BT13" s="95">
        <f t="shared" si="25"/>
        <v>0.1674825204</v>
      </c>
      <c r="BU13" s="95">
        <f t="shared" si="26"/>
        <v>0</v>
      </c>
      <c r="BV13" s="95">
        <f t="shared" si="27"/>
        <v>1.003390232</v>
      </c>
      <c r="BW13" s="95">
        <f t="shared" si="28"/>
        <v>0.02554032935</v>
      </c>
    </row>
    <row r="14" ht="15.75" customHeight="1">
      <c r="A14" s="168">
        <f>'LUCERO RECOLETA'!A14</f>
        <v>46148</v>
      </c>
      <c r="B14" s="162"/>
      <c r="C14" s="176">
        <v>8.0</v>
      </c>
      <c r="D14" s="165">
        <f t="shared" si="29"/>
        <v>612</v>
      </c>
      <c r="E14" s="165">
        <f t="shared" si="2"/>
        <v>619</v>
      </c>
      <c r="F14" s="73"/>
      <c r="G14" s="74"/>
      <c r="H14" s="169">
        <v>485839.67</v>
      </c>
      <c r="I14" s="169">
        <v>102026.33</v>
      </c>
      <c r="J14" s="76"/>
      <c r="K14" s="83">
        <f t="shared" si="3"/>
        <v>587866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30"/>
        <v>0</v>
      </c>
      <c r="AB14" s="166"/>
      <c r="AC14" s="81">
        <f t="shared" si="8"/>
        <v>0</v>
      </c>
      <c r="AD14" s="84">
        <f t="shared" si="9"/>
        <v>587866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-589890</v>
      </c>
      <c r="AQ14" s="186">
        <f>100000+20000+40000</f>
        <v>160000</v>
      </c>
      <c r="AR14" s="96"/>
      <c r="AS14" s="90"/>
      <c r="AT14" s="187">
        <v>429890.0</v>
      </c>
      <c r="AU14" s="75"/>
      <c r="AV14" s="75"/>
      <c r="AW14" s="90"/>
      <c r="AX14" s="88"/>
      <c r="AY14" s="75"/>
      <c r="AZ14" s="90">
        <f t="shared" si="35"/>
        <v>0</v>
      </c>
      <c r="BA14" s="75"/>
      <c r="BB14" s="90">
        <f t="shared" ref="BB14:BB15" si="38">BA14*1415</f>
        <v>0</v>
      </c>
      <c r="BC14" s="75"/>
      <c r="BD14" s="90">
        <f t="shared" si="36"/>
        <v>0</v>
      </c>
      <c r="BE14" s="75"/>
      <c r="BF14" s="90">
        <f t="shared" si="37"/>
        <v>0</v>
      </c>
      <c r="BG14" s="75"/>
      <c r="BH14" s="90">
        <f t="shared" si="16"/>
        <v>0</v>
      </c>
      <c r="BI14" s="75"/>
      <c r="BJ14" s="90">
        <f>BI14*1665</f>
        <v>0</v>
      </c>
      <c r="BK14" s="92">
        <f t="shared" si="33"/>
        <v>589890</v>
      </c>
      <c r="BL14" s="93">
        <f t="shared" si="18"/>
        <v>587866</v>
      </c>
      <c r="BM14" s="94">
        <f t="shared" si="19"/>
        <v>2024</v>
      </c>
      <c r="BN14" s="13"/>
      <c r="BO14" s="95">
        <f t="shared" si="20"/>
        <v>0.2721708689</v>
      </c>
      <c r="BP14" s="95">
        <f t="shared" si="21"/>
        <v>0</v>
      </c>
      <c r="BQ14" s="95">
        <f t="shared" si="22"/>
        <v>0.7312720926</v>
      </c>
      <c r="BR14" s="95">
        <f t="shared" si="23"/>
        <v>0</v>
      </c>
      <c r="BS14" s="95">
        <f t="shared" si="24"/>
        <v>0</v>
      </c>
      <c r="BT14" s="95">
        <f t="shared" si="25"/>
        <v>0</v>
      </c>
      <c r="BU14" s="95">
        <f t="shared" si="26"/>
        <v>0</v>
      </c>
      <c r="BV14" s="95">
        <f t="shared" si="27"/>
        <v>1.003442961</v>
      </c>
      <c r="BW14" s="95">
        <f t="shared" si="28"/>
        <v>0.01269374731</v>
      </c>
    </row>
    <row r="15" ht="15.75" customHeight="1">
      <c r="A15" s="168">
        <f>'LUCERO RECOLETA'!A15</f>
        <v>46149</v>
      </c>
      <c r="B15" s="162"/>
      <c r="C15" s="176">
        <v>21.0</v>
      </c>
      <c r="D15" s="165">
        <f t="shared" si="29"/>
        <v>620</v>
      </c>
      <c r="E15" s="165">
        <f t="shared" si="2"/>
        <v>640</v>
      </c>
      <c r="F15" s="73"/>
      <c r="G15" s="74"/>
      <c r="H15" s="169">
        <v>2135231.4</v>
      </c>
      <c r="I15" s="169">
        <v>448398.6</v>
      </c>
      <c r="J15" s="76"/>
      <c r="K15" s="83">
        <f t="shared" si="3"/>
        <v>2583630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f t="shared" si="30"/>
        <v>0</v>
      </c>
      <c r="AB15" s="166"/>
      <c r="AC15" s="81">
        <f t="shared" si="8"/>
        <v>0</v>
      </c>
      <c r="AD15" s="84">
        <f t="shared" si="9"/>
        <v>2583630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-2581670</v>
      </c>
      <c r="AQ15" s="170">
        <f>25000+100000</f>
        <v>125000</v>
      </c>
      <c r="AR15" s="96"/>
      <c r="AS15" s="90"/>
      <c r="AT15" s="187">
        <v>2173670.0</v>
      </c>
      <c r="AU15" s="75"/>
      <c r="AV15" s="75"/>
      <c r="AW15" s="90"/>
      <c r="AX15" s="88"/>
      <c r="AY15" s="75"/>
      <c r="AZ15" s="90">
        <f t="shared" si="35"/>
        <v>0</v>
      </c>
      <c r="BA15" s="169">
        <v>200.0</v>
      </c>
      <c r="BB15" s="90">
        <f t="shared" si="38"/>
        <v>283000</v>
      </c>
      <c r="BC15" s="75"/>
      <c r="BD15" s="90">
        <f t="shared" si="36"/>
        <v>0</v>
      </c>
      <c r="BE15" s="75"/>
      <c r="BF15" s="90">
        <f>BE15*1465</f>
        <v>0</v>
      </c>
      <c r="BG15" s="75"/>
      <c r="BH15" s="90">
        <f t="shared" si="16"/>
        <v>0</v>
      </c>
      <c r="BI15" s="75"/>
      <c r="BJ15" s="90">
        <f t="shared" ref="BJ15:BJ17" si="39">BI15*BJ$2</f>
        <v>0</v>
      </c>
      <c r="BK15" s="92">
        <f t="shared" si="33"/>
        <v>2581670</v>
      </c>
      <c r="BL15" s="93">
        <f t="shared" si="18"/>
        <v>2583630</v>
      </c>
      <c r="BM15" s="94">
        <f t="shared" si="19"/>
        <v>-1960</v>
      </c>
      <c r="BN15" s="13"/>
      <c r="BO15" s="95">
        <f t="shared" si="20"/>
        <v>0.0483815407</v>
      </c>
      <c r="BP15" s="95">
        <f t="shared" si="21"/>
        <v>0</v>
      </c>
      <c r="BQ15" s="95">
        <f t="shared" si="22"/>
        <v>0.8413240286</v>
      </c>
      <c r="BR15" s="95">
        <f t="shared" si="23"/>
        <v>0</v>
      </c>
      <c r="BS15" s="95">
        <f t="shared" si="24"/>
        <v>0</v>
      </c>
      <c r="BT15" s="95">
        <f t="shared" si="25"/>
        <v>0.1095358081</v>
      </c>
      <c r="BU15" s="95">
        <f t="shared" si="26"/>
        <v>0</v>
      </c>
      <c r="BV15" s="95">
        <f t="shared" si="27"/>
        <v>0.9992413774</v>
      </c>
      <c r="BW15" s="95">
        <f t="shared" si="28"/>
        <v>0.05578813261</v>
      </c>
    </row>
    <row r="16" ht="15.75" customHeight="1">
      <c r="A16" s="168">
        <f>'LUCERO RECOLETA'!A16</f>
        <v>46150</v>
      </c>
      <c r="B16" s="162"/>
      <c r="C16" s="176">
        <v>10.0</v>
      </c>
      <c r="D16" s="165">
        <f t="shared" si="29"/>
        <v>641</v>
      </c>
      <c r="E16" s="165">
        <f t="shared" si="2"/>
        <v>650</v>
      </c>
      <c r="F16" s="73"/>
      <c r="G16" s="74"/>
      <c r="H16" s="169">
        <v>566000.0</v>
      </c>
      <c r="I16" s="169">
        <v>118860.0</v>
      </c>
      <c r="J16" s="76"/>
      <c r="K16" s="83">
        <f t="shared" si="3"/>
        <v>684860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6"/>
        <v>0</v>
      </c>
      <c r="V16" s="166"/>
      <c r="W16" s="82">
        <f t="shared" si="7"/>
        <v>0</v>
      </c>
      <c r="X16" s="165"/>
      <c r="Y16" s="165"/>
      <c r="Z16" s="79"/>
      <c r="AA16" s="80">
        <f t="shared" si="30"/>
        <v>0</v>
      </c>
      <c r="AB16" s="166"/>
      <c r="AC16" s="81">
        <f t="shared" si="8"/>
        <v>0</v>
      </c>
      <c r="AD16" s="84">
        <f t="shared" si="9"/>
        <v>684860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-684860</v>
      </c>
      <c r="AQ16" s="170">
        <v>0.0</v>
      </c>
      <c r="AR16" s="96"/>
      <c r="AS16" s="90"/>
      <c r="AT16" s="187">
        <v>684860.0</v>
      </c>
      <c r="AU16" s="75"/>
      <c r="AV16" s="75"/>
      <c r="AW16" s="90"/>
      <c r="AX16" s="88"/>
      <c r="AY16" s="75"/>
      <c r="AZ16" s="90">
        <f t="shared" si="35"/>
        <v>0</v>
      </c>
      <c r="BA16" s="75"/>
      <c r="BB16" s="90">
        <f>BA16*1465</f>
        <v>0</v>
      </c>
      <c r="BC16" s="75"/>
      <c r="BD16" s="90">
        <f t="shared" si="36"/>
        <v>0</v>
      </c>
      <c r="BE16" s="75"/>
      <c r="BF16" s="90">
        <f>BE16*BF$2</f>
        <v>0</v>
      </c>
      <c r="BG16" s="75"/>
      <c r="BH16" s="90">
        <f t="shared" si="16"/>
        <v>0</v>
      </c>
      <c r="BI16" s="75"/>
      <c r="BJ16" s="90">
        <f t="shared" si="39"/>
        <v>0</v>
      </c>
      <c r="BK16" s="92">
        <f t="shared" si="33"/>
        <v>684860</v>
      </c>
      <c r="BL16" s="93">
        <f t="shared" si="18"/>
        <v>684860</v>
      </c>
      <c r="BM16" s="94">
        <f t="shared" si="19"/>
        <v>0</v>
      </c>
      <c r="BN16" s="14"/>
      <c r="BO16" s="95">
        <f t="shared" si="20"/>
        <v>0</v>
      </c>
      <c r="BP16" s="95">
        <f t="shared" si="21"/>
        <v>0</v>
      </c>
      <c r="BQ16" s="95">
        <f t="shared" si="22"/>
        <v>1</v>
      </c>
      <c r="BR16" s="95">
        <f t="shared" si="23"/>
        <v>0</v>
      </c>
      <c r="BS16" s="95">
        <f t="shared" si="24"/>
        <v>0</v>
      </c>
      <c r="BT16" s="95">
        <f t="shared" si="25"/>
        <v>0</v>
      </c>
      <c r="BU16" s="95">
        <f t="shared" si="26"/>
        <v>0</v>
      </c>
      <c r="BV16" s="95">
        <f t="shared" si="27"/>
        <v>1</v>
      </c>
      <c r="BW16" s="95">
        <f t="shared" si="28"/>
        <v>0.01478813162</v>
      </c>
    </row>
    <row r="17" ht="15.75" customHeight="1">
      <c r="A17" s="168">
        <f>'LUCERO RECOLETA'!A17</f>
        <v>46151</v>
      </c>
      <c r="B17" s="162"/>
      <c r="C17" s="176">
        <v>13.0</v>
      </c>
      <c r="D17" s="165">
        <f t="shared" si="29"/>
        <v>651</v>
      </c>
      <c r="E17" s="165">
        <f t="shared" si="2"/>
        <v>663</v>
      </c>
      <c r="F17" s="73"/>
      <c r="G17" s="74"/>
      <c r="H17" s="169">
        <v>1341966.92</v>
      </c>
      <c r="I17" s="169">
        <v>281813.08</v>
      </c>
      <c r="J17" s="76"/>
      <c r="K17" s="83">
        <f t="shared" si="3"/>
        <v>1623780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6"/>
        <v>0</v>
      </c>
      <c r="V17" s="166"/>
      <c r="W17" s="82">
        <f t="shared" si="7"/>
        <v>0</v>
      </c>
      <c r="X17" s="165"/>
      <c r="Y17" s="165"/>
      <c r="Z17" s="79"/>
      <c r="AA17" s="80">
        <f t="shared" si="30"/>
        <v>0</v>
      </c>
      <c r="AB17" s="166"/>
      <c r="AC17" s="81">
        <f t="shared" si="8"/>
        <v>0</v>
      </c>
      <c r="AD17" s="84">
        <f t="shared" si="9"/>
        <v>1623780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-1623600</v>
      </c>
      <c r="AQ17" s="186">
        <f>20000+20000+10000</f>
        <v>50000</v>
      </c>
      <c r="AR17" s="96"/>
      <c r="AS17" s="90"/>
      <c r="AT17" s="187">
        <v>1573600.0</v>
      </c>
      <c r="AU17" s="75"/>
      <c r="AV17" s="75"/>
      <c r="AW17" s="90"/>
      <c r="AX17" s="88"/>
      <c r="AY17" s="75"/>
      <c r="AZ17" s="90">
        <f t="shared" ref="AZ17:AZ19" si="40">AY17*AZ$3</f>
        <v>0</v>
      </c>
      <c r="BA17" s="75"/>
      <c r="BB17" s="90">
        <f>BA17*1450</f>
        <v>0</v>
      </c>
      <c r="BC17" s="75"/>
      <c r="BD17" s="90">
        <f t="shared" si="36"/>
        <v>0</v>
      </c>
      <c r="BE17" s="75"/>
      <c r="BF17" s="90">
        <f>BE17*1485</f>
        <v>0</v>
      </c>
      <c r="BG17" s="75"/>
      <c r="BH17" s="90">
        <f t="shared" si="16"/>
        <v>0</v>
      </c>
      <c r="BI17" s="75"/>
      <c r="BJ17" s="90">
        <f t="shared" si="39"/>
        <v>0</v>
      </c>
      <c r="BK17" s="92">
        <f t="shared" si="33"/>
        <v>1623600</v>
      </c>
      <c r="BL17" s="93">
        <f t="shared" si="18"/>
        <v>1623780</v>
      </c>
      <c r="BM17" s="94">
        <f t="shared" si="19"/>
        <v>-180</v>
      </c>
      <c r="BN17" s="13"/>
      <c r="BO17" s="95">
        <f t="shared" si="20"/>
        <v>0.03079234872</v>
      </c>
      <c r="BP17" s="95">
        <f t="shared" si="21"/>
        <v>0</v>
      </c>
      <c r="BQ17" s="95">
        <f t="shared" si="22"/>
        <v>0.9690967988</v>
      </c>
      <c r="BR17" s="95">
        <f t="shared" si="23"/>
        <v>0</v>
      </c>
      <c r="BS17" s="95">
        <f t="shared" si="24"/>
        <v>0</v>
      </c>
      <c r="BT17" s="95">
        <f t="shared" si="25"/>
        <v>0</v>
      </c>
      <c r="BU17" s="95">
        <f t="shared" si="26"/>
        <v>0</v>
      </c>
      <c r="BV17" s="95">
        <f t="shared" si="27"/>
        <v>0.9998891475</v>
      </c>
      <c r="BW17" s="95">
        <f t="shared" si="28"/>
        <v>0.03506216214</v>
      </c>
    </row>
    <row r="18" ht="15.75" customHeight="1">
      <c r="A18" s="168">
        <f>'LUCERO RECOLETA'!A18</f>
        <v>46152</v>
      </c>
      <c r="B18" s="162"/>
      <c r="C18" s="176">
        <v>14.0</v>
      </c>
      <c r="D18" s="165">
        <f t="shared" si="29"/>
        <v>664</v>
      </c>
      <c r="E18" s="165">
        <f t="shared" si="2"/>
        <v>677</v>
      </c>
      <c r="F18" s="73"/>
      <c r="G18" s="74"/>
      <c r="H18" s="169">
        <v>918019.63</v>
      </c>
      <c r="I18" s="169">
        <v>192784.17</v>
      </c>
      <c r="J18" s="76"/>
      <c r="K18" s="83">
        <f t="shared" si="3"/>
        <v>1110803.8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6"/>
      <c r="W18" s="82">
        <f t="shared" si="7"/>
        <v>0</v>
      </c>
      <c r="X18" s="165"/>
      <c r="Y18" s="165"/>
      <c r="Z18" s="79"/>
      <c r="AA18" s="80">
        <f t="shared" si="30"/>
        <v>0</v>
      </c>
      <c r="AB18" s="174"/>
      <c r="AC18" s="83">
        <f t="shared" si="8"/>
        <v>0</v>
      </c>
      <c r="AD18" s="84">
        <f t="shared" si="9"/>
        <v>1110803.8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-1111840</v>
      </c>
      <c r="AQ18" s="186">
        <f>40000+100000+15000</f>
        <v>155000</v>
      </c>
      <c r="AR18" s="96"/>
      <c r="AS18" s="90"/>
      <c r="AT18" s="187">
        <v>956840.0</v>
      </c>
      <c r="AU18" s="75"/>
      <c r="AV18" s="75"/>
      <c r="AW18" s="90"/>
      <c r="AX18" s="88"/>
      <c r="AY18" s="75"/>
      <c r="AZ18" s="90">
        <f t="shared" si="40"/>
        <v>0</v>
      </c>
      <c r="BA18" s="75"/>
      <c r="BB18" s="90">
        <f t="shared" ref="BB18:BB19" si="41">BA18*BB$2</f>
        <v>0</v>
      </c>
      <c r="BC18" s="75"/>
      <c r="BD18" s="90">
        <f t="shared" si="36"/>
        <v>0</v>
      </c>
      <c r="BE18" s="75"/>
      <c r="BF18" s="90">
        <f t="shared" ref="BF18:BF21" si="42">BE18*BF$2</f>
        <v>0</v>
      </c>
      <c r="BG18" s="75"/>
      <c r="BH18" s="90">
        <f t="shared" si="16"/>
        <v>0</v>
      </c>
      <c r="BI18" s="75"/>
      <c r="BJ18" s="90">
        <f>BI18*1685</f>
        <v>0</v>
      </c>
      <c r="BK18" s="92">
        <f t="shared" si="33"/>
        <v>1111840</v>
      </c>
      <c r="BL18" s="93">
        <f t="shared" si="18"/>
        <v>1110803.8</v>
      </c>
      <c r="BM18" s="94">
        <f t="shared" si="19"/>
        <v>1036.2</v>
      </c>
      <c r="BN18" s="14"/>
      <c r="BO18" s="95">
        <f t="shared" si="20"/>
        <v>0.1395385936</v>
      </c>
      <c r="BP18" s="95">
        <f t="shared" si="21"/>
        <v>0</v>
      </c>
      <c r="BQ18" s="95">
        <f t="shared" si="22"/>
        <v>0.8613942444</v>
      </c>
      <c r="BR18" s="95">
        <f t="shared" si="23"/>
        <v>0</v>
      </c>
      <c r="BS18" s="95">
        <f t="shared" si="24"/>
        <v>0</v>
      </c>
      <c r="BT18" s="95">
        <f t="shared" si="25"/>
        <v>0</v>
      </c>
      <c r="BU18" s="95">
        <f t="shared" si="26"/>
        <v>0</v>
      </c>
      <c r="BV18" s="95">
        <f t="shared" si="27"/>
        <v>1.000932838</v>
      </c>
      <c r="BW18" s="95">
        <f t="shared" si="28"/>
        <v>0.02398550477</v>
      </c>
    </row>
    <row r="19" ht="15.75" customHeight="1">
      <c r="A19" s="168">
        <f>'LUCERO RECOLETA'!A19</f>
        <v>46153</v>
      </c>
      <c r="B19" s="162"/>
      <c r="C19" s="176">
        <v>7.0</v>
      </c>
      <c r="D19" s="165">
        <f t="shared" si="29"/>
        <v>678</v>
      </c>
      <c r="E19" s="165">
        <f t="shared" si="2"/>
        <v>684</v>
      </c>
      <c r="F19" s="73"/>
      <c r="G19" s="74"/>
      <c r="H19" s="169">
        <v>413157.02</v>
      </c>
      <c r="I19" s="169">
        <v>86762.98</v>
      </c>
      <c r="J19" s="76"/>
      <c r="K19" s="83">
        <f t="shared" si="3"/>
        <v>499920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6"/>
      <c r="W19" s="82">
        <f t="shared" si="7"/>
        <v>0</v>
      </c>
      <c r="X19" s="165"/>
      <c r="Y19" s="165"/>
      <c r="Z19" s="79"/>
      <c r="AA19" s="80">
        <f t="shared" si="30"/>
        <v>0</v>
      </c>
      <c r="AB19" s="174"/>
      <c r="AC19" s="83">
        <f t="shared" si="8"/>
        <v>0</v>
      </c>
      <c r="AD19" s="84">
        <f t="shared" si="9"/>
        <v>499920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-607940</v>
      </c>
      <c r="AQ19" s="75">
        <f>20000+20000</f>
        <v>40000</v>
      </c>
      <c r="AR19" s="96"/>
      <c r="AS19" s="90"/>
      <c r="AT19" s="187">
        <v>567940.0</v>
      </c>
      <c r="AU19" s="75"/>
      <c r="AV19" s="75"/>
      <c r="AW19" s="90"/>
      <c r="AX19" s="88"/>
      <c r="AY19" s="75"/>
      <c r="AZ19" s="90">
        <f t="shared" si="40"/>
        <v>0</v>
      </c>
      <c r="BA19" s="75"/>
      <c r="BB19" s="90">
        <f t="shared" si="41"/>
        <v>0</v>
      </c>
      <c r="BC19" s="75"/>
      <c r="BD19" s="90">
        <f t="shared" si="36"/>
        <v>0</v>
      </c>
      <c r="BE19" s="75"/>
      <c r="BF19" s="90">
        <f t="shared" si="42"/>
        <v>0</v>
      </c>
      <c r="BG19" s="75"/>
      <c r="BH19" s="90">
        <f t="shared" si="16"/>
        <v>0</v>
      </c>
      <c r="BI19" s="75"/>
      <c r="BJ19" s="90">
        <f t="shared" ref="BJ19:BJ28" si="43">BI19*BJ$2</f>
        <v>0</v>
      </c>
      <c r="BK19" s="92">
        <f t="shared" si="33"/>
        <v>607940</v>
      </c>
      <c r="BL19" s="93">
        <f t="shared" si="18"/>
        <v>499920</v>
      </c>
      <c r="BM19" s="94">
        <f t="shared" si="19"/>
        <v>108020</v>
      </c>
      <c r="BN19" s="188" t="s">
        <v>70</v>
      </c>
      <c r="BO19" s="95">
        <f t="shared" si="20"/>
        <v>0.08001280205</v>
      </c>
      <c r="BP19" s="95">
        <f t="shared" si="21"/>
        <v>0</v>
      </c>
      <c r="BQ19" s="95">
        <f t="shared" si="22"/>
        <v>1.13606177</v>
      </c>
      <c r="BR19" s="95">
        <f t="shared" si="23"/>
        <v>0</v>
      </c>
      <c r="BS19" s="95">
        <f t="shared" si="24"/>
        <v>0</v>
      </c>
      <c r="BT19" s="95">
        <f t="shared" si="25"/>
        <v>0</v>
      </c>
      <c r="BU19" s="95">
        <f t="shared" si="26"/>
        <v>0</v>
      </c>
      <c r="BV19" s="95">
        <f t="shared" si="27"/>
        <v>1.216074572</v>
      </c>
      <c r="BW19" s="95">
        <f t="shared" si="28"/>
        <v>0.0107947358</v>
      </c>
    </row>
    <row r="20" ht="15.75" customHeight="1">
      <c r="A20" s="168">
        <f>'LUCERO RECOLETA'!A20</f>
        <v>46154</v>
      </c>
      <c r="B20" s="162"/>
      <c r="C20" s="176">
        <v>8.0</v>
      </c>
      <c r="D20" s="165">
        <f t="shared" si="29"/>
        <v>685</v>
      </c>
      <c r="E20" s="165">
        <f t="shared" si="2"/>
        <v>692</v>
      </c>
      <c r="F20" s="73"/>
      <c r="G20" s="74"/>
      <c r="H20" s="169">
        <v>784170.25</v>
      </c>
      <c r="I20" s="169">
        <v>164675.75</v>
      </c>
      <c r="J20" s="76"/>
      <c r="K20" s="83">
        <f t="shared" si="3"/>
        <v>948846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71">
        <v>10.0</v>
      </c>
      <c r="S20" s="171">
        <v>10.0</v>
      </c>
      <c r="T20" s="172">
        <v>247925.62</v>
      </c>
      <c r="U20" s="173">
        <v>52064.38</v>
      </c>
      <c r="V20" s="166"/>
      <c r="W20" s="82">
        <f t="shared" si="7"/>
        <v>299990</v>
      </c>
      <c r="X20" s="165"/>
      <c r="Y20" s="165"/>
      <c r="Z20" s="79"/>
      <c r="AA20" s="80">
        <f t="shared" si="30"/>
        <v>0</v>
      </c>
      <c r="AB20" s="166"/>
      <c r="AC20" s="81">
        <f t="shared" si="8"/>
        <v>0</v>
      </c>
      <c r="AD20" s="84">
        <f t="shared" si="9"/>
        <v>1248836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-1243860</v>
      </c>
      <c r="AQ20" s="75">
        <f>30000+130000</f>
        <v>160000</v>
      </c>
      <c r="AR20" s="96"/>
      <c r="AS20" s="90"/>
      <c r="AT20" s="187">
        <v>1083860.0</v>
      </c>
      <c r="AU20" s="75"/>
      <c r="AV20" s="75"/>
      <c r="AW20" s="90"/>
      <c r="AX20" s="88"/>
      <c r="AY20" s="75"/>
      <c r="AZ20" s="90">
        <f>AY20*286</f>
        <v>0</v>
      </c>
      <c r="BA20" s="75"/>
      <c r="BB20" s="90">
        <f>BA20*1425</f>
        <v>0</v>
      </c>
      <c r="BC20" s="75"/>
      <c r="BD20" s="90">
        <f t="shared" si="36"/>
        <v>0</v>
      </c>
      <c r="BE20" s="75"/>
      <c r="BF20" s="90">
        <f t="shared" si="42"/>
        <v>0</v>
      </c>
      <c r="BG20" s="75"/>
      <c r="BH20" s="90">
        <f t="shared" si="16"/>
        <v>0</v>
      </c>
      <c r="BI20" s="75"/>
      <c r="BJ20" s="90">
        <f t="shared" si="43"/>
        <v>0</v>
      </c>
      <c r="BK20" s="92">
        <f t="shared" si="33"/>
        <v>1243860</v>
      </c>
      <c r="BL20" s="93">
        <f t="shared" si="18"/>
        <v>1248836</v>
      </c>
      <c r="BM20" s="94">
        <f t="shared" si="19"/>
        <v>-4976</v>
      </c>
      <c r="BN20" s="13"/>
      <c r="BO20" s="95">
        <f t="shared" si="20"/>
        <v>0.1281193047</v>
      </c>
      <c r="BP20" s="95">
        <f t="shared" si="21"/>
        <v>0</v>
      </c>
      <c r="BQ20" s="95">
        <f t="shared" si="22"/>
        <v>0.8678961849</v>
      </c>
      <c r="BR20" s="95">
        <f t="shared" si="23"/>
        <v>0</v>
      </c>
      <c r="BS20" s="95">
        <f t="shared" si="24"/>
        <v>0</v>
      </c>
      <c r="BT20" s="95">
        <f t="shared" si="25"/>
        <v>0</v>
      </c>
      <c r="BU20" s="95">
        <f t="shared" si="26"/>
        <v>0</v>
      </c>
      <c r="BV20" s="95">
        <f t="shared" si="27"/>
        <v>0.9960154896</v>
      </c>
      <c r="BW20" s="95">
        <f t="shared" si="28"/>
        <v>0.02696602392</v>
      </c>
    </row>
    <row r="21" ht="15.75" customHeight="1">
      <c r="A21" s="168">
        <f>'LUCERO RECOLETA'!A21</f>
        <v>46155</v>
      </c>
      <c r="B21" s="162"/>
      <c r="C21" s="176">
        <v>9.0</v>
      </c>
      <c r="D21" s="165">
        <f t="shared" si="29"/>
        <v>693</v>
      </c>
      <c r="E21" s="165">
        <f t="shared" si="2"/>
        <v>701</v>
      </c>
      <c r="F21" s="73"/>
      <c r="G21" s="74"/>
      <c r="H21" s="169">
        <v>665148.77</v>
      </c>
      <c r="I21" s="169">
        <v>139681.23</v>
      </c>
      <c r="J21" s="76"/>
      <c r="K21" s="83">
        <f t="shared" si="3"/>
        <v>804830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ref="U21:U26" si="44">T21*21%</f>
        <v>0</v>
      </c>
      <c r="V21" s="166"/>
      <c r="W21" s="82">
        <f t="shared" si="7"/>
        <v>0</v>
      </c>
      <c r="X21" s="165"/>
      <c r="Y21" s="165"/>
      <c r="Z21" s="79"/>
      <c r="AA21" s="80">
        <f t="shared" si="30"/>
        <v>0</v>
      </c>
      <c r="AB21" s="166"/>
      <c r="AC21" s="81">
        <f t="shared" si="8"/>
        <v>0</v>
      </c>
      <c r="AD21" s="84">
        <f t="shared" si="9"/>
        <v>804830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-804840</v>
      </c>
      <c r="AQ21" s="169">
        <v>30000.0</v>
      </c>
      <c r="AR21" s="96"/>
      <c r="AS21" s="90"/>
      <c r="AT21" s="187">
        <v>774840.0</v>
      </c>
      <c r="AU21" s="75"/>
      <c r="AV21" s="75"/>
      <c r="AW21" s="90"/>
      <c r="AX21" s="88"/>
      <c r="AY21" s="75"/>
      <c r="AZ21" s="90">
        <f>AY21*AZ$3</f>
        <v>0</v>
      </c>
      <c r="BA21" s="75"/>
      <c r="BB21" s="90">
        <f t="shared" ref="BB21:BB22" si="45">BA21*1395</f>
        <v>0</v>
      </c>
      <c r="BC21" s="75"/>
      <c r="BD21" s="90">
        <f t="shared" si="36"/>
        <v>0</v>
      </c>
      <c r="BE21" s="75"/>
      <c r="BF21" s="90">
        <f t="shared" si="42"/>
        <v>0</v>
      </c>
      <c r="BG21" s="75"/>
      <c r="BH21" s="90">
        <f t="shared" si="16"/>
        <v>0</v>
      </c>
      <c r="BI21" s="75"/>
      <c r="BJ21" s="90">
        <f t="shared" si="43"/>
        <v>0</v>
      </c>
      <c r="BK21" s="92">
        <f t="shared" si="33"/>
        <v>804840</v>
      </c>
      <c r="BL21" s="93">
        <f t="shared" si="18"/>
        <v>804830</v>
      </c>
      <c r="BM21" s="94">
        <f t="shared" si="19"/>
        <v>10</v>
      </c>
      <c r="BN21" s="13"/>
      <c r="BO21" s="95">
        <f t="shared" si="20"/>
        <v>0.03727495247</v>
      </c>
      <c r="BP21" s="95">
        <f t="shared" si="21"/>
        <v>0</v>
      </c>
      <c r="BQ21" s="95">
        <f t="shared" si="22"/>
        <v>0.9627374725</v>
      </c>
      <c r="BR21" s="95">
        <f t="shared" si="23"/>
        <v>0</v>
      </c>
      <c r="BS21" s="95">
        <f t="shared" si="24"/>
        <v>0</v>
      </c>
      <c r="BT21" s="95">
        <f t="shared" si="25"/>
        <v>0</v>
      </c>
      <c r="BU21" s="95">
        <f t="shared" si="26"/>
        <v>0</v>
      </c>
      <c r="BV21" s="95">
        <f t="shared" si="27"/>
        <v>1.000012425</v>
      </c>
      <c r="BW21" s="95">
        <f t="shared" si="28"/>
        <v>0.01737863501</v>
      </c>
    </row>
    <row r="22" ht="15.75" customHeight="1">
      <c r="A22" s="168">
        <f>'LUCERO RECOLETA'!A22</f>
        <v>46156</v>
      </c>
      <c r="B22" s="162"/>
      <c r="C22" s="176">
        <v>24.0</v>
      </c>
      <c r="D22" s="165">
        <f t="shared" si="29"/>
        <v>702</v>
      </c>
      <c r="E22" s="165">
        <f t="shared" si="2"/>
        <v>725</v>
      </c>
      <c r="F22" s="73"/>
      <c r="G22" s="74"/>
      <c r="H22" s="169">
        <v>2567413.21</v>
      </c>
      <c r="I22" s="169">
        <v>539156.79</v>
      </c>
      <c r="J22" s="76"/>
      <c r="K22" s="83">
        <f t="shared" si="3"/>
        <v>3106570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44"/>
        <v>0</v>
      </c>
      <c r="V22" s="166"/>
      <c r="W22" s="82">
        <f t="shared" si="7"/>
        <v>0</v>
      </c>
      <c r="X22" s="165"/>
      <c r="Y22" s="165"/>
      <c r="Z22" s="79"/>
      <c r="AA22" s="80">
        <f t="shared" si="30"/>
        <v>0</v>
      </c>
      <c r="AB22" s="166"/>
      <c r="AC22" s="81">
        <f t="shared" si="8"/>
        <v>0</v>
      </c>
      <c r="AD22" s="84">
        <f t="shared" si="9"/>
        <v>3106570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-3111660</v>
      </c>
      <c r="AQ22" s="75">
        <f>10000+160000+160000</f>
        <v>330000</v>
      </c>
      <c r="AR22" s="96"/>
      <c r="AS22" s="90"/>
      <c r="AT22" s="187">
        <v>2781660.0</v>
      </c>
      <c r="AU22" s="75"/>
      <c r="AV22" s="75"/>
      <c r="AW22" s="90"/>
      <c r="AX22" s="88"/>
      <c r="AY22" s="75"/>
      <c r="AZ22" s="90">
        <f>AY22*286</f>
        <v>0</v>
      </c>
      <c r="BA22" s="75"/>
      <c r="BB22" s="90">
        <f t="shared" si="45"/>
        <v>0</v>
      </c>
      <c r="BC22" s="75"/>
      <c r="BD22" s="90">
        <f t="shared" si="36"/>
        <v>0</v>
      </c>
      <c r="BE22" s="75"/>
      <c r="BF22" s="90">
        <f>BE22*1490</f>
        <v>0</v>
      </c>
      <c r="BG22" s="75"/>
      <c r="BH22" s="90">
        <f t="shared" si="16"/>
        <v>0</v>
      </c>
      <c r="BI22" s="75"/>
      <c r="BJ22" s="90">
        <f t="shared" si="43"/>
        <v>0</v>
      </c>
      <c r="BK22" s="92">
        <f t="shared" si="33"/>
        <v>3111660</v>
      </c>
      <c r="BL22" s="93">
        <f t="shared" si="18"/>
        <v>3106570</v>
      </c>
      <c r="BM22" s="94">
        <f t="shared" si="19"/>
        <v>5090</v>
      </c>
      <c r="BN22" s="13"/>
      <c r="BO22" s="95">
        <f t="shared" si="20"/>
        <v>0.1062264813</v>
      </c>
      <c r="BP22" s="95">
        <f t="shared" si="21"/>
        <v>0</v>
      </c>
      <c r="BQ22" s="95">
        <f t="shared" si="22"/>
        <v>0.8954119817</v>
      </c>
      <c r="BR22" s="95">
        <f t="shared" si="23"/>
        <v>0</v>
      </c>
      <c r="BS22" s="95">
        <f t="shared" si="24"/>
        <v>0</v>
      </c>
      <c r="BT22" s="95">
        <f t="shared" si="25"/>
        <v>0</v>
      </c>
      <c r="BU22" s="95">
        <f t="shared" si="26"/>
        <v>0</v>
      </c>
      <c r="BV22" s="95">
        <f t="shared" si="27"/>
        <v>1.001638463</v>
      </c>
      <c r="BW22" s="95">
        <f t="shared" si="28"/>
        <v>0.06707993757</v>
      </c>
    </row>
    <row r="23" ht="15.75" customHeight="1">
      <c r="A23" s="168">
        <f>'LUCERO RECOLETA'!A23</f>
        <v>46157</v>
      </c>
      <c r="B23" s="162"/>
      <c r="C23" s="176">
        <v>10.0</v>
      </c>
      <c r="D23" s="165">
        <f t="shared" si="29"/>
        <v>726</v>
      </c>
      <c r="E23" s="165">
        <f t="shared" si="2"/>
        <v>735</v>
      </c>
      <c r="F23" s="73"/>
      <c r="G23" s="74"/>
      <c r="H23" s="169">
        <v>1708909.08</v>
      </c>
      <c r="I23" s="169">
        <v>358870.92</v>
      </c>
      <c r="J23" s="76"/>
      <c r="K23" s="83">
        <f t="shared" si="3"/>
        <v>2067780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44"/>
        <v>0</v>
      </c>
      <c r="V23" s="166"/>
      <c r="W23" s="82">
        <f t="shared" si="7"/>
        <v>0</v>
      </c>
      <c r="X23" s="171">
        <v>18.0</v>
      </c>
      <c r="Y23" s="171">
        <v>18.0</v>
      </c>
      <c r="Z23" s="172">
        <v>41314.05</v>
      </c>
      <c r="AA23" s="173">
        <v>8675.95</v>
      </c>
      <c r="AB23" s="166"/>
      <c r="AC23" s="81">
        <f t="shared" si="8"/>
        <v>49990</v>
      </c>
      <c r="AD23" s="84">
        <f t="shared" si="9"/>
        <v>2017790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-2012810</v>
      </c>
      <c r="AQ23" s="75">
        <f>130000+120000</f>
        <v>250000</v>
      </c>
      <c r="AR23" s="96"/>
      <c r="AS23" s="90"/>
      <c r="AT23" s="187">
        <v>1762810.0</v>
      </c>
      <c r="AU23" s="75"/>
      <c r="AV23" s="75"/>
      <c r="AW23" s="90"/>
      <c r="AX23" s="88"/>
      <c r="AY23" s="75"/>
      <c r="AZ23" s="90">
        <f t="shared" ref="AZ23:AZ29" si="46">AY23*AZ$3</f>
        <v>0</v>
      </c>
      <c r="BA23" s="75"/>
      <c r="BB23" s="90">
        <f>BA23*1425</f>
        <v>0</v>
      </c>
      <c r="BC23" s="75"/>
      <c r="BD23" s="90">
        <f t="shared" si="36"/>
        <v>0</v>
      </c>
      <c r="BE23" s="75"/>
      <c r="BF23" s="90">
        <f t="shared" ref="BF23:BF27" si="47">BE23*BF$2</f>
        <v>0</v>
      </c>
      <c r="BG23" s="75"/>
      <c r="BH23" s="90">
        <f t="shared" si="16"/>
        <v>0</v>
      </c>
      <c r="BI23" s="75"/>
      <c r="BJ23" s="90">
        <f t="shared" si="43"/>
        <v>0</v>
      </c>
      <c r="BK23" s="92">
        <f t="shared" si="33"/>
        <v>2012810</v>
      </c>
      <c r="BL23" s="93">
        <f t="shared" si="18"/>
        <v>2017790</v>
      </c>
      <c r="BM23" s="94">
        <f t="shared" si="19"/>
        <v>-4980</v>
      </c>
      <c r="BN23" s="13"/>
      <c r="BO23" s="95">
        <f t="shared" si="20"/>
        <v>0.1238979279</v>
      </c>
      <c r="BP23" s="95">
        <f t="shared" si="21"/>
        <v>0</v>
      </c>
      <c r="BQ23" s="95">
        <f t="shared" si="22"/>
        <v>0.8736340253</v>
      </c>
      <c r="BR23" s="95">
        <f t="shared" si="23"/>
        <v>0</v>
      </c>
      <c r="BS23" s="95">
        <f t="shared" si="24"/>
        <v>0</v>
      </c>
      <c r="BT23" s="95">
        <f t="shared" si="25"/>
        <v>0</v>
      </c>
      <c r="BU23" s="95">
        <f t="shared" si="26"/>
        <v>0</v>
      </c>
      <c r="BV23" s="95">
        <f t="shared" si="27"/>
        <v>0.9975319533</v>
      </c>
      <c r="BW23" s="95">
        <f t="shared" si="28"/>
        <v>0.04356999109</v>
      </c>
    </row>
    <row r="24" ht="15.75" customHeight="1">
      <c r="A24" s="168">
        <f>'LUCERO RECOLETA'!A24</f>
        <v>46158</v>
      </c>
      <c r="B24" s="162"/>
      <c r="C24" s="176">
        <v>23.0</v>
      </c>
      <c r="D24" s="165">
        <f t="shared" si="29"/>
        <v>736</v>
      </c>
      <c r="E24" s="165">
        <f t="shared" si="2"/>
        <v>758</v>
      </c>
      <c r="F24" s="73"/>
      <c r="G24" s="74"/>
      <c r="H24" s="169">
        <v>2094738.67</v>
      </c>
      <c r="I24" s="169">
        <v>439895.13</v>
      </c>
      <c r="J24" s="76"/>
      <c r="K24" s="83">
        <f t="shared" si="3"/>
        <v>2534633.8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44"/>
        <v>0</v>
      </c>
      <c r="V24" s="166"/>
      <c r="W24" s="82">
        <f t="shared" si="7"/>
        <v>0</v>
      </c>
      <c r="X24" s="171">
        <v>19.0</v>
      </c>
      <c r="Y24" s="171">
        <v>19.0</v>
      </c>
      <c r="Z24" s="172">
        <v>132223.14</v>
      </c>
      <c r="AA24" s="173">
        <v>27766.86</v>
      </c>
      <c r="AB24" s="166"/>
      <c r="AC24" s="81">
        <f t="shared" si="8"/>
        <v>159990</v>
      </c>
      <c r="AD24" s="84">
        <f t="shared" si="9"/>
        <v>2374643.8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-2375910</v>
      </c>
      <c r="AQ24" s="75">
        <f>30000+250000+200000+200000+100000+45000</f>
        <v>825000</v>
      </c>
      <c r="AR24" s="96"/>
      <c r="AS24" s="90"/>
      <c r="AT24" s="187">
        <v>1381710.0</v>
      </c>
      <c r="AU24" s="75"/>
      <c r="AV24" s="75"/>
      <c r="AW24" s="90"/>
      <c r="AX24" s="88"/>
      <c r="AY24" s="75"/>
      <c r="AZ24" s="90">
        <f t="shared" si="46"/>
        <v>0</v>
      </c>
      <c r="BA24" s="169">
        <v>60.0</v>
      </c>
      <c r="BB24" s="90">
        <f t="shared" ref="BB24:BB25" si="48">BA24*1410</f>
        <v>84600</v>
      </c>
      <c r="BC24" s="169">
        <v>60.0</v>
      </c>
      <c r="BD24" s="90">
        <f>BC24*1410</f>
        <v>84600</v>
      </c>
      <c r="BE24" s="75"/>
      <c r="BF24" s="90">
        <f t="shared" si="47"/>
        <v>0</v>
      </c>
      <c r="BG24" s="75"/>
      <c r="BH24" s="90">
        <f t="shared" si="16"/>
        <v>0</v>
      </c>
      <c r="BI24" s="75"/>
      <c r="BJ24" s="90">
        <f t="shared" si="43"/>
        <v>0</v>
      </c>
      <c r="BK24" s="92">
        <f t="shared" si="33"/>
        <v>2375910</v>
      </c>
      <c r="BL24" s="93">
        <f t="shared" si="18"/>
        <v>2374643.8</v>
      </c>
      <c r="BM24" s="94">
        <f t="shared" si="19"/>
        <v>1266.2</v>
      </c>
      <c r="BN24" s="14"/>
      <c r="BO24" s="95">
        <f t="shared" si="20"/>
        <v>0.3474205268</v>
      </c>
      <c r="BP24" s="95">
        <f t="shared" si="21"/>
        <v>0</v>
      </c>
      <c r="BQ24" s="95">
        <f t="shared" si="22"/>
        <v>0.5818598983</v>
      </c>
      <c r="BR24" s="95">
        <f t="shared" si="23"/>
        <v>0</v>
      </c>
      <c r="BS24" s="95">
        <f t="shared" si="24"/>
        <v>0</v>
      </c>
      <c r="BT24" s="95">
        <f t="shared" si="25"/>
        <v>0.07125279168</v>
      </c>
      <c r="BU24" s="95">
        <f t="shared" si="26"/>
        <v>0</v>
      </c>
      <c r="BV24" s="95">
        <f t="shared" si="27"/>
        <v>1.000533217</v>
      </c>
      <c r="BW24" s="95">
        <f t="shared" si="28"/>
        <v>0.05127550896</v>
      </c>
    </row>
    <row r="25" ht="15.75" customHeight="1">
      <c r="A25" s="168">
        <f>'LUCERO RECOLETA'!A25</f>
        <v>46159</v>
      </c>
      <c r="B25" s="162"/>
      <c r="C25" s="176">
        <v>5.0</v>
      </c>
      <c r="D25" s="165">
        <f t="shared" si="29"/>
        <v>759</v>
      </c>
      <c r="E25" s="165">
        <f t="shared" si="2"/>
        <v>763</v>
      </c>
      <c r="F25" s="73"/>
      <c r="G25" s="74"/>
      <c r="H25" s="169">
        <v>703247.94</v>
      </c>
      <c r="I25" s="169">
        <v>147682.06</v>
      </c>
      <c r="J25" s="76"/>
      <c r="K25" s="83">
        <f t="shared" si="3"/>
        <v>850930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44"/>
        <v>0</v>
      </c>
      <c r="V25" s="166"/>
      <c r="W25" s="82">
        <f t="shared" si="7"/>
        <v>0</v>
      </c>
      <c r="X25" s="165"/>
      <c r="Y25" s="165"/>
      <c r="Z25" s="79"/>
      <c r="AA25" s="80">
        <f t="shared" ref="AA25:AA27" si="49">Z25*21%</f>
        <v>0</v>
      </c>
      <c r="AB25" s="166"/>
      <c r="AC25" s="81">
        <f t="shared" si="8"/>
        <v>0</v>
      </c>
      <c r="AD25" s="84">
        <f t="shared" si="9"/>
        <v>850930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-853350</v>
      </c>
      <c r="AQ25" s="169">
        <v>20000.0</v>
      </c>
      <c r="AR25" s="97"/>
      <c r="AS25" s="90"/>
      <c r="AT25" s="187">
        <v>494950.0</v>
      </c>
      <c r="AU25" s="75"/>
      <c r="AV25" s="75"/>
      <c r="AW25" s="90"/>
      <c r="AX25" s="88"/>
      <c r="AY25" s="75"/>
      <c r="AZ25" s="90">
        <f t="shared" si="46"/>
        <v>0</v>
      </c>
      <c r="BA25" s="169">
        <v>240.0</v>
      </c>
      <c r="BB25" s="90">
        <f t="shared" si="48"/>
        <v>338400</v>
      </c>
      <c r="BC25" s="75"/>
      <c r="BD25" s="90">
        <f>BC25*BD$2</f>
        <v>0</v>
      </c>
      <c r="BE25" s="75"/>
      <c r="BF25" s="90">
        <f t="shared" si="47"/>
        <v>0</v>
      </c>
      <c r="BG25" s="75"/>
      <c r="BH25" s="90">
        <f t="shared" si="16"/>
        <v>0</v>
      </c>
      <c r="BI25" s="75"/>
      <c r="BJ25" s="90">
        <f t="shared" si="43"/>
        <v>0</v>
      </c>
      <c r="BK25" s="92">
        <f t="shared" si="33"/>
        <v>853350</v>
      </c>
      <c r="BL25" s="93">
        <f t="shared" si="18"/>
        <v>850930</v>
      </c>
      <c r="BM25" s="94">
        <f t="shared" si="19"/>
        <v>2420</v>
      </c>
      <c r="BN25" s="13"/>
      <c r="BO25" s="95">
        <f t="shared" si="20"/>
        <v>0.02350369596</v>
      </c>
      <c r="BP25" s="95">
        <f t="shared" si="21"/>
        <v>0</v>
      </c>
      <c r="BQ25" s="95">
        <f t="shared" si="22"/>
        <v>0.5816577157</v>
      </c>
      <c r="BR25" s="95">
        <f t="shared" si="23"/>
        <v>0</v>
      </c>
      <c r="BS25" s="95">
        <f t="shared" si="24"/>
        <v>0</v>
      </c>
      <c r="BT25" s="95">
        <f t="shared" si="25"/>
        <v>0.3976825356</v>
      </c>
      <c r="BU25" s="95">
        <f t="shared" si="26"/>
        <v>0</v>
      </c>
      <c r="BV25" s="95">
        <f t="shared" si="27"/>
        <v>1.002843947</v>
      </c>
      <c r="BW25" s="95">
        <f t="shared" si="28"/>
        <v>0.01837406892</v>
      </c>
    </row>
    <row r="26" ht="15.75" customHeight="1">
      <c r="A26" s="168">
        <f>'LUCERO RECOLETA'!A26</f>
        <v>46160</v>
      </c>
      <c r="B26" s="162"/>
      <c r="C26" s="176">
        <v>11.0</v>
      </c>
      <c r="D26" s="165">
        <f t="shared" si="29"/>
        <v>764</v>
      </c>
      <c r="E26" s="165">
        <f t="shared" si="2"/>
        <v>774</v>
      </c>
      <c r="F26" s="73"/>
      <c r="G26" s="74"/>
      <c r="H26" s="169">
        <v>690785.11</v>
      </c>
      <c r="I26" s="169">
        <v>145064.89</v>
      </c>
      <c r="J26" s="76"/>
      <c r="K26" s="83">
        <f t="shared" si="3"/>
        <v>835850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44"/>
        <v>0</v>
      </c>
      <c r="V26" s="166"/>
      <c r="W26" s="82">
        <f t="shared" si="7"/>
        <v>0</v>
      </c>
      <c r="X26" s="165"/>
      <c r="Y26" s="165"/>
      <c r="Z26" s="79"/>
      <c r="AA26" s="80">
        <f t="shared" si="49"/>
        <v>0</v>
      </c>
      <c r="AB26" s="166"/>
      <c r="AC26" s="81">
        <f t="shared" si="8"/>
        <v>0</v>
      </c>
      <c r="AD26" s="84">
        <f t="shared" si="9"/>
        <v>835850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-832900</v>
      </c>
      <c r="AQ26" s="75">
        <f>170000+50000+200000</f>
        <v>420000</v>
      </c>
      <c r="AR26" s="96"/>
      <c r="AS26" s="90"/>
      <c r="AT26" s="187">
        <v>412900.0</v>
      </c>
      <c r="AU26" s="75"/>
      <c r="AV26" s="75"/>
      <c r="AW26" s="90"/>
      <c r="AX26" s="88"/>
      <c r="AY26" s="75"/>
      <c r="AZ26" s="90">
        <f t="shared" si="46"/>
        <v>0</v>
      </c>
      <c r="BA26" s="75"/>
      <c r="BB26" s="90">
        <f>BA26*1395</f>
        <v>0</v>
      </c>
      <c r="BC26" s="75"/>
      <c r="BD26" s="90">
        <f>BC26*1415</f>
        <v>0</v>
      </c>
      <c r="BE26" s="75"/>
      <c r="BF26" s="90">
        <f t="shared" si="47"/>
        <v>0</v>
      </c>
      <c r="BG26" s="75"/>
      <c r="BH26" s="90">
        <f t="shared" si="16"/>
        <v>0</v>
      </c>
      <c r="BI26" s="75"/>
      <c r="BJ26" s="90">
        <f t="shared" si="43"/>
        <v>0</v>
      </c>
      <c r="BK26" s="92">
        <f t="shared" si="33"/>
        <v>832900</v>
      </c>
      <c r="BL26" s="93">
        <f t="shared" si="18"/>
        <v>835850</v>
      </c>
      <c r="BM26" s="94">
        <f t="shared" si="19"/>
        <v>-2950</v>
      </c>
      <c r="BN26" s="14"/>
      <c r="BO26" s="95">
        <f t="shared" si="20"/>
        <v>0.5024825028</v>
      </c>
      <c r="BP26" s="95">
        <f t="shared" si="21"/>
        <v>0</v>
      </c>
      <c r="BQ26" s="95">
        <f t="shared" si="22"/>
        <v>0.4939881558</v>
      </c>
      <c r="BR26" s="95">
        <f t="shared" si="23"/>
        <v>0</v>
      </c>
      <c r="BS26" s="95">
        <f t="shared" si="24"/>
        <v>0</v>
      </c>
      <c r="BT26" s="95">
        <f t="shared" si="25"/>
        <v>0</v>
      </c>
      <c r="BU26" s="95">
        <f t="shared" si="26"/>
        <v>0</v>
      </c>
      <c r="BV26" s="95">
        <f t="shared" si="27"/>
        <v>0.9964706586</v>
      </c>
      <c r="BW26" s="95">
        <f t="shared" si="28"/>
        <v>0.01804844759</v>
      </c>
    </row>
    <row r="27" ht="15.75" customHeight="1">
      <c r="A27" s="168">
        <f>'LUCERO RECOLETA'!A27</f>
        <v>46161</v>
      </c>
      <c r="B27" s="162"/>
      <c r="C27" s="176">
        <v>7.0</v>
      </c>
      <c r="D27" s="165">
        <f t="shared" si="29"/>
        <v>775</v>
      </c>
      <c r="E27" s="165">
        <f t="shared" si="2"/>
        <v>781</v>
      </c>
      <c r="F27" s="73"/>
      <c r="G27" s="74"/>
      <c r="H27" s="169">
        <v>651900.82</v>
      </c>
      <c r="I27" s="169">
        <v>136899.18</v>
      </c>
      <c r="J27" s="76"/>
      <c r="K27" s="83">
        <f t="shared" si="3"/>
        <v>788800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71">
        <v>11.0</v>
      </c>
      <c r="S27" s="171">
        <v>11.0</v>
      </c>
      <c r="T27" s="172">
        <v>201619.84</v>
      </c>
      <c r="U27" s="173">
        <v>42340.16</v>
      </c>
      <c r="V27" s="166"/>
      <c r="W27" s="82">
        <f t="shared" si="7"/>
        <v>243960</v>
      </c>
      <c r="X27" s="165"/>
      <c r="Y27" s="165"/>
      <c r="Z27" s="79"/>
      <c r="AA27" s="80">
        <f t="shared" si="49"/>
        <v>0</v>
      </c>
      <c r="AB27" s="166"/>
      <c r="AC27" s="81">
        <f t="shared" si="8"/>
        <v>0</v>
      </c>
      <c r="AD27" s="84">
        <f t="shared" si="9"/>
        <v>1032760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-1031760</v>
      </c>
      <c r="AQ27" s="75">
        <f>35000</f>
        <v>35000</v>
      </c>
      <c r="AR27" s="96"/>
      <c r="AS27" s="90"/>
      <c r="AT27" s="187">
        <v>996760.0</v>
      </c>
      <c r="AU27" s="75"/>
      <c r="AV27" s="75"/>
      <c r="AW27" s="90"/>
      <c r="AX27" s="88"/>
      <c r="AY27" s="75"/>
      <c r="AZ27" s="90">
        <f t="shared" si="46"/>
        <v>0</v>
      </c>
      <c r="BA27" s="75"/>
      <c r="BB27" s="90">
        <f>BA27*1420</f>
        <v>0</v>
      </c>
      <c r="BC27" s="75"/>
      <c r="BD27" s="90">
        <f t="shared" ref="BD27:BD28" si="50">BC27*BD$2</f>
        <v>0</v>
      </c>
      <c r="BE27" s="75"/>
      <c r="BF27" s="90">
        <f t="shared" si="47"/>
        <v>0</v>
      </c>
      <c r="BG27" s="75"/>
      <c r="BH27" s="90">
        <f t="shared" si="16"/>
        <v>0</v>
      </c>
      <c r="BI27" s="75"/>
      <c r="BJ27" s="90">
        <f t="shared" si="43"/>
        <v>0</v>
      </c>
      <c r="BK27" s="92">
        <f t="shared" si="33"/>
        <v>1031760</v>
      </c>
      <c r="BL27" s="93">
        <f t="shared" si="18"/>
        <v>1032760</v>
      </c>
      <c r="BM27" s="94">
        <f t="shared" si="19"/>
        <v>-1000</v>
      </c>
      <c r="BN27" s="14"/>
      <c r="BO27" s="95">
        <f t="shared" si="20"/>
        <v>0.0338897711</v>
      </c>
      <c r="BP27" s="95">
        <f t="shared" si="21"/>
        <v>0</v>
      </c>
      <c r="BQ27" s="95">
        <f t="shared" si="22"/>
        <v>0.9651419497</v>
      </c>
      <c r="BR27" s="95">
        <f t="shared" si="23"/>
        <v>0</v>
      </c>
      <c r="BS27" s="95">
        <f t="shared" si="24"/>
        <v>0</v>
      </c>
      <c r="BT27" s="95">
        <f t="shared" si="25"/>
        <v>0</v>
      </c>
      <c r="BU27" s="95">
        <f t="shared" si="26"/>
        <v>0</v>
      </c>
      <c r="BV27" s="95">
        <f t="shared" si="27"/>
        <v>0.9990317208</v>
      </c>
      <c r="BW27" s="95">
        <f t="shared" si="28"/>
        <v>0.02230031074</v>
      </c>
    </row>
    <row r="28" ht="15.75" customHeight="1">
      <c r="A28" s="168">
        <f>'LUCERO RECOLETA'!A28</f>
        <v>46162</v>
      </c>
      <c r="B28" s="162"/>
      <c r="C28" s="176">
        <v>8.0</v>
      </c>
      <c r="D28" s="165">
        <f t="shared" si="29"/>
        <v>782</v>
      </c>
      <c r="E28" s="165">
        <f t="shared" si="2"/>
        <v>789</v>
      </c>
      <c r="F28" s="73"/>
      <c r="G28" s="74"/>
      <c r="H28" s="169">
        <v>473413.21</v>
      </c>
      <c r="I28" s="169">
        <v>99416.79</v>
      </c>
      <c r="J28" s="76"/>
      <c r="K28" s="83">
        <f t="shared" si="3"/>
        <v>572830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ref="U28:U40" si="51">T28*21%</f>
        <v>0</v>
      </c>
      <c r="V28" s="166"/>
      <c r="W28" s="82">
        <f t="shared" si="7"/>
        <v>0</v>
      </c>
      <c r="X28" s="171">
        <v>20.0</v>
      </c>
      <c r="Y28" s="171">
        <v>20.0</v>
      </c>
      <c r="Z28" s="172">
        <v>99157.03</v>
      </c>
      <c r="AA28" s="173">
        <v>20822.97</v>
      </c>
      <c r="AB28" s="166"/>
      <c r="AC28" s="81">
        <f t="shared" si="8"/>
        <v>119980</v>
      </c>
      <c r="AD28" s="84">
        <f t="shared" si="9"/>
        <v>452850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-452870</v>
      </c>
      <c r="AQ28" s="169">
        <v>80000.0</v>
      </c>
      <c r="AR28" s="99"/>
      <c r="AS28" s="90"/>
      <c r="AT28" s="187">
        <v>372870.0</v>
      </c>
      <c r="AU28" s="75"/>
      <c r="AV28" s="75"/>
      <c r="AW28" s="90"/>
      <c r="AX28" s="88"/>
      <c r="AY28" s="75"/>
      <c r="AZ28" s="90">
        <f t="shared" si="46"/>
        <v>0</v>
      </c>
      <c r="BA28" s="75"/>
      <c r="BB28" s="90">
        <f>BA28*1415</f>
        <v>0</v>
      </c>
      <c r="BC28" s="75"/>
      <c r="BD28" s="90">
        <f t="shared" si="50"/>
        <v>0</v>
      </c>
      <c r="BE28" s="75"/>
      <c r="BF28" s="90">
        <f>BE28*1480</f>
        <v>0</v>
      </c>
      <c r="BG28" s="75"/>
      <c r="BH28" s="90">
        <f t="shared" si="16"/>
        <v>0</v>
      </c>
      <c r="BI28" s="75"/>
      <c r="BJ28" s="90">
        <f t="shared" si="43"/>
        <v>0</v>
      </c>
      <c r="BK28" s="92">
        <f t="shared" si="33"/>
        <v>452870</v>
      </c>
      <c r="BL28" s="93">
        <f t="shared" si="18"/>
        <v>452850</v>
      </c>
      <c r="BM28" s="94">
        <f t="shared" si="19"/>
        <v>20</v>
      </c>
      <c r="BN28" s="13"/>
      <c r="BO28" s="95">
        <f t="shared" si="20"/>
        <v>0.1766589378</v>
      </c>
      <c r="BP28" s="95">
        <f t="shared" si="21"/>
        <v>0</v>
      </c>
      <c r="BQ28" s="95">
        <f t="shared" si="22"/>
        <v>0.8233852269</v>
      </c>
      <c r="BR28" s="95">
        <f t="shared" si="23"/>
        <v>0</v>
      </c>
      <c r="BS28" s="95">
        <f t="shared" si="24"/>
        <v>0</v>
      </c>
      <c r="BT28" s="95">
        <f t="shared" si="25"/>
        <v>0</v>
      </c>
      <c r="BU28" s="95">
        <f t="shared" si="26"/>
        <v>0</v>
      </c>
      <c r="BV28" s="95">
        <f t="shared" si="27"/>
        <v>1.000044165</v>
      </c>
      <c r="BW28" s="95">
        <f t="shared" si="28"/>
        <v>0.00977835675</v>
      </c>
    </row>
    <row r="29" ht="15.75" customHeight="1">
      <c r="A29" s="168">
        <f>'LUCERO RECOLETA'!A29</f>
        <v>46163</v>
      </c>
      <c r="B29" s="162"/>
      <c r="C29" s="176">
        <v>20.0</v>
      </c>
      <c r="D29" s="165">
        <f t="shared" si="29"/>
        <v>790</v>
      </c>
      <c r="E29" s="165">
        <f t="shared" si="2"/>
        <v>809</v>
      </c>
      <c r="F29" s="73"/>
      <c r="G29" s="74"/>
      <c r="H29" s="169">
        <v>2064192.54</v>
      </c>
      <c r="I29" s="169">
        <v>433480.46</v>
      </c>
      <c r="J29" s="76"/>
      <c r="K29" s="83">
        <f t="shared" si="3"/>
        <v>2497673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51"/>
        <v>0</v>
      </c>
      <c r="V29" s="166"/>
      <c r="W29" s="82">
        <f t="shared" si="7"/>
        <v>0</v>
      </c>
      <c r="X29" s="171">
        <v>21.0</v>
      </c>
      <c r="Y29" s="171">
        <v>21.0</v>
      </c>
      <c r="Z29" s="172">
        <v>165280.99</v>
      </c>
      <c r="AA29" s="173">
        <v>34709.01</v>
      </c>
      <c r="AB29" s="166"/>
      <c r="AC29" s="81">
        <f t="shared" si="8"/>
        <v>199990</v>
      </c>
      <c r="AD29" s="84">
        <f t="shared" si="9"/>
        <v>2297683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-2300773</v>
      </c>
      <c r="AQ29" s="75">
        <f>220000+15000+30000+40000</f>
        <v>305000</v>
      </c>
      <c r="AR29" s="99"/>
      <c r="AS29" s="90"/>
      <c r="AT29" s="187">
        <v>1825373.0</v>
      </c>
      <c r="AU29" s="75"/>
      <c r="AV29" s="75"/>
      <c r="AW29" s="90"/>
      <c r="AX29" s="88"/>
      <c r="AY29" s="75"/>
      <c r="AZ29" s="90">
        <f t="shared" si="46"/>
        <v>0</v>
      </c>
      <c r="BA29" s="169">
        <v>20.0</v>
      </c>
      <c r="BB29" s="90">
        <f t="shared" ref="BB29:BB30" si="52">BA29*1420</f>
        <v>28400</v>
      </c>
      <c r="BC29" s="169">
        <v>100.0</v>
      </c>
      <c r="BD29" s="90">
        <f>BC29*1420</f>
        <v>142000</v>
      </c>
      <c r="BE29" s="75"/>
      <c r="BF29" s="90">
        <f t="shared" ref="BF29:BF31" si="53">BE29*1460</f>
        <v>0</v>
      </c>
      <c r="BG29" s="75"/>
      <c r="BH29" s="90">
        <f t="shared" ref="BH29:BH40" si="54">BG29*BH$3</f>
        <v>0</v>
      </c>
      <c r="BI29" s="75"/>
      <c r="BJ29" s="90">
        <f t="shared" ref="BJ29:BJ30" si="55">BI29*BJ$3</f>
        <v>0</v>
      </c>
      <c r="BK29" s="92">
        <f t="shared" si="33"/>
        <v>2300773</v>
      </c>
      <c r="BL29" s="93">
        <f t="shared" si="18"/>
        <v>2297683</v>
      </c>
      <c r="BM29" s="94">
        <f t="shared" si="19"/>
        <v>3090</v>
      </c>
      <c r="BN29" s="13"/>
      <c r="BO29" s="95">
        <f t="shared" si="20"/>
        <v>0.1327424192</v>
      </c>
      <c r="BP29" s="95">
        <f t="shared" si="21"/>
        <v>0</v>
      </c>
      <c r="BQ29" s="95">
        <f t="shared" si="22"/>
        <v>0.7944407475</v>
      </c>
      <c r="BR29" s="95">
        <f t="shared" si="23"/>
        <v>0</v>
      </c>
      <c r="BS29" s="95">
        <f t="shared" si="24"/>
        <v>0</v>
      </c>
      <c r="BT29" s="95">
        <f t="shared" si="25"/>
        <v>0.07416166634</v>
      </c>
      <c r="BU29" s="95">
        <f t="shared" si="26"/>
        <v>0</v>
      </c>
      <c r="BV29" s="95">
        <f t="shared" si="27"/>
        <v>1.001344833</v>
      </c>
      <c r="BW29" s="95">
        <f t="shared" si="28"/>
        <v>0.04961370006</v>
      </c>
    </row>
    <row r="30" ht="15.75" customHeight="1">
      <c r="A30" s="168">
        <f>'LUCERO RECOLETA'!A30</f>
        <v>46164</v>
      </c>
      <c r="B30" s="162"/>
      <c r="C30" s="176">
        <v>16.0</v>
      </c>
      <c r="D30" s="165">
        <f t="shared" si="29"/>
        <v>810</v>
      </c>
      <c r="E30" s="165">
        <f t="shared" si="2"/>
        <v>825</v>
      </c>
      <c r="F30" s="73"/>
      <c r="G30" s="74"/>
      <c r="H30" s="169">
        <v>1777021.46</v>
      </c>
      <c r="I30" s="169">
        <v>373174.54</v>
      </c>
      <c r="J30" s="76"/>
      <c r="K30" s="83">
        <f t="shared" si="3"/>
        <v>2150196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51"/>
        <v>0</v>
      </c>
      <c r="V30" s="166"/>
      <c r="W30" s="82">
        <f t="shared" si="7"/>
        <v>0</v>
      </c>
      <c r="X30" s="165"/>
      <c r="Y30" s="165"/>
      <c r="Z30" s="189"/>
      <c r="AA30" s="80">
        <f t="shared" ref="AA30:AA36" si="56">Z30*21%</f>
        <v>0</v>
      </c>
      <c r="AB30" s="166"/>
      <c r="AC30" s="81">
        <f t="shared" si="8"/>
        <v>0</v>
      </c>
      <c r="AD30" s="84">
        <f t="shared" si="9"/>
        <v>2150196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-2148673</v>
      </c>
      <c r="AQ30" s="75">
        <f>100000+270000</f>
        <v>370000</v>
      </c>
      <c r="AR30" s="99"/>
      <c r="AS30" s="90"/>
      <c r="AT30" s="187">
        <v>1437673.0</v>
      </c>
      <c r="AU30" s="75"/>
      <c r="AV30" s="75"/>
      <c r="AW30" s="90"/>
      <c r="AX30" s="88"/>
      <c r="AY30" s="169">
        <v>100.0</v>
      </c>
      <c r="AZ30" s="90">
        <f>AY30*286</f>
        <v>28600</v>
      </c>
      <c r="BA30" s="169">
        <v>220.0</v>
      </c>
      <c r="BB30" s="90">
        <f t="shared" si="52"/>
        <v>312400</v>
      </c>
      <c r="BC30" s="75"/>
      <c r="BD30" s="90">
        <f t="shared" ref="BD30:BD31" si="57">BC30*BD$3</f>
        <v>0</v>
      </c>
      <c r="BE30" s="75"/>
      <c r="BF30" s="90">
        <f t="shared" si="53"/>
        <v>0</v>
      </c>
      <c r="BG30" s="75"/>
      <c r="BH30" s="90">
        <f t="shared" si="54"/>
        <v>0</v>
      </c>
      <c r="BI30" s="75"/>
      <c r="BJ30" s="90">
        <f t="shared" si="55"/>
        <v>0</v>
      </c>
      <c r="BK30" s="92">
        <f t="shared" si="33"/>
        <v>2148673</v>
      </c>
      <c r="BL30" s="93">
        <f t="shared" si="18"/>
        <v>2150196</v>
      </c>
      <c r="BM30" s="94">
        <f t="shared" si="19"/>
        <v>-1523</v>
      </c>
      <c r="BN30" s="13"/>
      <c r="BO30" s="95">
        <f t="shared" si="20"/>
        <v>0.1720773362</v>
      </c>
      <c r="BP30" s="95">
        <f t="shared" si="21"/>
        <v>0</v>
      </c>
      <c r="BQ30" s="95">
        <f t="shared" si="22"/>
        <v>0.6686241626</v>
      </c>
      <c r="BR30" s="95">
        <f t="shared" si="23"/>
        <v>0</v>
      </c>
      <c r="BS30" s="95">
        <f t="shared" si="24"/>
        <v>0.01330111301</v>
      </c>
      <c r="BT30" s="95">
        <f t="shared" si="25"/>
        <v>0.1452890806</v>
      </c>
      <c r="BU30" s="95">
        <f t="shared" si="26"/>
        <v>0</v>
      </c>
      <c r="BV30" s="95">
        <f t="shared" si="27"/>
        <v>0.9992916925</v>
      </c>
      <c r="BW30" s="95">
        <f t="shared" si="28"/>
        <v>0.04642902412</v>
      </c>
    </row>
    <row r="31" ht="15.75" customHeight="1">
      <c r="A31" s="168">
        <f>'LUCERO RECOLETA'!A31</f>
        <v>46165</v>
      </c>
      <c r="B31" s="162"/>
      <c r="C31" s="176">
        <v>12.0</v>
      </c>
      <c r="D31" s="165">
        <f t="shared" si="29"/>
        <v>826</v>
      </c>
      <c r="E31" s="165">
        <f t="shared" si="2"/>
        <v>837</v>
      </c>
      <c r="F31" s="73"/>
      <c r="G31" s="74"/>
      <c r="H31" s="169">
        <v>818900.8</v>
      </c>
      <c r="I31" s="169">
        <v>171969.2</v>
      </c>
      <c r="J31" s="76"/>
      <c r="K31" s="83">
        <f t="shared" si="3"/>
        <v>990870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51"/>
        <v>0</v>
      </c>
      <c r="V31" s="166"/>
      <c r="W31" s="82">
        <f t="shared" si="7"/>
        <v>0</v>
      </c>
      <c r="X31" s="165"/>
      <c r="Y31" s="165"/>
      <c r="Z31" s="79"/>
      <c r="AA31" s="80">
        <f t="shared" si="56"/>
        <v>0</v>
      </c>
      <c r="AB31" s="166"/>
      <c r="AC31" s="81">
        <f t="shared" si="8"/>
        <v>0</v>
      </c>
      <c r="AD31" s="84">
        <f t="shared" si="9"/>
        <v>990870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-987890</v>
      </c>
      <c r="AQ31" s="75">
        <f>20000</f>
        <v>20000</v>
      </c>
      <c r="AR31" s="96"/>
      <c r="AS31" s="90"/>
      <c r="AT31" s="187">
        <v>880890.0</v>
      </c>
      <c r="AU31" s="75"/>
      <c r="AV31" s="75"/>
      <c r="AW31" s="90"/>
      <c r="AX31" s="88"/>
      <c r="AY31" s="169">
        <v>300.0</v>
      </c>
      <c r="AZ31" s="90">
        <f>AY31*290</f>
        <v>87000</v>
      </c>
      <c r="BA31" s="75"/>
      <c r="BB31" s="90">
        <f>BA31*1410</f>
        <v>0</v>
      </c>
      <c r="BC31" s="75"/>
      <c r="BD31" s="90">
        <f t="shared" si="57"/>
        <v>0</v>
      </c>
      <c r="BE31" s="75"/>
      <c r="BF31" s="90">
        <f t="shared" si="53"/>
        <v>0</v>
      </c>
      <c r="BG31" s="75"/>
      <c r="BH31" s="90">
        <f t="shared" si="54"/>
        <v>0</v>
      </c>
      <c r="BI31" s="75"/>
      <c r="BJ31" s="90">
        <f>BI31*1670</f>
        <v>0</v>
      </c>
      <c r="BK31" s="92">
        <f t="shared" si="33"/>
        <v>987890</v>
      </c>
      <c r="BL31" s="93">
        <f t="shared" si="18"/>
        <v>990870</v>
      </c>
      <c r="BM31" s="94">
        <f t="shared" si="19"/>
        <v>-2980</v>
      </c>
      <c r="BN31" s="13"/>
      <c r="BO31" s="95">
        <f t="shared" si="20"/>
        <v>0.0201842825</v>
      </c>
      <c r="BP31" s="95">
        <f t="shared" si="21"/>
        <v>0</v>
      </c>
      <c r="BQ31" s="95">
        <f t="shared" si="22"/>
        <v>0.8890066305</v>
      </c>
      <c r="BR31" s="95">
        <f t="shared" si="23"/>
        <v>0</v>
      </c>
      <c r="BS31" s="95">
        <f t="shared" si="24"/>
        <v>0.08780162887</v>
      </c>
      <c r="BT31" s="95">
        <f t="shared" si="25"/>
        <v>0</v>
      </c>
      <c r="BU31" s="95">
        <f t="shared" si="26"/>
        <v>0</v>
      </c>
      <c r="BV31" s="95">
        <f t="shared" si="27"/>
        <v>0.9969925419</v>
      </c>
      <c r="BW31" s="95">
        <f t="shared" si="28"/>
        <v>0.02139578305</v>
      </c>
    </row>
    <row r="32" ht="15.75" customHeight="1">
      <c r="A32" s="168">
        <f>'LUCERO RECOLETA'!A32</f>
        <v>46166</v>
      </c>
      <c r="B32" s="162"/>
      <c r="C32" s="176">
        <v>30.0</v>
      </c>
      <c r="D32" s="165">
        <f t="shared" si="29"/>
        <v>838</v>
      </c>
      <c r="E32" s="165">
        <f t="shared" si="2"/>
        <v>867</v>
      </c>
      <c r="F32" s="73"/>
      <c r="G32" s="74"/>
      <c r="H32" s="169">
        <v>3311254.46</v>
      </c>
      <c r="I32" s="169">
        <v>695363.44</v>
      </c>
      <c r="J32" s="76"/>
      <c r="K32" s="83">
        <f t="shared" si="3"/>
        <v>4006617.9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51"/>
        <v>0</v>
      </c>
      <c r="V32" s="166"/>
      <c r="W32" s="82">
        <f t="shared" si="7"/>
        <v>0</v>
      </c>
      <c r="X32" s="165"/>
      <c r="Y32" s="165"/>
      <c r="Z32" s="79"/>
      <c r="AA32" s="80">
        <f t="shared" si="56"/>
        <v>0</v>
      </c>
      <c r="AB32" s="166"/>
      <c r="AC32" s="81">
        <f t="shared" si="8"/>
        <v>0</v>
      </c>
      <c r="AD32" s="84">
        <f t="shared" si="9"/>
        <v>4006617.9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-4016340</v>
      </c>
      <c r="AQ32" s="75">
        <f>35000</f>
        <v>35000</v>
      </c>
      <c r="AR32" s="96"/>
      <c r="AS32" s="90"/>
      <c r="AT32" s="187">
        <v>3576640.0</v>
      </c>
      <c r="AU32" s="75"/>
      <c r="AV32" s="75"/>
      <c r="AW32" s="90"/>
      <c r="AX32" s="88"/>
      <c r="AY32" s="75"/>
      <c r="AZ32" s="90">
        <f>AY32*AZ$3</f>
        <v>0</v>
      </c>
      <c r="BA32" s="169">
        <v>285.0</v>
      </c>
      <c r="BB32" s="90">
        <f>BA32*1420</f>
        <v>404700</v>
      </c>
      <c r="BC32" s="75"/>
      <c r="BD32" s="90">
        <f>BC32*1410</f>
        <v>0</v>
      </c>
      <c r="BE32" s="75"/>
      <c r="BF32" s="90">
        <f t="shared" ref="BF32:BF33" si="58">BE32*BF$3</f>
        <v>0</v>
      </c>
      <c r="BG32" s="75"/>
      <c r="BH32" s="90">
        <f t="shared" si="54"/>
        <v>0</v>
      </c>
      <c r="BI32" s="75"/>
      <c r="BJ32" s="90">
        <f t="shared" ref="BJ32:BJ40" si="59">BI32*BJ$3</f>
        <v>0</v>
      </c>
      <c r="BK32" s="92">
        <f t="shared" si="33"/>
        <v>4016340</v>
      </c>
      <c r="BL32" s="93">
        <f t="shared" si="18"/>
        <v>4006617.9</v>
      </c>
      <c r="BM32" s="94">
        <f t="shared" si="19"/>
        <v>9722.1</v>
      </c>
      <c r="BN32" s="13"/>
      <c r="BO32" s="95">
        <f t="shared" si="20"/>
        <v>0.008735547255</v>
      </c>
      <c r="BP32" s="95">
        <f t="shared" si="21"/>
        <v>0</v>
      </c>
      <c r="BQ32" s="95">
        <f t="shared" si="22"/>
        <v>0.8926830782</v>
      </c>
      <c r="BR32" s="95">
        <f t="shared" si="23"/>
        <v>0</v>
      </c>
      <c r="BS32" s="95">
        <f t="shared" si="24"/>
        <v>0</v>
      </c>
      <c r="BT32" s="95">
        <f t="shared" si="25"/>
        <v>0.101007885</v>
      </c>
      <c r="BU32" s="95">
        <f t="shared" si="26"/>
        <v>0</v>
      </c>
      <c r="BV32" s="95">
        <f t="shared" si="27"/>
        <v>1.00242651</v>
      </c>
      <c r="BW32" s="95">
        <f t="shared" si="28"/>
        <v>0.08651460569</v>
      </c>
    </row>
    <row r="33" ht="15.75" customHeight="1">
      <c r="A33" s="168">
        <f>'LUCERO RECOLETA'!A33</f>
        <v>46167</v>
      </c>
      <c r="B33" s="162"/>
      <c r="C33" s="176">
        <v>12.0</v>
      </c>
      <c r="D33" s="165">
        <f t="shared" si="29"/>
        <v>868</v>
      </c>
      <c r="E33" s="165">
        <f t="shared" si="2"/>
        <v>879</v>
      </c>
      <c r="F33" s="73"/>
      <c r="G33" s="74"/>
      <c r="H33" s="169">
        <v>1053565.21</v>
      </c>
      <c r="I33" s="169">
        <v>221248.69</v>
      </c>
      <c r="J33" s="76"/>
      <c r="K33" s="83">
        <f t="shared" si="3"/>
        <v>1274813.9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51"/>
        <v>0</v>
      </c>
      <c r="V33" s="166"/>
      <c r="W33" s="82">
        <f t="shared" si="7"/>
        <v>0</v>
      </c>
      <c r="X33" s="165"/>
      <c r="Y33" s="165"/>
      <c r="Z33" s="79"/>
      <c r="AA33" s="80">
        <f t="shared" si="56"/>
        <v>0</v>
      </c>
      <c r="AB33" s="166"/>
      <c r="AC33" s="81">
        <f t="shared" si="8"/>
        <v>0</v>
      </c>
      <c r="AD33" s="84">
        <f t="shared" si="9"/>
        <v>1274813.9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-1274810</v>
      </c>
      <c r="AQ33" s="98">
        <f>160000</f>
        <v>160000</v>
      </c>
      <c r="AR33" s="96"/>
      <c r="AS33" s="90"/>
      <c r="AT33" s="187">
        <v>1114810.0</v>
      </c>
      <c r="AU33" s="75"/>
      <c r="AV33" s="75"/>
      <c r="AW33" s="90"/>
      <c r="AX33" s="88"/>
      <c r="AY33" s="75"/>
      <c r="AZ33" s="90">
        <f>AY33*276</f>
        <v>0</v>
      </c>
      <c r="BA33" s="75"/>
      <c r="BB33" s="90">
        <f>BA33*1395</f>
        <v>0</v>
      </c>
      <c r="BC33" s="75"/>
      <c r="BD33" s="90">
        <f>BC33*1395</f>
        <v>0</v>
      </c>
      <c r="BE33" s="75"/>
      <c r="BF33" s="90">
        <f t="shared" si="58"/>
        <v>0</v>
      </c>
      <c r="BG33" s="75"/>
      <c r="BH33" s="90">
        <f t="shared" si="54"/>
        <v>0</v>
      </c>
      <c r="BI33" s="75"/>
      <c r="BJ33" s="90">
        <f t="shared" si="59"/>
        <v>0</v>
      </c>
      <c r="BK33" s="92">
        <f t="shared" si="33"/>
        <v>1274810</v>
      </c>
      <c r="BL33" s="93">
        <f t="shared" si="18"/>
        <v>1274813.9</v>
      </c>
      <c r="BM33" s="94">
        <f t="shared" si="19"/>
        <v>-3.9</v>
      </c>
      <c r="BN33" s="13"/>
      <c r="BO33" s="95">
        <f t="shared" si="20"/>
        <v>0.1255085154</v>
      </c>
      <c r="BP33" s="95">
        <f t="shared" si="21"/>
        <v>0</v>
      </c>
      <c r="BQ33" s="95">
        <f t="shared" si="22"/>
        <v>0.8744884253</v>
      </c>
      <c r="BR33" s="95">
        <f t="shared" si="23"/>
        <v>0</v>
      </c>
      <c r="BS33" s="95">
        <f t="shared" si="24"/>
        <v>0</v>
      </c>
      <c r="BT33" s="95">
        <f t="shared" si="25"/>
        <v>0</v>
      </c>
      <c r="BU33" s="95">
        <f t="shared" si="26"/>
        <v>0</v>
      </c>
      <c r="BV33" s="95">
        <f t="shared" si="27"/>
        <v>0.9999969407</v>
      </c>
      <c r="BW33" s="95">
        <f t="shared" si="28"/>
        <v>0.0275269628</v>
      </c>
    </row>
    <row r="34" ht="15.75" customHeight="1">
      <c r="A34" s="168">
        <f>'LUCERO RECOLETA'!A34</f>
        <v>46168</v>
      </c>
      <c r="B34" s="162"/>
      <c r="C34" s="176">
        <v>9.0</v>
      </c>
      <c r="D34" s="165">
        <f t="shared" si="29"/>
        <v>880</v>
      </c>
      <c r="E34" s="165">
        <f t="shared" si="2"/>
        <v>888</v>
      </c>
      <c r="F34" s="73"/>
      <c r="G34" s="74"/>
      <c r="H34" s="169">
        <v>1493190.08</v>
      </c>
      <c r="I34" s="169">
        <v>313569.92</v>
      </c>
      <c r="J34" s="76"/>
      <c r="K34" s="83">
        <f t="shared" si="3"/>
        <v>1806760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51"/>
        <v>0</v>
      </c>
      <c r="V34" s="166"/>
      <c r="W34" s="82">
        <f t="shared" si="7"/>
        <v>0</v>
      </c>
      <c r="X34" s="165"/>
      <c r="Y34" s="165"/>
      <c r="Z34" s="79"/>
      <c r="AA34" s="80">
        <f t="shared" si="56"/>
        <v>0</v>
      </c>
      <c r="AB34" s="166"/>
      <c r="AC34" s="81">
        <f t="shared" si="8"/>
        <v>0</v>
      </c>
      <c r="AD34" s="84">
        <f t="shared" si="9"/>
        <v>1806760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-1801770</v>
      </c>
      <c r="AQ34" s="178">
        <v>10000.0</v>
      </c>
      <c r="AR34" s="96"/>
      <c r="AS34" s="90"/>
      <c r="AT34" s="187">
        <v>1791770.0</v>
      </c>
      <c r="AU34" s="75"/>
      <c r="AV34" s="75"/>
      <c r="AW34" s="90">
        <v>0.0</v>
      </c>
      <c r="AX34" s="88"/>
      <c r="AY34" s="75"/>
      <c r="AZ34" s="90">
        <f t="shared" ref="AZ34:AZ38" si="60">AY34*AZ$3</f>
        <v>0</v>
      </c>
      <c r="BA34" s="75"/>
      <c r="BB34" s="90">
        <f>BA34*1410</f>
        <v>0</v>
      </c>
      <c r="BC34" s="75"/>
      <c r="BD34" s="90">
        <f t="shared" ref="BD34:BD36" si="61">BC34*BD$3</f>
        <v>0</v>
      </c>
      <c r="BE34" s="75"/>
      <c r="BF34" s="90">
        <f>BE34*1420</f>
        <v>0</v>
      </c>
      <c r="BG34" s="75"/>
      <c r="BH34" s="90">
        <f t="shared" si="54"/>
        <v>0</v>
      </c>
      <c r="BI34" s="75"/>
      <c r="BJ34" s="90">
        <f t="shared" si="59"/>
        <v>0</v>
      </c>
      <c r="BK34" s="92">
        <f t="shared" si="33"/>
        <v>1801770</v>
      </c>
      <c r="BL34" s="93">
        <f t="shared" si="18"/>
        <v>1806760</v>
      </c>
      <c r="BM34" s="94">
        <f t="shared" si="19"/>
        <v>-4990</v>
      </c>
      <c r="BN34" s="14"/>
      <c r="BO34" s="95">
        <f t="shared" si="20"/>
        <v>0.005534769422</v>
      </c>
      <c r="BP34" s="95">
        <f t="shared" si="21"/>
        <v>0</v>
      </c>
      <c r="BQ34" s="95">
        <f t="shared" si="22"/>
        <v>0.9917033806</v>
      </c>
      <c r="BR34" s="95">
        <f t="shared" si="23"/>
        <v>0</v>
      </c>
      <c r="BS34" s="95">
        <f t="shared" si="24"/>
        <v>0</v>
      </c>
      <c r="BT34" s="95">
        <f t="shared" si="25"/>
        <v>0</v>
      </c>
      <c r="BU34" s="95">
        <f t="shared" si="26"/>
        <v>0</v>
      </c>
      <c r="BV34" s="95">
        <f t="shared" si="27"/>
        <v>0.9972381501</v>
      </c>
      <c r="BW34" s="95">
        <f t="shared" si="28"/>
        <v>0.03901323582</v>
      </c>
    </row>
    <row r="35" ht="15.75" customHeight="1">
      <c r="A35" s="168">
        <f>'LUCERO RECOLETA'!A35</f>
        <v>46169</v>
      </c>
      <c r="B35" s="162"/>
      <c r="C35" s="176">
        <v>3.0</v>
      </c>
      <c r="D35" s="165">
        <f t="shared" si="29"/>
        <v>889</v>
      </c>
      <c r="E35" s="165">
        <f t="shared" si="2"/>
        <v>891</v>
      </c>
      <c r="F35" s="73"/>
      <c r="G35" s="74"/>
      <c r="H35" s="169">
        <v>295834.71</v>
      </c>
      <c r="I35" s="169">
        <v>62125.29</v>
      </c>
      <c r="J35" s="76"/>
      <c r="K35" s="83">
        <f t="shared" si="3"/>
        <v>357960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51"/>
        <v>0</v>
      </c>
      <c r="V35" s="166"/>
      <c r="W35" s="82">
        <f t="shared" si="7"/>
        <v>0</v>
      </c>
      <c r="X35" s="165"/>
      <c r="Y35" s="165"/>
      <c r="Z35" s="79"/>
      <c r="AA35" s="80">
        <f t="shared" si="56"/>
        <v>0</v>
      </c>
      <c r="AB35" s="166"/>
      <c r="AC35" s="81">
        <f t="shared" si="8"/>
        <v>0</v>
      </c>
      <c r="AD35" s="84">
        <f t="shared" si="9"/>
        <v>357960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-359980</v>
      </c>
      <c r="AQ35" s="178">
        <v>30000.0</v>
      </c>
      <c r="AR35" s="96"/>
      <c r="AS35" s="90"/>
      <c r="AT35" s="187">
        <v>329980.0</v>
      </c>
      <c r="AU35" s="75"/>
      <c r="AV35" s="75"/>
      <c r="AW35" s="90">
        <v>0.0</v>
      </c>
      <c r="AX35" s="88"/>
      <c r="AY35" s="75"/>
      <c r="AZ35" s="90">
        <f t="shared" si="60"/>
        <v>0</v>
      </c>
      <c r="BA35" s="75"/>
      <c r="BB35" s="90">
        <f>BA35*1460</f>
        <v>0</v>
      </c>
      <c r="BC35" s="75"/>
      <c r="BD35" s="90">
        <f t="shared" si="61"/>
        <v>0</v>
      </c>
      <c r="BE35" s="75"/>
      <c r="BF35" s="90">
        <f t="shared" ref="BF35:BF36" si="62">BE35*BF$3</f>
        <v>0</v>
      </c>
      <c r="BG35" s="75"/>
      <c r="BH35" s="90">
        <f t="shared" si="54"/>
        <v>0</v>
      </c>
      <c r="BI35" s="75"/>
      <c r="BJ35" s="90">
        <f t="shared" si="59"/>
        <v>0</v>
      </c>
      <c r="BK35" s="92">
        <f t="shared" si="33"/>
        <v>359980</v>
      </c>
      <c r="BL35" s="93">
        <f t="shared" si="18"/>
        <v>357960</v>
      </c>
      <c r="BM35" s="94">
        <f t="shared" si="19"/>
        <v>2020</v>
      </c>
      <c r="BN35" s="13"/>
      <c r="BO35" s="95">
        <f t="shared" si="20"/>
        <v>0.08380824673</v>
      </c>
      <c r="BP35" s="95">
        <f t="shared" si="21"/>
        <v>0</v>
      </c>
      <c r="BQ35" s="95">
        <f t="shared" si="22"/>
        <v>0.9218348419</v>
      </c>
      <c r="BR35" s="95">
        <f t="shared" si="23"/>
        <v>0</v>
      </c>
      <c r="BS35" s="95">
        <f t="shared" si="24"/>
        <v>0</v>
      </c>
      <c r="BT35" s="95">
        <f t="shared" si="25"/>
        <v>0</v>
      </c>
      <c r="BU35" s="95">
        <f t="shared" si="26"/>
        <v>0</v>
      </c>
      <c r="BV35" s="95">
        <f t="shared" si="27"/>
        <v>1.005643089</v>
      </c>
      <c r="BW35" s="95">
        <f t="shared" si="28"/>
        <v>0.007729403958</v>
      </c>
    </row>
    <row r="36" ht="15.75" customHeight="1">
      <c r="A36" s="168">
        <f>'LUCERO RECOLETA'!A36</f>
        <v>46170</v>
      </c>
      <c r="B36" s="162"/>
      <c r="C36" s="176">
        <v>15.0</v>
      </c>
      <c r="D36" s="165">
        <f t="shared" si="29"/>
        <v>892</v>
      </c>
      <c r="E36" s="165">
        <f t="shared" si="2"/>
        <v>906</v>
      </c>
      <c r="F36" s="73"/>
      <c r="G36" s="74"/>
      <c r="H36" s="169">
        <v>1541115.7</v>
      </c>
      <c r="I36" s="169">
        <v>323634.3</v>
      </c>
      <c r="J36" s="76"/>
      <c r="K36" s="83">
        <f t="shared" si="3"/>
        <v>1864750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51"/>
        <v>0</v>
      </c>
      <c r="V36" s="166"/>
      <c r="W36" s="82">
        <f t="shared" si="7"/>
        <v>0</v>
      </c>
      <c r="X36" s="165"/>
      <c r="Y36" s="165"/>
      <c r="Z36" s="79"/>
      <c r="AA36" s="80">
        <f t="shared" si="56"/>
        <v>0</v>
      </c>
      <c r="AB36" s="166"/>
      <c r="AC36" s="81">
        <f t="shared" si="8"/>
        <v>0</v>
      </c>
      <c r="AD36" s="84">
        <f t="shared" si="9"/>
        <v>1864750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-1864750</v>
      </c>
      <c r="AQ36" s="178">
        <v>0.0</v>
      </c>
      <c r="AR36" s="96"/>
      <c r="AS36" s="90"/>
      <c r="AT36" s="187">
        <v>1494250.0</v>
      </c>
      <c r="AU36" s="75"/>
      <c r="AV36" s="75"/>
      <c r="AW36" s="90">
        <v>0.0</v>
      </c>
      <c r="AX36" s="88"/>
      <c r="AY36" s="75"/>
      <c r="AZ36" s="90">
        <f t="shared" si="60"/>
        <v>0</v>
      </c>
      <c r="BA36" s="169">
        <v>260.0</v>
      </c>
      <c r="BB36" s="90">
        <f>BA36*1425</f>
        <v>370500</v>
      </c>
      <c r="BC36" s="75"/>
      <c r="BD36" s="90">
        <f t="shared" si="61"/>
        <v>0</v>
      </c>
      <c r="BE36" s="75"/>
      <c r="BF36" s="90">
        <f t="shared" si="62"/>
        <v>0</v>
      </c>
      <c r="BG36" s="75"/>
      <c r="BH36" s="90">
        <f t="shared" si="54"/>
        <v>0</v>
      </c>
      <c r="BI36" s="75"/>
      <c r="BJ36" s="90">
        <f t="shared" si="59"/>
        <v>0</v>
      </c>
      <c r="BK36" s="92">
        <f t="shared" si="33"/>
        <v>1864750</v>
      </c>
      <c r="BL36" s="93">
        <f t="shared" si="18"/>
        <v>1864750</v>
      </c>
      <c r="BM36" s="94">
        <f t="shared" si="19"/>
        <v>0</v>
      </c>
      <c r="BN36" s="13"/>
      <c r="BO36" s="95">
        <f t="shared" si="20"/>
        <v>0</v>
      </c>
      <c r="BP36" s="95">
        <f t="shared" si="21"/>
        <v>0</v>
      </c>
      <c r="BQ36" s="95">
        <f t="shared" si="22"/>
        <v>0.801313849</v>
      </c>
      <c r="BR36" s="95">
        <f t="shared" si="23"/>
        <v>0</v>
      </c>
      <c r="BS36" s="95">
        <f t="shared" si="24"/>
        <v>0</v>
      </c>
      <c r="BT36" s="95">
        <f t="shared" si="25"/>
        <v>0.198686151</v>
      </c>
      <c r="BU36" s="95">
        <f t="shared" si="26"/>
        <v>0</v>
      </c>
      <c r="BV36" s="95">
        <f t="shared" si="27"/>
        <v>1</v>
      </c>
      <c r="BW36" s="95">
        <f t="shared" si="28"/>
        <v>0.04026540963</v>
      </c>
    </row>
    <row r="37" ht="15.75" customHeight="1">
      <c r="A37" s="168">
        <f>'LUCERO RECOLETA'!A37</f>
        <v>46171</v>
      </c>
      <c r="B37" s="162"/>
      <c r="C37" s="163">
        <v>13.0</v>
      </c>
      <c r="D37" s="165">
        <f t="shared" si="29"/>
        <v>907</v>
      </c>
      <c r="E37" s="165">
        <f t="shared" si="2"/>
        <v>919</v>
      </c>
      <c r="F37" s="73"/>
      <c r="G37" s="74"/>
      <c r="H37" s="169">
        <v>1479181.79</v>
      </c>
      <c r="I37" s="169">
        <v>310628.21</v>
      </c>
      <c r="J37" s="76"/>
      <c r="K37" s="83">
        <f t="shared" si="3"/>
        <v>1789810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51"/>
        <v>0</v>
      </c>
      <c r="V37" s="166"/>
      <c r="W37" s="82">
        <f t="shared" si="7"/>
        <v>0</v>
      </c>
      <c r="X37" s="171">
        <v>22.0</v>
      </c>
      <c r="Y37" s="171">
        <v>22.0</v>
      </c>
      <c r="Z37" s="172">
        <v>82636.36</v>
      </c>
      <c r="AA37" s="173">
        <v>17353.64</v>
      </c>
      <c r="AB37" s="166"/>
      <c r="AC37" s="81">
        <f t="shared" si="8"/>
        <v>99990</v>
      </c>
      <c r="AD37" s="84">
        <f t="shared" si="9"/>
        <v>1689820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-1699840</v>
      </c>
      <c r="AQ37" s="98">
        <f>150000+40000+60000</f>
        <v>250000</v>
      </c>
      <c r="AR37" s="96"/>
      <c r="AS37" s="90"/>
      <c r="AT37" s="187">
        <v>1449840.0</v>
      </c>
      <c r="AU37" s="75"/>
      <c r="AV37" s="75"/>
      <c r="AW37" s="90">
        <v>0.0</v>
      </c>
      <c r="AX37" s="88"/>
      <c r="AY37" s="75"/>
      <c r="AZ37" s="90">
        <f t="shared" si="60"/>
        <v>0</v>
      </c>
      <c r="BA37" s="75"/>
      <c r="BB37" s="90">
        <f>BA37*1400</f>
        <v>0</v>
      </c>
      <c r="BC37" s="75"/>
      <c r="BD37" s="90">
        <f>BC37*1430</f>
        <v>0</v>
      </c>
      <c r="BE37" s="75"/>
      <c r="BF37" s="90">
        <f>BE37*1430</f>
        <v>0</v>
      </c>
      <c r="BG37" s="75"/>
      <c r="BH37" s="90">
        <f t="shared" si="54"/>
        <v>0</v>
      </c>
      <c r="BI37" s="75"/>
      <c r="BJ37" s="90">
        <f t="shared" si="59"/>
        <v>0</v>
      </c>
      <c r="BK37" s="92">
        <f t="shared" si="33"/>
        <v>1699840</v>
      </c>
      <c r="BL37" s="93">
        <f t="shared" si="18"/>
        <v>1689820</v>
      </c>
      <c r="BM37" s="94">
        <f t="shared" si="19"/>
        <v>10020</v>
      </c>
      <c r="BN37" s="13"/>
      <c r="BO37" s="95">
        <f t="shared" si="20"/>
        <v>0.1479447515</v>
      </c>
      <c r="BP37" s="95">
        <f t="shared" si="21"/>
        <v>0</v>
      </c>
      <c r="BQ37" s="95">
        <f t="shared" si="22"/>
        <v>0.8579848741</v>
      </c>
      <c r="BR37" s="95">
        <f t="shared" si="23"/>
        <v>0</v>
      </c>
      <c r="BS37" s="95">
        <f t="shared" si="24"/>
        <v>0</v>
      </c>
      <c r="BT37" s="95">
        <f t="shared" si="25"/>
        <v>0</v>
      </c>
      <c r="BU37" s="95">
        <f t="shared" si="26"/>
        <v>0</v>
      </c>
      <c r="BV37" s="95">
        <f t="shared" si="27"/>
        <v>1.005929626</v>
      </c>
      <c r="BW37" s="95">
        <f t="shared" si="28"/>
        <v>0.036488159</v>
      </c>
    </row>
    <row r="38" ht="15.75" customHeight="1">
      <c r="A38" s="168">
        <f>'LUCERO RECOLETA'!A38</f>
        <v>46172</v>
      </c>
      <c r="B38" s="162"/>
      <c r="C38" s="163">
        <v>5.0</v>
      </c>
      <c r="D38" s="165">
        <f t="shared" si="29"/>
        <v>920</v>
      </c>
      <c r="E38" s="165">
        <f t="shared" si="2"/>
        <v>924</v>
      </c>
      <c r="F38" s="73"/>
      <c r="G38" s="74"/>
      <c r="H38" s="169">
        <v>690834.71</v>
      </c>
      <c r="I38" s="169">
        <v>145075.29</v>
      </c>
      <c r="J38" s="76"/>
      <c r="K38" s="83">
        <f t="shared" si="3"/>
        <v>835910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51"/>
        <v>0</v>
      </c>
      <c r="V38" s="166"/>
      <c r="W38" s="82">
        <f t="shared" si="7"/>
        <v>0</v>
      </c>
      <c r="X38" s="165"/>
      <c r="Y38" s="165"/>
      <c r="Z38" s="79"/>
      <c r="AA38" s="80">
        <f t="shared" ref="AA38:AA40" si="63">Z38*21%</f>
        <v>0</v>
      </c>
      <c r="AB38" s="166"/>
      <c r="AC38" s="81">
        <f t="shared" si="8"/>
        <v>0</v>
      </c>
      <c r="AD38" s="84">
        <f t="shared" si="9"/>
        <v>835910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-835910</v>
      </c>
      <c r="AQ38" s="178">
        <v>0.0</v>
      </c>
      <c r="AR38" s="96"/>
      <c r="AS38" s="90"/>
      <c r="AT38" s="187">
        <v>835910.0</v>
      </c>
      <c r="AU38" s="75"/>
      <c r="AV38" s="75"/>
      <c r="AW38" s="90"/>
      <c r="AX38" s="88"/>
      <c r="AY38" s="75"/>
      <c r="AZ38" s="90">
        <f t="shared" si="60"/>
        <v>0</v>
      </c>
      <c r="BA38" s="75"/>
      <c r="BB38" s="90">
        <f>BA38*1415</f>
        <v>0</v>
      </c>
      <c r="BC38" s="75"/>
      <c r="BD38" s="90">
        <f>BC38*1460</f>
        <v>0</v>
      </c>
      <c r="BE38" s="75"/>
      <c r="BF38" s="90">
        <f>BE38*1415</f>
        <v>0</v>
      </c>
      <c r="BG38" s="75"/>
      <c r="BH38" s="90">
        <f t="shared" si="54"/>
        <v>0</v>
      </c>
      <c r="BI38" s="75"/>
      <c r="BJ38" s="90">
        <f t="shared" si="59"/>
        <v>0</v>
      </c>
      <c r="BK38" s="92">
        <f t="shared" si="33"/>
        <v>835910</v>
      </c>
      <c r="BL38" s="93">
        <f t="shared" si="18"/>
        <v>835910</v>
      </c>
      <c r="BM38" s="94">
        <f t="shared" si="19"/>
        <v>0</v>
      </c>
      <c r="BN38" s="14"/>
      <c r="BO38" s="95">
        <f t="shared" si="20"/>
        <v>0</v>
      </c>
      <c r="BP38" s="95">
        <f t="shared" si="21"/>
        <v>0</v>
      </c>
      <c r="BQ38" s="95">
        <f t="shared" si="22"/>
        <v>1</v>
      </c>
      <c r="BR38" s="95">
        <f t="shared" si="23"/>
        <v>0</v>
      </c>
      <c r="BS38" s="95">
        <f t="shared" si="24"/>
        <v>0</v>
      </c>
      <c r="BT38" s="95">
        <f t="shared" si="25"/>
        <v>0</v>
      </c>
      <c r="BU38" s="95">
        <f t="shared" si="26"/>
        <v>0</v>
      </c>
      <c r="BV38" s="95">
        <f t="shared" si="27"/>
        <v>1</v>
      </c>
      <c r="BW38" s="95">
        <f t="shared" si="28"/>
        <v>0.01804974316</v>
      </c>
    </row>
    <row r="39" ht="15.75" customHeight="1">
      <c r="A39" s="168">
        <f>'LUCERO RECOLETA'!A39</f>
        <v>46173</v>
      </c>
      <c r="B39" s="162"/>
      <c r="C39" s="163">
        <v>7.0</v>
      </c>
      <c r="D39" s="165">
        <f t="shared" si="29"/>
        <v>925</v>
      </c>
      <c r="E39" s="165">
        <f t="shared" si="2"/>
        <v>931</v>
      </c>
      <c r="F39" s="73"/>
      <c r="G39" s="74"/>
      <c r="H39" s="169">
        <v>618917.36</v>
      </c>
      <c r="I39" s="169">
        <v>129972.64</v>
      </c>
      <c r="J39" s="76"/>
      <c r="K39" s="83">
        <f t="shared" si="3"/>
        <v>748890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51"/>
        <v>0</v>
      </c>
      <c r="V39" s="166"/>
      <c r="W39" s="82">
        <f t="shared" si="7"/>
        <v>0</v>
      </c>
      <c r="X39" s="165"/>
      <c r="Y39" s="165"/>
      <c r="Z39" s="79"/>
      <c r="AA39" s="80">
        <f t="shared" si="63"/>
        <v>0</v>
      </c>
      <c r="AB39" s="166"/>
      <c r="AC39" s="81">
        <f t="shared" si="8"/>
        <v>0</v>
      </c>
      <c r="AD39" s="84">
        <f t="shared" si="9"/>
        <v>748890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178">
        <v>0.0</v>
      </c>
      <c r="AR39" s="96"/>
      <c r="AS39" s="90"/>
      <c r="AT39" s="187">
        <v>748890.0</v>
      </c>
      <c r="AU39" s="75"/>
      <c r="AV39" s="75"/>
      <c r="AW39" s="90"/>
      <c r="AX39" s="88"/>
      <c r="AY39" s="75"/>
      <c r="AZ39" s="90">
        <f>AY39*283</f>
        <v>0</v>
      </c>
      <c r="BA39" s="75"/>
      <c r="BB39" s="90">
        <f t="shared" ref="BB39:BB40" si="64">BA39*BB$3</f>
        <v>0</v>
      </c>
      <c r="BC39" s="75"/>
      <c r="BD39" s="90">
        <f t="shared" ref="BD39:BD40" si="65">BC39*BD$3</f>
        <v>0</v>
      </c>
      <c r="BE39" s="75"/>
      <c r="BF39" s="90">
        <f t="shared" ref="BF39:BF40" si="66">BE39*BF$3</f>
        <v>0</v>
      </c>
      <c r="BG39" s="75"/>
      <c r="BH39" s="90">
        <f t="shared" si="54"/>
        <v>0</v>
      </c>
      <c r="BI39" s="75"/>
      <c r="BJ39" s="90">
        <f t="shared" si="59"/>
        <v>0</v>
      </c>
      <c r="BK39" s="92">
        <f t="shared" si="33"/>
        <v>748890</v>
      </c>
      <c r="BL39" s="93">
        <f t="shared" si="18"/>
        <v>748890</v>
      </c>
      <c r="BM39" s="94">
        <f t="shared" si="19"/>
        <v>0</v>
      </c>
      <c r="BN39" s="14"/>
      <c r="BO39" s="95">
        <f t="shared" si="20"/>
        <v>0</v>
      </c>
      <c r="BP39" s="95">
        <f t="shared" si="21"/>
        <v>0</v>
      </c>
      <c r="BQ39" s="95">
        <f t="shared" si="22"/>
        <v>1</v>
      </c>
      <c r="BR39" s="95">
        <f t="shared" si="23"/>
        <v>0</v>
      </c>
      <c r="BS39" s="95">
        <f t="shared" si="24"/>
        <v>0</v>
      </c>
      <c r="BT39" s="95">
        <f t="shared" si="25"/>
        <v>0</v>
      </c>
      <c r="BU39" s="95">
        <f t="shared" si="26"/>
        <v>0</v>
      </c>
      <c r="BV39" s="95">
        <f t="shared" si="27"/>
        <v>1</v>
      </c>
      <c r="BW39" s="95">
        <f t="shared" si="28"/>
        <v>0.0161707267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51"/>
        <v>0</v>
      </c>
      <c r="V40" s="166"/>
      <c r="W40" s="82"/>
      <c r="X40" s="165"/>
      <c r="Y40" s="165"/>
      <c r="Z40" s="79"/>
      <c r="AA40" s="80">
        <f t="shared" si="63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>AY40*AZ$3</f>
        <v>0</v>
      </c>
      <c r="BA40" s="75"/>
      <c r="BB40" s="90">
        <f t="shared" si="64"/>
        <v>0</v>
      </c>
      <c r="BC40" s="75"/>
      <c r="BD40" s="90">
        <f t="shared" si="65"/>
        <v>0</v>
      </c>
      <c r="BE40" s="75"/>
      <c r="BF40" s="90">
        <f t="shared" si="66"/>
        <v>0</v>
      </c>
      <c r="BG40" s="75"/>
      <c r="BH40" s="90">
        <f t="shared" si="54"/>
        <v>0</v>
      </c>
      <c r="BI40" s="75"/>
      <c r="BJ40" s="90">
        <f t="shared" si="59"/>
        <v>0</v>
      </c>
      <c r="BK40" s="92">
        <f t="shared" si="33"/>
        <v>0</v>
      </c>
      <c r="BL40" s="93"/>
      <c r="BM40" s="94">
        <f t="shared" si="19"/>
        <v>0</v>
      </c>
      <c r="BN40" s="14"/>
      <c r="BO40" s="95">
        <f t="shared" si="20"/>
        <v>0</v>
      </c>
      <c r="BP40" s="95">
        <f t="shared" si="21"/>
        <v>0</v>
      </c>
      <c r="BQ40" s="95">
        <f t="shared" si="22"/>
        <v>0</v>
      </c>
      <c r="BR40" s="95">
        <f t="shared" si="23"/>
        <v>0</v>
      </c>
      <c r="BS40" s="95">
        <f t="shared" si="24"/>
        <v>0</v>
      </c>
      <c r="BT40" s="95">
        <f t="shared" si="25"/>
        <v>0</v>
      </c>
      <c r="BU40" s="95">
        <f t="shared" si="26"/>
        <v>0</v>
      </c>
      <c r="BV40" s="95">
        <f t="shared" si="27"/>
        <v>0</v>
      </c>
      <c r="BW40" s="95">
        <f t="shared" si="28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389</v>
      </c>
      <c r="D41" s="105">
        <f>MIN(D9:D40)</f>
        <v>543</v>
      </c>
      <c r="E41" s="105">
        <f>MAX(E9:E40)</f>
        <v>931</v>
      </c>
      <c r="F41" s="106">
        <f t="shared" ref="F41:K41" si="67">SUM(F9:F40)</f>
        <v>0</v>
      </c>
      <c r="G41" s="106">
        <f t="shared" si="67"/>
        <v>0</v>
      </c>
      <c r="H41" s="77">
        <f t="shared" si="67"/>
        <v>38510282.65</v>
      </c>
      <c r="I41" s="77">
        <f t="shared" si="67"/>
        <v>8087159.65</v>
      </c>
      <c r="J41" s="77">
        <f t="shared" si="67"/>
        <v>0</v>
      </c>
      <c r="K41" s="83">
        <f t="shared" si="67"/>
        <v>46597442.3</v>
      </c>
      <c r="L41" s="107">
        <f>MIN(L9:L40)</f>
        <v>0</v>
      </c>
      <c r="M41" s="107">
        <f>MAX(M9:M40)</f>
        <v>0</v>
      </c>
      <c r="N41" s="83">
        <f t="shared" ref="N41:O41" si="68">SUM(N9:N40)</f>
        <v>0</v>
      </c>
      <c r="O41" s="83">
        <f t="shared" si="68"/>
        <v>0</v>
      </c>
      <c r="P41" s="83"/>
      <c r="Q41" s="83">
        <f>SUM(Q9:Q40)</f>
        <v>0</v>
      </c>
      <c r="R41" s="108">
        <f>MIN(R9:R40)</f>
        <v>10</v>
      </c>
      <c r="S41" s="108">
        <f>MAX(S9:S40)</f>
        <v>11</v>
      </c>
      <c r="T41" s="82">
        <f t="shared" ref="T41:U41" si="69">SUM(T9:T40)</f>
        <v>449545.46</v>
      </c>
      <c r="U41" s="82">
        <f t="shared" si="69"/>
        <v>94404.54</v>
      </c>
      <c r="V41" s="82"/>
      <c r="W41" s="82">
        <f>SUM(W9:W40)</f>
        <v>543950</v>
      </c>
      <c r="X41" s="107">
        <f>MIN(X9:X40)</f>
        <v>17</v>
      </c>
      <c r="Y41" s="107">
        <f>MAX(Y9:Y40)</f>
        <v>22</v>
      </c>
      <c r="Z41" s="83">
        <f t="shared" ref="Z41:AA41" si="70">SUM(Z9:Z40)</f>
        <v>685892.56</v>
      </c>
      <c r="AA41" s="83">
        <f t="shared" si="70"/>
        <v>144037.44</v>
      </c>
      <c r="AB41" s="83"/>
      <c r="AC41" s="83">
        <f t="shared" ref="AC41:AD41" si="71">SUM(AC9:AC40)</f>
        <v>829930</v>
      </c>
      <c r="AD41" s="84">
        <f t="shared" si="71"/>
        <v>46311462.3</v>
      </c>
      <c r="AE41" s="109">
        <f t="shared" ref="AE41:AP41" si="72">SUM(AE9:AE38)</f>
        <v>0</v>
      </c>
      <c r="AF41" s="109">
        <f t="shared" si="72"/>
        <v>0</v>
      </c>
      <c r="AG41" s="109">
        <f t="shared" si="72"/>
        <v>0</v>
      </c>
      <c r="AH41" s="109">
        <f t="shared" si="72"/>
        <v>0</v>
      </c>
      <c r="AI41" s="109">
        <f t="shared" si="72"/>
        <v>0</v>
      </c>
      <c r="AJ41" s="110">
        <f t="shared" si="72"/>
        <v>0</v>
      </c>
      <c r="AK41" s="109">
        <f t="shared" si="72"/>
        <v>0</v>
      </c>
      <c r="AL41" s="110">
        <f t="shared" si="72"/>
        <v>0</v>
      </c>
      <c r="AM41" s="109">
        <f t="shared" si="72"/>
        <v>0</v>
      </c>
      <c r="AN41" s="109">
        <f t="shared" si="72"/>
        <v>0</v>
      </c>
      <c r="AO41" s="111">
        <f t="shared" si="72"/>
        <v>0</v>
      </c>
      <c r="AP41" s="112">
        <f t="shared" si="72"/>
        <v>-45665836</v>
      </c>
      <c r="AQ41" s="112">
        <f t="shared" ref="AQ41:BM41" si="73">SUM(AQ9:AQ40)</f>
        <v>4084000</v>
      </c>
      <c r="AR41" s="112">
        <f t="shared" si="73"/>
        <v>0</v>
      </c>
      <c r="AS41" s="112">
        <f t="shared" si="73"/>
        <v>0</v>
      </c>
      <c r="AT41" s="112">
        <f t="shared" si="73"/>
        <v>38893026</v>
      </c>
      <c r="AU41" s="112">
        <f t="shared" si="73"/>
        <v>0</v>
      </c>
      <c r="AV41" s="112">
        <f t="shared" si="73"/>
        <v>0</v>
      </c>
      <c r="AW41" s="112">
        <f t="shared" si="73"/>
        <v>0</v>
      </c>
      <c r="AX41" s="112">
        <f t="shared" si="73"/>
        <v>0</v>
      </c>
      <c r="AY41" s="112">
        <f t="shared" si="73"/>
        <v>400</v>
      </c>
      <c r="AZ41" s="112">
        <f t="shared" si="73"/>
        <v>115600</v>
      </c>
      <c r="BA41" s="112">
        <f t="shared" si="73"/>
        <v>2045</v>
      </c>
      <c r="BB41" s="112">
        <f t="shared" si="73"/>
        <v>2897400</v>
      </c>
      <c r="BC41" s="112">
        <f t="shared" si="73"/>
        <v>300</v>
      </c>
      <c r="BD41" s="112">
        <f t="shared" si="73"/>
        <v>424700</v>
      </c>
      <c r="BE41" s="112">
        <f t="shared" si="73"/>
        <v>0</v>
      </c>
      <c r="BF41" s="112">
        <f t="shared" si="73"/>
        <v>0</v>
      </c>
      <c r="BG41" s="112">
        <f t="shared" si="73"/>
        <v>0</v>
      </c>
      <c r="BH41" s="112">
        <f t="shared" si="73"/>
        <v>0</v>
      </c>
      <c r="BI41" s="112">
        <f t="shared" si="73"/>
        <v>0</v>
      </c>
      <c r="BJ41" s="112">
        <f t="shared" si="73"/>
        <v>0</v>
      </c>
      <c r="BK41" s="112">
        <f t="shared" si="73"/>
        <v>46414726</v>
      </c>
      <c r="BL41" s="112">
        <f t="shared" si="73"/>
        <v>46311462.3</v>
      </c>
      <c r="BM41" s="112">
        <f t="shared" si="73"/>
        <v>103263.7</v>
      </c>
      <c r="BN41" s="14"/>
      <c r="BO41" s="95">
        <f t="shared" si="20"/>
        <v>0.08818551169</v>
      </c>
      <c r="BP41" s="95">
        <f t="shared" si="21"/>
        <v>0</v>
      </c>
      <c r="BQ41" s="95">
        <f t="shared" si="22"/>
        <v>0.8398142505</v>
      </c>
      <c r="BR41" s="95">
        <f t="shared" si="23"/>
        <v>0</v>
      </c>
      <c r="BS41" s="95">
        <f t="shared" si="24"/>
        <v>0.0024961423</v>
      </c>
      <c r="BT41" s="95">
        <f t="shared" si="25"/>
        <v>0.07173386101</v>
      </c>
      <c r="BU41" s="95">
        <f t="shared" si="26"/>
        <v>0</v>
      </c>
      <c r="BV41" s="95">
        <f t="shared" si="27"/>
        <v>1.002229765</v>
      </c>
      <c r="BW41" s="95">
        <f t="shared" si="28"/>
        <v>1</v>
      </c>
    </row>
    <row r="42" ht="14.25" customHeight="1">
      <c r="A42" s="181"/>
      <c r="B42" s="7"/>
      <c r="C42" s="14"/>
      <c r="D42" s="182">
        <v>1302.0</v>
      </c>
      <c r="E42" s="14"/>
      <c r="F42" s="14"/>
      <c r="G42" s="14"/>
      <c r="H42" s="14"/>
      <c r="I42" s="14"/>
      <c r="J42" s="14"/>
      <c r="K42" s="14"/>
      <c r="L42" s="182"/>
      <c r="M42" s="14"/>
      <c r="N42" s="14"/>
      <c r="O42" s="14"/>
      <c r="P42" s="14"/>
      <c r="Q42" s="6"/>
      <c r="R42" s="182">
        <v>2.0</v>
      </c>
      <c r="S42" s="14"/>
      <c r="T42" s="14"/>
      <c r="U42" s="14"/>
      <c r="V42" s="14"/>
      <c r="W42" s="14"/>
      <c r="X42" s="182">
        <v>4.0</v>
      </c>
      <c r="Y42" s="14"/>
      <c r="Z42" s="14"/>
      <c r="AA42" s="14"/>
      <c r="AB42" s="14"/>
      <c r="AC42" s="14"/>
      <c r="AD42" s="190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D42-D9</f>
        <v>759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8</v>
      </c>
      <c r="S43" s="114"/>
      <c r="T43" s="116"/>
      <c r="U43" s="116"/>
      <c r="V43" s="116"/>
      <c r="W43" s="116"/>
      <c r="X43" s="114">
        <f>X41-X42</f>
        <v>13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46311462.3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74">AQ41</f>
        <v>4084000</v>
      </c>
      <c r="AR47" s="136">
        <f t="shared" si="74"/>
        <v>0</v>
      </c>
      <c r="AS47" s="136">
        <f t="shared" ref="AS47:AU47" si="75">AU41</f>
        <v>0</v>
      </c>
      <c r="AT47" s="136">
        <f t="shared" si="75"/>
        <v>0</v>
      </c>
      <c r="AU47" s="136">
        <f t="shared" si="75"/>
        <v>0</v>
      </c>
      <c r="AV47" s="136">
        <f>AZ41</f>
        <v>115600</v>
      </c>
      <c r="AW47" s="136">
        <f>BD41+BF41+BH41+BB41</f>
        <v>3322100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6">AQ47/$AD$41</f>
        <v>0.08818551169</v>
      </c>
      <c r="AR48" s="113">
        <f t="shared" si="76"/>
        <v>0</v>
      </c>
      <c r="AS48" s="113">
        <f t="shared" si="76"/>
        <v>0</v>
      </c>
      <c r="AT48" s="113">
        <f t="shared" si="76"/>
        <v>0</v>
      </c>
      <c r="AU48" s="113">
        <f t="shared" si="76"/>
        <v>0</v>
      </c>
      <c r="AV48" s="113">
        <f t="shared" si="76"/>
        <v>0.0024961423</v>
      </c>
      <c r="AW48" s="113">
        <f t="shared" si="76"/>
        <v>0.07173386101</v>
      </c>
      <c r="AX48" s="113">
        <f t="shared" si="7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1.71"/>
    <col customWidth="1" min="8" max="9" width="15.0"/>
    <col customWidth="1" min="10" max="10" width="11.43"/>
    <col customWidth="1" min="11" max="11" width="13.86"/>
    <col customWidth="1" min="12" max="17" width="1.71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3" width="10.86"/>
    <col customWidth="1" min="64" max="64" width="14.29"/>
    <col customWidth="1" min="65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71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4">
        <v>936.0</v>
      </c>
      <c r="E9" s="165">
        <f t="shared" ref="E9:E40" si="2">IF(C9="","",C9+D9-1)</f>
        <v>935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6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/>
      <c r="AT9" s="90">
        <v>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14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0" si="25">IF(AQ9+AR9=0,0,(AQ9+AR9)/AD9)</f>
        <v>0</v>
      </c>
      <c r="BP9" s="95">
        <f t="shared" ref="BP9:BP40" si="26">IF(AU9=0,0,AU9/AD9)</f>
        <v>0</v>
      </c>
      <c r="BQ9" s="95">
        <f t="shared" ref="BQ9:BQ41" si="27">IF(AT9=0,0,AT9/AD9)</f>
        <v>0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68">
        <f>'LUCERO RECOLETA'!A10</f>
        <v>46144</v>
      </c>
      <c r="B10" s="162"/>
      <c r="C10" s="163">
        <v>6.0</v>
      </c>
      <c r="D10" s="165">
        <f t="shared" ref="D10:D40" si="34">E9+1</f>
        <v>936</v>
      </c>
      <c r="E10" s="165">
        <f t="shared" si="2"/>
        <v>941</v>
      </c>
      <c r="F10" s="73"/>
      <c r="G10" s="74"/>
      <c r="H10" s="169">
        <v>242910.65</v>
      </c>
      <c r="I10" s="169">
        <v>51011.25</v>
      </c>
      <c r="J10" s="76"/>
      <c r="K10" s="83">
        <f t="shared" si="3"/>
        <v>293921.9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f t="shared" si="8"/>
        <v>0</v>
      </c>
      <c r="AB10" s="166"/>
      <c r="AC10" s="81">
        <f t="shared" si="9"/>
        <v>0</v>
      </c>
      <c r="AD10" s="84">
        <f t="shared" si="10"/>
        <v>293921.9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-293920</v>
      </c>
      <c r="AQ10" s="170">
        <v>0.0</v>
      </c>
      <c r="AR10" s="88"/>
      <c r="AS10" s="89"/>
      <c r="AT10" s="187">
        <v>293920.0</v>
      </c>
      <c r="AU10" s="75"/>
      <c r="AV10" s="75"/>
      <c r="AW10" s="187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293920</v>
      </c>
      <c r="BL10" s="93">
        <f t="shared" si="23"/>
        <v>293921.9</v>
      </c>
      <c r="BM10" s="94">
        <f t="shared" si="24"/>
        <v>-1.9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0.9999935357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0.9999935357</v>
      </c>
      <c r="BW10" s="95">
        <f t="shared" si="33"/>
        <v>0.01470930344</v>
      </c>
    </row>
    <row r="11" ht="15.75" customHeight="1">
      <c r="A11" s="168">
        <f>'LUCERO RECOLETA'!A11</f>
        <v>46145</v>
      </c>
      <c r="B11" s="162"/>
      <c r="C11" s="163">
        <v>13.0</v>
      </c>
      <c r="D11" s="165">
        <f t="shared" si="34"/>
        <v>942</v>
      </c>
      <c r="E11" s="165">
        <f t="shared" si="2"/>
        <v>954</v>
      </c>
      <c r="F11" s="73"/>
      <c r="G11" s="74"/>
      <c r="H11" s="169">
        <v>1237876.02</v>
      </c>
      <c r="I11" s="169">
        <v>259953.98</v>
      </c>
      <c r="J11" s="76"/>
      <c r="K11" s="83">
        <f t="shared" si="3"/>
        <v>1497830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si="8"/>
        <v>0</v>
      </c>
      <c r="AB11" s="166"/>
      <c r="AC11" s="81">
        <f t="shared" si="9"/>
        <v>0</v>
      </c>
      <c r="AD11" s="84">
        <f t="shared" si="10"/>
        <v>1497830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-1504450</v>
      </c>
      <c r="AQ11" s="170">
        <v>0.0</v>
      </c>
      <c r="AR11" s="88"/>
      <c r="AS11" s="89"/>
      <c r="AT11" s="187">
        <v>1447850.0</v>
      </c>
      <c r="AU11" s="75"/>
      <c r="AV11" s="75"/>
      <c r="AW11" s="187">
        <v>0.0</v>
      </c>
      <c r="AX11" s="88"/>
      <c r="AY11" s="75"/>
      <c r="AZ11" s="90">
        <f t="shared" si="16"/>
        <v>0</v>
      </c>
      <c r="BA11" s="169">
        <v>40.0</v>
      </c>
      <c r="BB11" s="90">
        <f>BA11*1415</f>
        <v>56600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1504450</v>
      </c>
      <c r="BL11" s="93">
        <f t="shared" si="23"/>
        <v>1497830</v>
      </c>
      <c r="BM11" s="94">
        <f t="shared" si="24"/>
        <v>6620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0.9666317272</v>
      </c>
      <c r="BR11" s="95">
        <f t="shared" si="28"/>
        <v>0</v>
      </c>
      <c r="BS11" s="95">
        <f t="shared" si="29"/>
        <v>0</v>
      </c>
      <c r="BT11" s="95">
        <f t="shared" si="30"/>
        <v>0.03778799997</v>
      </c>
      <c r="BU11" s="95">
        <f t="shared" si="31"/>
        <v>0</v>
      </c>
      <c r="BV11" s="95">
        <f t="shared" si="32"/>
        <v>1.004419727</v>
      </c>
      <c r="BW11" s="95">
        <f t="shared" si="33"/>
        <v>0.07495881039</v>
      </c>
    </row>
    <row r="12" ht="15.75" customHeight="1">
      <c r="A12" s="168">
        <f>'LUCERO RECOLETA'!A12</f>
        <v>46146</v>
      </c>
      <c r="B12" s="162"/>
      <c r="C12" s="163">
        <v>3.0</v>
      </c>
      <c r="D12" s="165">
        <f t="shared" si="34"/>
        <v>955</v>
      </c>
      <c r="E12" s="165">
        <f t="shared" si="2"/>
        <v>957</v>
      </c>
      <c r="F12" s="73"/>
      <c r="G12" s="74"/>
      <c r="H12" s="169">
        <v>307404.96</v>
      </c>
      <c r="I12" s="169">
        <v>64555.04</v>
      </c>
      <c r="J12" s="76"/>
      <c r="K12" s="83">
        <f t="shared" si="3"/>
        <v>371960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8"/>
        <v>0</v>
      </c>
      <c r="AB12" s="166"/>
      <c r="AC12" s="81">
        <f t="shared" si="9"/>
        <v>0</v>
      </c>
      <c r="AD12" s="84">
        <f t="shared" si="10"/>
        <v>371960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-371960</v>
      </c>
      <c r="AQ12" s="170">
        <v>0.0</v>
      </c>
      <c r="AR12" s="88"/>
      <c r="AS12" s="89"/>
      <c r="AT12" s="187">
        <v>371960.0</v>
      </c>
      <c r="AU12" s="75"/>
      <c r="AV12" s="75"/>
      <c r="AW12" s="187">
        <v>0.0</v>
      </c>
      <c r="AX12" s="88"/>
      <c r="AY12" s="75"/>
      <c r="AZ12" s="90">
        <f t="shared" si="16"/>
        <v>0</v>
      </c>
      <c r="BA12" s="75"/>
      <c r="BB12" s="90">
        <f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371960</v>
      </c>
      <c r="BL12" s="93">
        <f t="shared" si="23"/>
        <v>371960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</v>
      </c>
      <c r="BW12" s="95">
        <f t="shared" si="33"/>
        <v>0.01861471536</v>
      </c>
    </row>
    <row r="13" ht="15.75" customHeight="1">
      <c r="A13" s="168">
        <f>'LUCERO RECOLETA'!A13</f>
        <v>46147</v>
      </c>
      <c r="B13" s="162"/>
      <c r="C13" s="163">
        <v>3.0</v>
      </c>
      <c r="D13" s="165">
        <f t="shared" si="34"/>
        <v>958</v>
      </c>
      <c r="E13" s="165">
        <f t="shared" si="2"/>
        <v>960</v>
      </c>
      <c r="F13" s="73"/>
      <c r="G13" s="74"/>
      <c r="H13" s="169">
        <v>181793.38</v>
      </c>
      <c r="I13" s="169">
        <v>38176.62</v>
      </c>
      <c r="J13" s="76"/>
      <c r="K13" s="83">
        <f t="shared" si="3"/>
        <v>219970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8"/>
        <v>0</v>
      </c>
      <c r="AB13" s="166"/>
      <c r="AC13" s="81">
        <f t="shared" si="9"/>
        <v>0</v>
      </c>
      <c r="AD13" s="84">
        <f t="shared" si="10"/>
        <v>219970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-219980</v>
      </c>
      <c r="AQ13" s="170">
        <v>100000.0</v>
      </c>
      <c r="AR13" s="96"/>
      <c r="AS13" s="90"/>
      <c r="AT13" s="187">
        <v>119980.0</v>
      </c>
      <c r="AU13" s="75"/>
      <c r="AV13" s="75"/>
      <c r="AW13" s="187">
        <v>0.0</v>
      </c>
      <c r="AX13" s="88"/>
      <c r="AY13" s="75"/>
      <c r="AZ13" s="90">
        <f t="shared" si="16"/>
        <v>0</v>
      </c>
      <c r="BA13" s="75"/>
      <c r="BB13" s="90">
        <f>BA13*1415</f>
        <v>0</v>
      </c>
      <c r="BC13" s="75"/>
      <c r="BD13" s="90">
        <f>BC13*BD$2</f>
        <v>0</v>
      </c>
      <c r="BE13" s="75"/>
      <c r="BF13" s="90">
        <f t="shared" ref="BF13:BF31" si="36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219980</v>
      </c>
      <c r="BL13" s="93">
        <f t="shared" si="23"/>
        <v>219970</v>
      </c>
      <c r="BM13" s="94">
        <f t="shared" si="24"/>
        <v>10</v>
      </c>
      <c r="BN13" s="13"/>
      <c r="BO13" s="95">
        <f t="shared" si="25"/>
        <v>0.4546074465</v>
      </c>
      <c r="BP13" s="95">
        <f t="shared" si="26"/>
        <v>0</v>
      </c>
      <c r="BQ13" s="95">
        <f t="shared" si="27"/>
        <v>0.5454380143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1.000045461</v>
      </c>
      <c r="BW13" s="95">
        <f t="shared" si="33"/>
        <v>0.01100838514</v>
      </c>
    </row>
    <row r="14" ht="15.75" customHeight="1">
      <c r="A14" s="168">
        <f>'LUCERO RECOLETA'!A14</f>
        <v>46148</v>
      </c>
      <c r="B14" s="162"/>
      <c r="C14" s="163">
        <v>1.0</v>
      </c>
      <c r="D14" s="165">
        <f t="shared" si="34"/>
        <v>961</v>
      </c>
      <c r="E14" s="165">
        <f t="shared" si="2"/>
        <v>961</v>
      </c>
      <c r="F14" s="73"/>
      <c r="G14" s="74"/>
      <c r="H14" s="169">
        <v>165272.73</v>
      </c>
      <c r="I14" s="169">
        <v>34707.27</v>
      </c>
      <c r="J14" s="76"/>
      <c r="K14" s="83">
        <f t="shared" si="3"/>
        <v>199980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8"/>
        <v>0</v>
      </c>
      <c r="AB14" s="166"/>
      <c r="AC14" s="81">
        <f t="shared" si="9"/>
        <v>0</v>
      </c>
      <c r="AD14" s="84">
        <f t="shared" si="10"/>
        <v>199980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-199980</v>
      </c>
      <c r="AQ14" s="170">
        <v>0.0</v>
      </c>
      <c r="AR14" s="96"/>
      <c r="AS14" s="90"/>
      <c r="AT14" s="187">
        <v>199980.0</v>
      </c>
      <c r="AU14" s="75"/>
      <c r="AV14" s="75"/>
      <c r="AW14" s="187">
        <v>0.0</v>
      </c>
      <c r="AX14" s="88"/>
      <c r="AY14" s="75"/>
      <c r="AZ14" s="90">
        <f t="shared" si="16"/>
        <v>0</v>
      </c>
      <c r="BA14" s="75"/>
      <c r="BB14" s="90">
        <f t="shared" ref="BB14:BB15" si="37">BA14*BB$2</f>
        <v>0</v>
      </c>
      <c r="BC14" s="75"/>
      <c r="BD14" s="90">
        <f>BC14*1495</f>
        <v>0</v>
      </c>
      <c r="BE14" s="75"/>
      <c r="BF14" s="90">
        <f t="shared" si="36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199980</v>
      </c>
      <c r="BL14" s="93">
        <f t="shared" si="23"/>
        <v>199980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0.01000798682</v>
      </c>
    </row>
    <row r="15" ht="15.75" customHeight="1">
      <c r="A15" s="168">
        <f>'LUCERO RECOLETA'!A15</f>
        <v>46149</v>
      </c>
      <c r="B15" s="162"/>
      <c r="C15" s="163">
        <v>2.0</v>
      </c>
      <c r="D15" s="165">
        <f t="shared" si="34"/>
        <v>962</v>
      </c>
      <c r="E15" s="165">
        <f t="shared" si="2"/>
        <v>963</v>
      </c>
      <c r="F15" s="73"/>
      <c r="G15" s="74"/>
      <c r="H15" s="169">
        <v>405743.8</v>
      </c>
      <c r="I15" s="169">
        <v>85206.2</v>
      </c>
      <c r="J15" s="76"/>
      <c r="K15" s="83">
        <f t="shared" si="3"/>
        <v>490950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f t="shared" si="8"/>
        <v>0</v>
      </c>
      <c r="AB15" s="166"/>
      <c r="AC15" s="81">
        <f t="shared" si="9"/>
        <v>0</v>
      </c>
      <c r="AD15" s="84">
        <f t="shared" si="10"/>
        <v>490950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-490950</v>
      </c>
      <c r="AQ15" s="170">
        <v>0.0</v>
      </c>
      <c r="AR15" s="96"/>
      <c r="AS15" s="90"/>
      <c r="AT15" s="187">
        <v>490950.0</v>
      </c>
      <c r="AU15" s="75"/>
      <c r="AV15" s="75"/>
      <c r="AW15" s="187">
        <v>0.0</v>
      </c>
      <c r="AX15" s="88"/>
      <c r="AY15" s="75"/>
      <c r="AZ15" s="90">
        <f t="shared" si="16"/>
        <v>0</v>
      </c>
      <c r="BA15" s="75"/>
      <c r="BB15" s="90">
        <f t="shared" si="37"/>
        <v>0</v>
      </c>
      <c r="BC15" s="75"/>
      <c r="BD15" s="90">
        <f t="shared" ref="BD15:BD33" si="38">BC15*BD$2</f>
        <v>0</v>
      </c>
      <c r="BE15" s="75"/>
      <c r="BF15" s="90">
        <f t="shared" si="36"/>
        <v>0</v>
      </c>
      <c r="BG15" s="75"/>
      <c r="BH15" s="90">
        <f t="shared" si="20"/>
        <v>0</v>
      </c>
      <c r="BI15" s="75"/>
      <c r="BJ15" s="90">
        <f>BI15*1665</f>
        <v>0</v>
      </c>
      <c r="BK15" s="92">
        <f t="shared" si="35"/>
        <v>490950</v>
      </c>
      <c r="BL15" s="93">
        <f t="shared" si="23"/>
        <v>490950</v>
      </c>
      <c r="BM15" s="94">
        <f t="shared" si="24"/>
        <v>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1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</v>
      </c>
      <c r="BW15" s="95">
        <f t="shared" si="33"/>
        <v>0.02456956261</v>
      </c>
    </row>
    <row r="16" ht="15.75" customHeight="1">
      <c r="A16" s="168">
        <f>'LUCERO RECOLETA'!A16</f>
        <v>46150</v>
      </c>
      <c r="B16" s="162"/>
      <c r="C16" s="163">
        <v>2.0</v>
      </c>
      <c r="D16" s="165">
        <f t="shared" si="34"/>
        <v>964</v>
      </c>
      <c r="E16" s="165">
        <f t="shared" si="2"/>
        <v>965</v>
      </c>
      <c r="F16" s="73"/>
      <c r="G16" s="74"/>
      <c r="H16" s="169">
        <v>84280.99</v>
      </c>
      <c r="I16" s="169">
        <v>17699.01</v>
      </c>
      <c r="J16" s="76"/>
      <c r="K16" s="83">
        <f t="shared" si="3"/>
        <v>101980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6"/>
        <v>0</v>
      </c>
      <c r="V16" s="166"/>
      <c r="W16" s="82">
        <f t="shared" si="7"/>
        <v>0</v>
      </c>
      <c r="X16" s="165"/>
      <c r="Y16" s="165"/>
      <c r="Z16" s="79"/>
      <c r="AA16" s="80">
        <f t="shared" si="8"/>
        <v>0</v>
      </c>
      <c r="AB16" s="166"/>
      <c r="AC16" s="81">
        <f t="shared" si="9"/>
        <v>0</v>
      </c>
      <c r="AD16" s="84">
        <f t="shared" si="10"/>
        <v>101980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-101980</v>
      </c>
      <c r="AQ16" s="170">
        <v>0.0</v>
      </c>
      <c r="AR16" s="96"/>
      <c r="AS16" s="90"/>
      <c r="AT16" s="187">
        <v>101980.0</v>
      </c>
      <c r="AU16" s="75"/>
      <c r="AV16" s="75"/>
      <c r="AW16" s="187">
        <v>0.0</v>
      </c>
      <c r="AX16" s="88"/>
      <c r="AY16" s="75"/>
      <c r="AZ16" s="90">
        <f t="shared" si="16"/>
        <v>0</v>
      </c>
      <c r="BA16" s="75"/>
      <c r="BB16" s="90">
        <f>BA16*1435</f>
        <v>0</v>
      </c>
      <c r="BC16" s="75"/>
      <c r="BD16" s="90">
        <f t="shared" si="38"/>
        <v>0</v>
      </c>
      <c r="BE16" s="75"/>
      <c r="BF16" s="90">
        <f t="shared" si="36"/>
        <v>0</v>
      </c>
      <c r="BG16" s="75"/>
      <c r="BH16" s="90">
        <f t="shared" si="20"/>
        <v>0</v>
      </c>
      <c r="BI16" s="75"/>
      <c r="BJ16" s="90">
        <f t="shared" ref="BJ16:BJ33" si="39">BI16*BJ$2</f>
        <v>0</v>
      </c>
      <c r="BK16" s="92">
        <f t="shared" si="35"/>
        <v>101980</v>
      </c>
      <c r="BL16" s="93">
        <f t="shared" si="23"/>
        <v>101980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1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</v>
      </c>
      <c r="BW16" s="95">
        <f t="shared" si="33"/>
        <v>0.005103582839</v>
      </c>
    </row>
    <row r="17" ht="15.75" customHeight="1">
      <c r="A17" s="168">
        <f>'LUCERO RECOLETA'!A17</f>
        <v>46151</v>
      </c>
      <c r="B17" s="162"/>
      <c r="C17" s="176">
        <v>3.0</v>
      </c>
      <c r="D17" s="165">
        <f t="shared" si="34"/>
        <v>966</v>
      </c>
      <c r="E17" s="165">
        <f t="shared" si="2"/>
        <v>968</v>
      </c>
      <c r="F17" s="73"/>
      <c r="G17" s="74"/>
      <c r="H17" s="169">
        <v>179289.26</v>
      </c>
      <c r="I17" s="169">
        <v>37650.74</v>
      </c>
      <c r="J17" s="76"/>
      <c r="K17" s="83">
        <f t="shared" si="3"/>
        <v>216940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6"/>
        <v>0</v>
      </c>
      <c r="V17" s="166"/>
      <c r="W17" s="82">
        <f t="shared" si="7"/>
        <v>0</v>
      </c>
      <c r="X17" s="165"/>
      <c r="Y17" s="165"/>
      <c r="Z17" s="79"/>
      <c r="AA17" s="80">
        <f t="shared" si="8"/>
        <v>0</v>
      </c>
      <c r="AB17" s="166"/>
      <c r="AC17" s="81">
        <f t="shared" si="9"/>
        <v>0</v>
      </c>
      <c r="AD17" s="84">
        <f t="shared" si="10"/>
        <v>216940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-216940</v>
      </c>
      <c r="AQ17" s="170">
        <v>0.0</v>
      </c>
      <c r="AR17" s="96"/>
      <c r="AS17" s="90"/>
      <c r="AT17" s="187">
        <v>51960.0</v>
      </c>
      <c r="AU17" s="75"/>
      <c r="AV17" s="75"/>
      <c r="AW17" s="187">
        <v>164980.0</v>
      </c>
      <c r="AX17" s="88"/>
      <c r="AY17" s="75"/>
      <c r="AZ17" s="90">
        <f t="shared" si="16"/>
        <v>0</v>
      </c>
      <c r="BA17" s="75"/>
      <c r="BB17" s="90">
        <f t="shared" ref="BB17:BB20" si="40">BA17*BB$2</f>
        <v>0</v>
      </c>
      <c r="BC17" s="75"/>
      <c r="BD17" s="90">
        <f t="shared" si="38"/>
        <v>0</v>
      </c>
      <c r="BE17" s="75"/>
      <c r="BF17" s="90">
        <f t="shared" si="36"/>
        <v>0</v>
      </c>
      <c r="BG17" s="75"/>
      <c r="BH17" s="90">
        <f t="shared" si="20"/>
        <v>0</v>
      </c>
      <c r="BI17" s="75"/>
      <c r="BJ17" s="90">
        <f t="shared" si="39"/>
        <v>0</v>
      </c>
      <c r="BK17" s="92">
        <f t="shared" si="35"/>
        <v>216940</v>
      </c>
      <c r="BL17" s="93">
        <f t="shared" si="23"/>
        <v>216940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0.2395132295</v>
      </c>
      <c r="BR17" s="95">
        <f t="shared" si="28"/>
        <v>0.7604867705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0.01085674898</v>
      </c>
    </row>
    <row r="18" ht="15.75" customHeight="1">
      <c r="A18" s="168">
        <f>'LUCERO RECOLETA'!A18</f>
        <v>46152</v>
      </c>
      <c r="B18" s="162"/>
      <c r="C18" s="163">
        <v>11.0</v>
      </c>
      <c r="D18" s="165">
        <f t="shared" si="34"/>
        <v>969</v>
      </c>
      <c r="E18" s="165">
        <f t="shared" si="2"/>
        <v>979</v>
      </c>
      <c r="F18" s="73"/>
      <c r="G18" s="74"/>
      <c r="H18" s="169">
        <v>1705285.13</v>
      </c>
      <c r="I18" s="169">
        <v>358109.87</v>
      </c>
      <c r="J18" s="76"/>
      <c r="K18" s="83">
        <f t="shared" si="3"/>
        <v>2063395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6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2063395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-2063435</v>
      </c>
      <c r="AQ18" s="186">
        <f>120000+440000+20000</f>
        <v>580000</v>
      </c>
      <c r="AR18" s="96"/>
      <c r="AS18" s="90"/>
      <c r="AT18" s="187">
        <v>1483435.0</v>
      </c>
      <c r="AU18" s="75"/>
      <c r="AV18" s="75"/>
      <c r="AW18" s="187">
        <v>0.0</v>
      </c>
      <c r="AX18" s="88"/>
      <c r="AY18" s="75"/>
      <c r="AZ18" s="90">
        <f t="shared" si="16"/>
        <v>0</v>
      </c>
      <c r="BA18" s="75"/>
      <c r="BB18" s="90">
        <f t="shared" si="40"/>
        <v>0</v>
      </c>
      <c r="BC18" s="75"/>
      <c r="BD18" s="90">
        <f t="shared" si="38"/>
        <v>0</v>
      </c>
      <c r="BE18" s="75"/>
      <c r="BF18" s="90">
        <f t="shared" si="36"/>
        <v>0</v>
      </c>
      <c r="BG18" s="75"/>
      <c r="BH18" s="90">
        <f t="shared" si="20"/>
        <v>0</v>
      </c>
      <c r="BI18" s="75"/>
      <c r="BJ18" s="90">
        <f t="shared" si="39"/>
        <v>0</v>
      </c>
      <c r="BK18" s="92">
        <f t="shared" si="35"/>
        <v>2063435</v>
      </c>
      <c r="BL18" s="93">
        <f t="shared" si="23"/>
        <v>2063395</v>
      </c>
      <c r="BM18" s="94">
        <f t="shared" si="24"/>
        <v>40</v>
      </c>
      <c r="BN18" s="14"/>
      <c r="BO18" s="95">
        <f t="shared" si="25"/>
        <v>0.2810901451</v>
      </c>
      <c r="BP18" s="95">
        <f t="shared" si="26"/>
        <v>0</v>
      </c>
      <c r="BQ18" s="95">
        <f t="shared" si="27"/>
        <v>0.7189292404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1.000019386</v>
      </c>
      <c r="BW18" s="95">
        <f t="shared" si="33"/>
        <v>0.1032624761</v>
      </c>
    </row>
    <row r="19" ht="15.75" customHeight="1">
      <c r="A19" s="168">
        <f>'LUCERO RECOLETA'!A19</f>
        <v>46153</v>
      </c>
      <c r="B19" s="162"/>
      <c r="C19" s="163">
        <v>0.0</v>
      </c>
      <c r="D19" s="165">
        <f t="shared" si="34"/>
        <v>980</v>
      </c>
      <c r="E19" s="165">
        <f t="shared" si="2"/>
        <v>979</v>
      </c>
      <c r="F19" s="73"/>
      <c r="G19" s="74"/>
      <c r="H19" s="75"/>
      <c r="I19" s="75"/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6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0</v>
      </c>
      <c r="AQ19" s="169">
        <v>0.0</v>
      </c>
      <c r="AR19" s="96"/>
      <c r="AS19" s="90"/>
      <c r="AT19" s="187">
        <v>0.0</v>
      </c>
      <c r="AU19" s="75"/>
      <c r="AV19" s="75"/>
      <c r="AW19" s="187">
        <v>0.0</v>
      </c>
      <c r="AX19" s="88"/>
      <c r="AY19" s="75"/>
      <c r="AZ19" s="90">
        <f t="shared" si="16"/>
        <v>0</v>
      </c>
      <c r="BA19" s="75"/>
      <c r="BB19" s="90">
        <f t="shared" si="40"/>
        <v>0</v>
      </c>
      <c r="BC19" s="75"/>
      <c r="BD19" s="90">
        <f t="shared" si="38"/>
        <v>0</v>
      </c>
      <c r="BE19" s="75"/>
      <c r="BF19" s="90">
        <f t="shared" si="36"/>
        <v>0</v>
      </c>
      <c r="BG19" s="75"/>
      <c r="BH19" s="90">
        <f t="shared" si="20"/>
        <v>0</v>
      </c>
      <c r="BI19" s="75"/>
      <c r="BJ19" s="90">
        <f t="shared" si="39"/>
        <v>0</v>
      </c>
      <c r="BK19" s="92">
        <f t="shared" si="35"/>
        <v>0</v>
      </c>
      <c r="BL19" s="93">
        <f t="shared" si="23"/>
        <v>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0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</v>
      </c>
      <c r="BW19" s="95">
        <f t="shared" si="33"/>
        <v>0</v>
      </c>
    </row>
    <row r="20" ht="15.75" customHeight="1">
      <c r="A20" s="168">
        <f>'LUCERO RECOLETA'!A20</f>
        <v>46154</v>
      </c>
      <c r="B20" s="162"/>
      <c r="C20" s="163">
        <v>2.0</v>
      </c>
      <c r="D20" s="165">
        <f t="shared" si="34"/>
        <v>980</v>
      </c>
      <c r="E20" s="165">
        <f t="shared" si="2"/>
        <v>981</v>
      </c>
      <c r="F20" s="73"/>
      <c r="G20" s="74"/>
      <c r="H20" s="169">
        <v>173528.92</v>
      </c>
      <c r="I20" s="169">
        <v>36441.08</v>
      </c>
      <c r="J20" s="76"/>
      <c r="K20" s="83">
        <f t="shared" si="3"/>
        <v>209970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6"/>
        <v>0</v>
      </c>
      <c r="V20" s="166"/>
      <c r="W20" s="82">
        <f t="shared" si="7"/>
        <v>0</v>
      </c>
      <c r="X20" s="165"/>
      <c r="Y20" s="165"/>
      <c r="Z20" s="79"/>
      <c r="AA20" s="80">
        <f t="shared" si="8"/>
        <v>0</v>
      </c>
      <c r="AB20" s="166"/>
      <c r="AC20" s="81">
        <f t="shared" si="9"/>
        <v>0</v>
      </c>
      <c r="AD20" s="84">
        <f t="shared" si="10"/>
        <v>209970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-209980</v>
      </c>
      <c r="AQ20" s="169">
        <v>30000.0</v>
      </c>
      <c r="AR20" s="96"/>
      <c r="AS20" s="90"/>
      <c r="AT20" s="187">
        <v>179980.0</v>
      </c>
      <c r="AU20" s="75"/>
      <c r="AV20" s="75"/>
      <c r="AW20" s="187">
        <v>0.0</v>
      </c>
      <c r="AX20" s="88"/>
      <c r="AY20" s="75"/>
      <c r="AZ20" s="90">
        <f t="shared" si="16"/>
        <v>0</v>
      </c>
      <c r="BA20" s="75"/>
      <c r="BB20" s="90">
        <f t="shared" si="40"/>
        <v>0</v>
      </c>
      <c r="BC20" s="75"/>
      <c r="BD20" s="90">
        <f t="shared" si="38"/>
        <v>0</v>
      </c>
      <c r="BE20" s="75"/>
      <c r="BF20" s="90">
        <f t="shared" si="36"/>
        <v>0</v>
      </c>
      <c r="BG20" s="75"/>
      <c r="BH20" s="90">
        <f t="shared" si="20"/>
        <v>0</v>
      </c>
      <c r="BI20" s="75"/>
      <c r="BJ20" s="90">
        <f t="shared" si="39"/>
        <v>0</v>
      </c>
      <c r="BK20" s="92">
        <f t="shared" si="35"/>
        <v>209980</v>
      </c>
      <c r="BL20" s="93">
        <f t="shared" si="23"/>
        <v>209970</v>
      </c>
      <c r="BM20" s="94">
        <f t="shared" si="24"/>
        <v>10</v>
      </c>
      <c r="BN20" s="13"/>
      <c r="BO20" s="95">
        <f t="shared" si="25"/>
        <v>0.1428775539</v>
      </c>
      <c r="BP20" s="95">
        <f t="shared" si="26"/>
        <v>0</v>
      </c>
      <c r="BQ20" s="95">
        <f t="shared" si="27"/>
        <v>0.8571700719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1.000047626</v>
      </c>
      <c r="BW20" s="95">
        <f t="shared" si="33"/>
        <v>0.01050793576</v>
      </c>
    </row>
    <row r="21" ht="15.75" customHeight="1">
      <c r="A21" s="168">
        <f>'LUCERO RECOLETA'!A21</f>
        <v>46155</v>
      </c>
      <c r="B21" s="162"/>
      <c r="C21" s="163">
        <v>3.0</v>
      </c>
      <c r="D21" s="165">
        <f t="shared" si="34"/>
        <v>982</v>
      </c>
      <c r="E21" s="165">
        <f t="shared" si="2"/>
        <v>984</v>
      </c>
      <c r="F21" s="73"/>
      <c r="G21" s="74"/>
      <c r="H21" s="75"/>
      <c r="I21" s="75"/>
      <c r="J21" s="76"/>
      <c r="K21" s="83">
        <f t="shared" si="3"/>
        <v>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6"/>
        <v>0</v>
      </c>
      <c r="V21" s="166"/>
      <c r="W21" s="82">
        <f t="shared" si="7"/>
        <v>0</v>
      </c>
      <c r="X21" s="165"/>
      <c r="Y21" s="165"/>
      <c r="Z21" s="79"/>
      <c r="AA21" s="80">
        <f t="shared" si="8"/>
        <v>0</v>
      </c>
      <c r="AB21" s="166"/>
      <c r="AC21" s="81">
        <f t="shared" si="9"/>
        <v>0</v>
      </c>
      <c r="AD21" s="84">
        <f t="shared" si="10"/>
        <v>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0</v>
      </c>
      <c r="AQ21" s="169">
        <v>0.0</v>
      </c>
      <c r="AR21" s="96"/>
      <c r="AS21" s="90"/>
      <c r="AT21" s="187">
        <v>0.0</v>
      </c>
      <c r="AU21" s="75"/>
      <c r="AV21" s="75"/>
      <c r="AW21" s="187">
        <v>0.0</v>
      </c>
      <c r="AX21" s="88"/>
      <c r="AY21" s="75"/>
      <c r="AZ21" s="90">
        <f t="shared" si="16"/>
        <v>0</v>
      </c>
      <c r="BA21" s="75"/>
      <c r="BB21" s="90">
        <f>BA21*1425</f>
        <v>0</v>
      </c>
      <c r="BC21" s="75"/>
      <c r="BD21" s="90">
        <f t="shared" si="38"/>
        <v>0</v>
      </c>
      <c r="BE21" s="75"/>
      <c r="BF21" s="90">
        <f t="shared" si="36"/>
        <v>0</v>
      </c>
      <c r="BG21" s="75"/>
      <c r="BH21" s="90">
        <f t="shared" si="20"/>
        <v>0</v>
      </c>
      <c r="BI21" s="75"/>
      <c r="BJ21" s="90">
        <f t="shared" si="39"/>
        <v>0</v>
      </c>
      <c r="BK21" s="92">
        <f t="shared" si="35"/>
        <v>0</v>
      </c>
      <c r="BL21" s="93">
        <f t="shared" si="23"/>
        <v>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0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0</v>
      </c>
      <c r="BW21" s="95">
        <f t="shared" si="33"/>
        <v>0</v>
      </c>
    </row>
    <row r="22" ht="15.75" customHeight="1">
      <c r="A22" s="168">
        <f>'LUCERO RECOLETA'!A22</f>
        <v>46156</v>
      </c>
      <c r="B22" s="162"/>
      <c r="C22" s="163">
        <v>0.0</v>
      </c>
      <c r="D22" s="165">
        <f t="shared" si="34"/>
        <v>985</v>
      </c>
      <c r="E22" s="165">
        <f t="shared" si="2"/>
        <v>984</v>
      </c>
      <c r="F22" s="73"/>
      <c r="G22" s="74"/>
      <c r="H22" s="169">
        <v>104933.88</v>
      </c>
      <c r="I22" s="169">
        <v>22036.12</v>
      </c>
      <c r="J22" s="76"/>
      <c r="K22" s="83">
        <f t="shared" si="3"/>
        <v>126970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6"/>
        <v>0</v>
      </c>
      <c r="V22" s="166"/>
      <c r="W22" s="82">
        <f t="shared" si="7"/>
        <v>0</v>
      </c>
      <c r="X22" s="165"/>
      <c r="Y22" s="165"/>
      <c r="Z22" s="79"/>
      <c r="AA22" s="80">
        <f t="shared" si="8"/>
        <v>0</v>
      </c>
      <c r="AB22" s="166"/>
      <c r="AC22" s="81">
        <f t="shared" si="9"/>
        <v>0</v>
      </c>
      <c r="AD22" s="84">
        <f t="shared" si="10"/>
        <v>126970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-126970</v>
      </c>
      <c r="AQ22" s="169">
        <v>0.0</v>
      </c>
      <c r="AR22" s="96"/>
      <c r="AS22" s="90"/>
      <c r="AT22" s="187">
        <v>126970.0</v>
      </c>
      <c r="AU22" s="75"/>
      <c r="AV22" s="75"/>
      <c r="AW22" s="187">
        <v>0.0</v>
      </c>
      <c r="AX22" s="88"/>
      <c r="AY22" s="75"/>
      <c r="AZ22" s="90">
        <f t="shared" si="16"/>
        <v>0</v>
      </c>
      <c r="BA22" s="75"/>
      <c r="BB22" s="90">
        <f>BA22*1395</f>
        <v>0</v>
      </c>
      <c r="BC22" s="75"/>
      <c r="BD22" s="90">
        <f t="shared" si="38"/>
        <v>0</v>
      </c>
      <c r="BE22" s="75"/>
      <c r="BF22" s="90">
        <f t="shared" si="36"/>
        <v>0</v>
      </c>
      <c r="BG22" s="75"/>
      <c r="BH22" s="90">
        <f t="shared" si="20"/>
        <v>0</v>
      </c>
      <c r="BI22" s="75"/>
      <c r="BJ22" s="90">
        <f t="shared" si="39"/>
        <v>0</v>
      </c>
      <c r="BK22" s="92">
        <f t="shared" si="35"/>
        <v>126970</v>
      </c>
      <c r="BL22" s="93">
        <f t="shared" si="23"/>
        <v>126970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</v>
      </c>
      <c r="BW22" s="95">
        <f t="shared" si="33"/>
        <v>0.006354205854</v>
      </c>
    </row>
    <row r="23" ht="15.75" customHeight="1">
      <c r="A23" s="168">
        <f>'LUCERO RECOLETA'!A23</f>
        <v>46157</v>
      </c>
      <c r="B23" s="162"/>
      <c r="C23" s="163">
        <v>4.0</v>
      </c>
      <c r="D23" s="165">
        <f t="shared" si="34"/>
        <v>985</v>
      </c>
      <c r="E23" s="165">
        <f t="shared" si="2"/>
        <v>988</v>
      </c>
      <c r="F23" s="73"/>
      <c r="G23" s="74"/>
      <c r="H23" s="169">
        <v>383438.01</v>
      </c>
      <c r="I23" s="169">
        <v>80521.99</v>
      </c>
      <c r="J23" s="76"/>
      <c r="K23" s="83">
        <f t="shared" si="3"/>
        <v>463960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6"/>
        <v>0</v>
      </c>
      <c r="V23" s="166"/>
      <c r="W23" s="82">
        <f t="shared" si="7"/>
        <v>0</v>
      </c>
      <c r="X23" s="165"/>
      <c r="Y23" s="165"/>
      <c r="Z23" s="79"/>
      <c r="AA23" s="80">
        <f t="shared" si="8"/>
        <v>0</v>
      </c>
      <c r="AB23" s="166"/>
      <c r="AC23" s="81">
        <f t="shared" si="9"/>
        <v>0</v>
      </c>
      <c r="AD23" s="84">
        <f t="shared" si="10"/>
        <v>463960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-463960</v>
      </c>
      <c r="AQ23" s="169">
        <v>0.0</v>
      </c>
      <c r="AR23" s="96"/>
      <c r="AS23" s="90"/>
      <c r="AT23" s="187">
        <v>393970.0</v>
      </c>
      <c r="AU23" s="75"/>
      <c r="AV23" s="75"/>
      <c r="AW23" s="187">
        <v>69990.0</v>
      </c>
      <c r="AX23" s="88"/>
      <c r="AY23" s="75"/>
      <c r="AZ23" s="90">
        <f t="shared" si="16"/>
        <v>0</v>
      </c>
      <c r="BA23" s="75"/>
      <c r="BB23" s="90">
        <f t="shared" ref="BB23:BB25" si="41">BA23*BB$2</f>
        <v>0</v>
      </c>
      <c r="BC23" s="75"/>
      <c r="BD23" s="90">
        <f t="shared" si="38"/>
        <v>0</v>
      </c>
      <c r="BE23" s="75"/>
      <c r="BF23" s="90">
        <f t="shared" si="36"/>
        <v>0</v>
      </c>
      <c r="BG23" s="75"/>
      <c r="BH23" s="90">
        <f t="shared" si="20"/>
        <v>0</v>
      </c>
      <c r="BI23" s="75"/>
      <c r="BJ23" s="90">
        <f t="shared" si="39"/>
        <v>0</v>
      </c>
      <c r="BK23" s="92">
        <f t="shared" si="35"/>
        <v>463960</v>
      </c>
      <c r="BL23" s="93">
        <f t="shared" si="23"/>
        <v>463960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0.8491464781</v>
      </c>
      <c r="BR23" s="95">
        <f t="shared" si="28"/>
        <v>0.1508535219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0.02321884971</v>
      </c>
    </row>
    <row r="24" ht="15.75" customHeight="1">
      <c r="A24" s="168">
        <f>'LUCERO RECOLETA'!A24</f>
        <v>46158</v>
      </c>
      <c r="B24" s="162"/>
      <c r="C24" s="163">
        <v>8.0</v>
      </c>
      <c r="D24" s="165">
        <f t="shared" si="34"/>
        <v>989</v>
      </c>
      <c r="E24" s="165">
        <f t="shared" si="2"/>
        <v>996</v>
      </c>
      <c r="F24" s="73"/>
      <c r="G24" s="74"/>
      <c r="H24" s="169">
        <v>826347.11</v>
      </c>
      <c r="I24" s="169">
        <v>173532.89</v>
      </c>
      <c r="J24" s="76"/>
      <c r="K24" s="83">
        <f t="shared" si="3"/>
        <v>999880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6"/>
        <v>0</v>
      </c>
      <c r="V24" s="166"/>
      <c r="W24" s="82">
        <f t="shared" si="7"/>
        <v>0</v>
      </c>
      <c r="X24" s="165"/>
      <c r="Y24" s="165"/>
      <c r="Z24" s="79"/>
      <c r="AA24" s="80">
        <f t="shared" si="8"/>
        <v>0</v>
      </c>
      <c r="AB24" s="166"/>
      <c r="AC24" s="81">
        <f t="shared" si="9"/>
        <v>0</v>
      </c>
      <c r="AD24" s="84">
        <f t="shared" si="10"/>
        <v>999880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-999880</v>
      </c>
      <c r="AQ24" s="169">
        <v>0.0</v>
      </c>
      <c r="AR24" s="96"/>
      <c r="AS24" s="90"/>
      <c r="AT24" s="187">
        <v>974890.0</v>
      </c>
      <c r="AU24" s="75"/>
      <c r="AV24" s="75"/>
      <c r="AW24" s="187">
        <v>24990.0</v>
      </c>
      <c r="AX24" s="88"/>
      <c r="AY24" s="75"/>
      <c r="AZ24" s="90">
        <f t="shared" si="16"/>
        <v>0</v>
      </c>
      <c r="BA24" s="75"/>
      <c r="BB24" s="90">
        <f t="shared" si="41"/>
        <v>0</v>
      </c>
      <c r="BC24" s="75"/>
      <c r="BD24" s="90">
        <f t="shared" si="38"/>
        <v>0</v>
      </c>
      <c r="BE24" s="75"/>
      <c r="BF24" s="90">
        <f t="shared" si="36"/>
        <v>0</v>
      </c>
      <c r="BG24" s="75"/>
      <c r="BH24" s="90">
        <f t="shared" si="20"/>
        <v>0</v>
      </c>
      <c r="BI24" s="75"/>
      <c r="BJ24" s="90">
        <f t="shared" si="39"/>
        <v>0</v>
      </c>
      <c r="BK24" s="92">
        <f t="shared" si="35"/>
        <v>999880</v>
      </c>
      <c r="BL24" s="93">
        <f t="shared" si="23"/>
        <v>999880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0.9750070008</v>
      </c>
      <c r="BR24" s="95">
        <f t="shared" si="28"/>
        <v>0.02499299916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</v>
      </c>
      <c r="BW24" s="95">
        <f t="shared" si="33"/>
        <v>0.05003893321</v>
      </c>
    </row>
    <row r="25" ht="15.75" customHeight="1">
      <c r="A25" s="168">
        <f>'LUCERO RECOLETA'!A25</f>
        <v>46159</v>
      </c>
      <c r="B25" s="162"/>
      <c r="C25" s="163">
        <v>16.0</v>
      </c>
      <c r="D25" s="165">
        <f t="shared" si="34"/>
        <v>997</v>
      </c>
      <c r="E25" s="165">
        <f t="shared" si="2"/>
        <v>1012</v>
      </c>
      <c r="F25" s="73"/>
      <c r="G25" s="74"/>
      <c r="H25" s="169">
        <v>1143619.83</v>
      </c>
      <c r="I25" s="169">
        <v>240160.17</v>
      </c>
      <c r="J25" s="76"/>
      <c r="K25" s="83">
        <f t="shared" si="3"/>
        <v>1383780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6"/>
        <v>0</v>
      </c>
      <c r="V25" s="166"/>
      <c r="W25" s="82">
        <f t="shared" si="7"/>
        <v>0</v>
      </c>
      <c r="X25" s="165"/>
      <c r="Y25" s="165"/>
      <c r="Z25" s="79"/>
      <c r="AA25" s="80">
        <f t="shared" si="8"/>
        <v>0</v>
      </c>
      <c r="AB25" s="166"/>
      <c r="AC25" s="81">
        <f t="shared" si="9"/>
        <v>0</v>
      </c>
      <c r="AD25" s="84">
        <f t="shared" si="10"/>
        <v>1383780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-1378810</v>
      </c>
      <c r="AQ25" s="169">
        <v>92000.0</v>
      </c>
      <c r="AR25" s="97"/>
      <c r="AS25" s="90"/>
      <c r="AT25" s="187">
        <v>1286810.0</v>
      </c>
      <c r="AU25" s="75"/>
      <c r="AV25" s="75"/>
      <c r="AW25" s="187">
        <v>0.0</v>
      </c>
      <c r="AX25" s="88"/>
      <c r="AY25" s="75"/>
      <c r="AZ25" s="90">
        <f t="shared" si="16"/>
        <v>0</v>
      </c>
      <c r="BA25" s="75"/>
      <c r="BB25" s="90">
        <f t="shared" si="41"/>
        <v>0</v>
      </c>
      <c r="BC25" s="75"/>
      <c r="BD25" s="90">
        <f t="shared" si="38"/>
        <v>0</v>
      </c>
      <c r="BE25" s="75"/>
      <c r="BF25" s="90">
        <f t="shared" si="36"/>
        <v>0</v>
      </c>
      <c r="BG25" s="75"/>
      <c r="BH25" s="90">
        <f t="shared" si="20"/>
        <v>0</v>
      </c>
      <c r="BI25" s="75"/>
      <c r="BJ25" s="90">
        <f t="shared" si="39"/>
        <v>0</v>
      </c>
      <c r="BK25" s="92">
        <f t="shared" si="35"/>
        <v>1378810</v>
      </c>
      <c r="BL25" s="93">
        <f t="shared" si="23"/>
        <v>1383780</v>
      </c>
      <c r="BM25" s="94">
        <f t="shared" si="24"/>
        <v>-4970</v>
      </c>
      <c r="BN25" s="13"/>
      <c r="BO25" s="95">
        <f t="shared" si="25"/>
        <v>0.06648455679</v>
      </c>
      <c r="BP25" s="95">
        <f t="shared" si="26"/>
        <v>0</v>
      </c>
      <c r="BQ25" s="95">
        <f t="shared" si="27"/>
        <v>0.9299238318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0.9964083886</v>
      </c>
      <c r="BW25" s="95">
        <f t="shared" si="33"/>
        <v>0.06925118514</v>
      </c>
    </row>
    <row r="26" ht="15.75" customHeight="1">
      <c r="A26" s="168">
        <f>'LUCERO RECOLETA'!A26</f>
        <v>46160</v>
      </c>
      <c r="B26" s="162"/>
      <c r="C26" s="163">
        <v>6.0</v>
      </c>
      <c r="D26" s="165">
        <f t="shared" si="34"/>
        <v>1013</v>
      </c>
      <c r="E26" s="165">
        <f t="shared" si="2"/>
        <v>1018</v>
      </c>
      <c r="F26" s="73"/>
      <c r="G26" s="74"/>
      <c r="H26" s="169">
        <v>895727.28</v>
      </c>
      <c r="I26" s="169">
        <v>188102.72</v>
      </c>
      <c r="J26" s="76"/>
      <c r="K26" s="83">
        <f t="shared" si="3"/>
        <v>1083830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6"/>
        <v>0</v>
      </c>
      <c r="V26" s="166"/>
      <c r="W26" s="82">
        <f t="shared" si="7"/>
        <v>0</v>
      </c>
      <c r="X26" s="165"/>
      <c r="Y26" s="165"/>
      <c r="Z26" s="79"/>
      <c r="AA26" s="80">
        <f t="shared" si="8"/>
        <v>0</v>
      </c>
      <c r="AB26" s="166"/>
      <c r="AC26" s="81">
        <f t="shared" si="9"/>
        <v>0</v>
      </c>
      <c r="AD26" s="84">
        <f t="shared" si="10"/>
        <v>1083830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-1083830</v>
      </c>
      <c r="AQ26" s="169">
        <v>0.0</v>
      </c>
      <c r="AR26" s="96"/>
      <c r="AS26" s="90"/>
      <c r="AT26" s="187">
        <v>1083830.0</v>
      </c>
      <c r="AU26" s="75"/>
      <c r="AV26" s="75"/>
      <c r="AW26" s="187">
        <v>0.0</v>
      </c>
      <c r="AX26" s="88"/>
      <c r="AY26" s="75"/>
      <c r="AZ26" s="90">
        <f t="shared" si="16"/>
        <v>0</v>
      </c>
      <c r="BA26" s="75"/>
      <c r="BB26" s="90">
        <f>BA26*1415</f>
        <v>0</v>
      </c>
      <c r="BC26" s="75"/>
      <c r="BD26" s="90">
        <f t="shared" si="38"/>
        <v>0</v>
      </c>
      <c r="BE26" s="75"/>
      <c r="BF26" s="90">
        <f t="shared" si="36"/>
        <v>0</v>
      </c>
      <c r="BG26" s="75"/>
      <c r="BH26" s="90">
        <f t="shared" si="20"/>
        <v>0</v>
      </c>
      <c r="BI26" s="75"/>
      <c r="BJ26" s="90">
        <f t="shared" si="39"/>
        <v>0</v>
      </c>
      <c r="BK26" s="92">
        <f t="shared" si="35"/>
        <v>1083830</v>
      </c>
      <c r="BL26" s="93">
        <f t="shared" si="23"/>
        <v>1083830</v>
      </c>
      <c r="BM26" s="94">
        <f t="shared" si="24"/>
        <v>0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1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1</v>
      </c>
      <c r="BW26" s="95">
        <f t="shared" si="33"/>
        <v>0.05424020581</v>
      </c>
    </row>
    <row r="27" ht="15.75" customHeight="1">
      <c r="A27" s="168">
        <f>'LUCERO RECOLETA'!A27</f>
        <v>46161</v>
      </c>
      <c r="B27" s="162"/>
      <c r="C27" s="163">
        <v>6.0</v>
      </c>
      <c r="D27" s="165">
        <f t="shared" si="34"/>
        <v>1019</v>
      </c>
      <c r="E27" s="165">
        <f t="shared" si="2"/>
        <v>1024</v>
      </c>
      <c r="F27" s="73"/>
      <c r="G27" s="74"/>
      <c r="H27" s="169">
        <v>799479.33</v>
      </c>
      <c r="I27" s="169">
        <v>167890.67</v>
      </c>
      <c r="J27" s="76"/>
      <c r="K27" s="83">
        <f t="shared" si="3"/>
        <v>967370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6"/>
        <v>0</v>
      </c>
      <c r="V27" s="166"/>
      <c r="W27" s="82">
        <f t="shared" si="7"/>
        <v>0</v>
      </c>
      <c r="X27" s="165"/>
      <c r="Y27" s="165"/>
      <c r="Z27" s="79"/>
      <c r="AA27" s="80">
        <f t="shared" si="8"/>
        <v>0</v>
      </c>
      <c r="AB27" s="166"/>
      <c r="AC27" s="81">
        <f t="shared" si="9"/>
        <v>0</v>
      </c>
      <c r="AD27" s="84">
        <f t="shared" si="10"/>
        <v>967370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-979180</v>
      </c>
      <c r="AQ27" s="169">
        <v>0.0</v>
      </c>
      <c r="AR27" s="96"/>
      <c r="AS27" s="90"/>
      <c r="AT27" s="187">
        <v>922380.0</v>
      </c>
      <c r="AU27" s="75"/>
      <c r="AV27" s="75"/>
      <c r="AW27" s="187">
        <v>0.0</v>
      </c>
      <c r="AX27" s="88"/>
      <c r="AY27" s="75"/>
      <c r="AZ27" s="90">
        <f t="shared" si="16"/>
        <v>0</v>
      </c>
      <c r="BA27" s="169">
        <v>40.0</v>
      </c>
      <c r="BB27" s="90">
        <f>BA27*1420</f>
        <v>56800</v>
      </c>
      <c r="BC27" s="75"/>
      <c r="BD27" s="90">
        <f t="shared" si="38"/>
        <v>0</v>
      </c>
      <c r="BE27" s="75"/>
      <c r="BF27" s="90">
        <f t="shared" si="36"/>
        <v>0</v>
      </c>
      <c r="BG27" s="75"/>
      <c r="BH27" s="90">
        <f t="shared" si="20"/>
        <v>0</v>
      </c>
      <c r="BI27" s="75"/>
      <c r="BJ27" s="90">
        <f t="shared" si="39"/>
        <v>0</v>
      </c>
      <c r="BK27" s="92">
        <f t="shared" si="35"/>
        <v>979180</v>
      </c>
      <c r="BL27" s="93">
        <f t="shared" si="23"/>
        <v>967370</v>
      </c>
      <c r="BM27" s="94">
        <f t="shared" si="24"/>
        <v>11810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0.9534924589</v>
      </c>
      <c r="BR27" s="95">
        <f t="shared" si="28"/>
        <v>0</v>
      </c>
      <c r="BS27" s="95">
        <f t="shared" si="29"/>
        <v>0</v>
      </c>
      <c r="BT27" s="95">
        <f t="shared" si="30"/>
        <v>0.05871589981</v>
      </c>
      <c r="BU27" s="95">
        <f t="shared" si="31"/>
        <v>0</v>
      </c>
      <c r="BV27" s="95">
        <f t="shared" si="32"/>
        <v>1.012208359</v>
      </c>
      <c r="BW27" s="95">
        <f t="shared" si="33"/>
        <v>0.04841197226</v>
      </c>
    </row>
    <row r="28" ht="15.75" customHeight="1">
      <c r="A28" s="168">
        <f>'LUCERO RECOLETA'!A28</f>
        <v>46162</v>
      </c>
      <c r="B28" s="162"/>
      <c r="C28" s="163">
        <v>2.0</v>
      </c>
      <c r="D28" s="165">
        <f t="shared" si="34"/>
        <v>1025</v>
      </c>
      <c r="E28" s="165">
        <f t="shared" si="2"/>
        <v>1026</v>
      </c>
      <c r="F28" s="73"/>
      <c r="G28" s="74"/>
      <c r="H28" s="169">
        <v>272710.74</v>
      </c>
      <c r="I28" s="169">
        <v>57269.26</v>
      </c>
      <c r="J28" s="76"/>
      <c r="K28" s="83">
        <f t="shared" si="3"/>
        <v>329980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6"/>
        <v>0</v>
      </c>
      <c r="V28" s="166"/>
      <c r="W28" s="82">
        <f t="shared" si="7"/>
        <v>0</v>
      </c>
      <c r="X28" s="165"/>
      <c r="Y28" s="165"/>
      <c r="Z28" s="79"/>
      <c r="AA28" s="80">
        <f t="shared" si="8"/>
        <v>0</v>
      </c>
      <c r="AB28" s="166"/>
      <c r="AC28" s="81">
        <f t="shared" si="9"/>
        <v>0</v>
      </c>
      <c r="AD28" s="84">
        <f t="shared" si="10"/>
        <v>329980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-329980</v>
      </c>
      <c r="AQ28" s="169">
        <v>0.0</v>
      </c>
      <c r="AR28" s="99"/>
      <c r="AS28" s="90"/>
      <c r="AT28" s="187">
        <v>329980.0</v>
      </c>
      <c r="AU28" s="75"/>
      <c r="AV28" s="75"/>
      <c r="AW28" s="187">
        <v>0.0</v>
      </c>
      <c r="AX28" s="88"/>
      <c r="AY28" s="75"/>
      <c r="AZ28" s="90">
        <f t="shared" si="16"/>
        <v>0</v>
      </c>
      <c r="BA28" s="75"/>
      <c r="BB28" s="90">
        <f t="shared" ref="BB28:BB29" si="42">BA28*BB$2</f>
        <v>0</v>
      </c>
      <c r="BC28" s="75"/>
      <c r="BD28" s="90">
        <f t="shared" si="38"/>
        <v>0</v>
      </c>
      <c r="BE28" s="75"/>
      <c r="BF28" s="90">
        <f t="shared" si="36"/>
        <v>0</v>
      </c>
      <c r="BG28" s="75"/>
      <c r="BH28" s="90">
        <f t="shared" si="20"/>
        <v>0</v>
      </c>
      <c r="BI28" s="75"/>
      <c r="BJ28" s="90">
        <f t="shared" si="39"/>
        <v>0</v>
      </c>
      <c r="BK28" s="92">
        <f t="shared" si="35"/>
        <v>329980</v>
      </c>
      <c r="BL28" s="93">
        <f t="shared" si="23"/>
        <v>329980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1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0.01651382884</v>
      </c>
    </row>
    <row r="29" ht="15.75" customHeight="1">
      <c r="A29" s="168">
        <f>'LUCERO RECOLETA'!A29</f>
        <v>46163</v>
      </c>
      <c r="B29" s="162"/>
      <c r="C29" s="163">
        <v>3.0</v>
      </c>
      <c r="D29" s="165">
        <f t="shared" si="34"/>
        <v>1027</v>
      </c>
      <c r="E29" s="165">
        <f t="shared" si="2"/>
        <v>1029</v>
      </c>
      <c r="F29" s="73"/>
      <c r="G29" s="74"/>
      <c r="H29" s="169">
        <v>736272.73</v>
      </c>
      <c r="I29" s="169">
        <v>154617.27</v>
      </c>
      <c r="J29" s="76"/>
      <c r="K29" s="83">
        <f t="shared" si="3"/>
        <v>890890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6"/>
        <v>0</v>
      </c>
      <c r="V29" s="166"/>
      <c r="W29" s="82">
        <f t="shared" si="7"/>
        <v>0</v>
      </c>
      <c r="X29" s="165"/>
      <c r="Y29" s="165"/>
      <c r="Z29" s="79"/>
      <c r="AA29" s="80">
        <f t="shared" si="8"/>
        <v>0</v>
      </c>
      <c r="AB29" s="166"/>
      <c r="AC29" s="81">
        <f t="shared" si="9"/>
        <v>0</v>
      </c>
      <c r="AD29" s="84">
        <f t="shared" si="10"/>
        <v>890890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-880900</v>
      </c>
      <c r="AQ29" s="75">
        <f>160000+20000</f>
        <v>180000</v>
      </c>
      <c r="AR29" s="99"/>
      <c r="AS29" s="90"/>
      <c r="AT29" s="187">
        <v>685910.0</v>
      </c>
      <c r="AU29" s="75"/>
      <c r="AV29" s="75"/>
      <c r="AW29" s="187">
        <v>14990.0</v>
      </c>
      <c r="AX29" s="88"/>
      <c r="AY29" s="75"/>
      <c r="AZ29" s="90">
        <f t="shared" si="16"/>
        <v>0</v>
      </c>
      <c r="BA29" s="75"/>
      <c r="BB29" s="90">
        <f t="shared" si="42"/>
        <v>0</v>
      </c>
      <c r="BC29" s="75"/>
      <c r="BD29" s="90">
        <f t="shared" si="38"/>
        <v>0</v>
      </c>
      <c r="BE29" s="75"/>
      <c r="BF29" s="90">
        <f t="shared" si="36"/>
        <v>0</v>
      </c>
      <c r="BG29" s="75"/>
      <c r="BH29" s="90">
        <f t="shared" si="20"/>
        <v>0</v>
      </c>
      <c r="BI29" s="75"/>
      <c r="BJ29" s="90">
        <f t="shared" si="39"/>
        <v>0</v>
      </c>
      <c r="BK29" s="92">
        <f t="shared" si="35"/>
        <v>880900</v>
      </c>
      <c r="BL29" s="93">
        <f t="shared" si="23"/>
        <v>890890</v>
      </c>
      <c r="BM29" s="94">
        <f t="shared" si="24"/>
        <v>-9990</v>
      </c>
      <c r="BN29" s="149"/>
      <c r="BO29" s="95">
        <f t="shared" si="25"/>
        <v>0.2020451459</v>
      </c>
      <c r="BP29" s="95">
        <f t="shared" si="26"/>
        <v>0</v>
      </c>
      <c r="BQ29" s="95">
        <f t="shared" si="27"/>
        <v>0.7699154778</v>
      </c>
      <c r="BR29" s="95">
        <f t="shared" si="28"/>
        <v>0.01682587076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0.9887864944</v>
      </c>
      <c r="BW29" s="95">
        <f t="shared" si="33"/>
        <v>0.04458453535</v>
      </c>
    </row>
    <row r="30" ht="15.75" customHeight="1">
      <c r="A30" s="168">
        <f>'LUCERO RECOLETA'!A30</f>
        <v>46164</v>
      </c>
      <c r="B30" s="162"/>
      <c r="C30" s="163">
        <v>0.0</v>
      </c>
      <c r="D30" s="165">
        <f t="shared" si="34"/>
        <v>1030</v>
      </c>
      <c r="E30" s="165">
        <f t="shared" si="2"/>
        <v>1029</v>
      </c>
      <c r="F30" s="73"/>
      <c r="G30" s="74"/>
      <c r="H30" s="169"/>
      <c r="I30" s="169"/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6"/>
        <v>0</v>
      </c>
      <c r="V30" s="166"/>
      <c r="W30" s="82">
        <f t="shared" si="7"/>
        <v>0</v>
      </c>
      <c r="X30" s="165"/>
      <c r="Y30" s="165"/>
      <c r="Z30" s="79"/>
      <c r="AA30" s="80">
        <f t="shared" si="8"/>
        <v>0</v>
      </c>
      <c r="AB30" s="166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169">
        <v>0.0</v>
      </c>
      <c r="AR30" s="99"/>
      <c r="AS30" s="90"/>
      <c r="AT30" s="187">
        <v>0.0</v>
      </c>
      <c r="AU30" s="75"/>
      <c r="AV30" s="75"/>
      <c r="AW30" s="187">
        <v>0.0</v>
      </c>
      <c r="AX30" s="88"/>
      <c r="AY30" s="75"/>
      <c r="AZ30" s="90">
        <f t="shared" si="16"/>
        <v>0</v>
      </c>
      <c r="BA30" s="75"/>
      <c r="BB30" s="90">
        <f>BA30*1415</f>
        <v>0</v>
      </c>
      <c r="BC30" s="75"/>
      <c r="BD30" s="90">
        <f t="shared" si="38"/>
        <v>0</v>
      </c>
      <c r="BE30" s="75"/>
      <c r="BF30" s="90">
        <f t="shared" si="36"/>
        <v>0</v>
      </c>
      <c r="BG30" s="75"/>
      <c r="BH30" s="90">
        <f t="shared" si="20"/>
        <v>0</v>
      </c>
      <c r="BI30" s="75"/>
      <c r="BJ30" s="90">
        <f t="shared" si="39"/>
        <v>0</v>
      </c>
      <c r="BK30" s="92">
        <f t="shared" si="35"/>
        <v>0</v>
      </c>
      <c r="BL30" s="93">
        <f t="shared" si="23"/>
        <v>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0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</v>
      </c>
      <c r="BW30" s="95">
        <f t="shared" si="33"/>
        <v>0</v>
      </c>
    </row>
    <row r="31" ht="15.75" customHeight="1">
      <c r="A31" s="168">
        <f>'LUCERO RECOLETA'!A31</f>
        <v>46165</v>
      </c>
      <c r="B31" s="162"/>
      <c r="C31" s="163">
        <v>10.0</v>
      </c>
      <c r="D31" s="165">
        <f t="shared" si="34"/>
        <v>1030</v>
      </c>
      <c r="E31" s="165">
        <f t="shared" si="2"/>
        <v>1039</v>
      </c>
      <c r="F31" s="73"/>
      <c r="G31" s="74"/>
      <c r="H31" s="169">
        <v>1106497.43</v>
      </c>
      <c r="I31" s="169">
        <v>232364.47</v>
      </c>
      <c r="J31" s="76"/>
      <c r="K31" s="83">
        <f t="shared" si="3"/>
        <v>1338861.9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6"/>
        <v>0</v>
      </c>
      <c r="V31" s="166"/>
      <c r="W31" s="82">
        <f t="shared" si="7"/>
        <v>0</v>
      </c>
      <c r="X31" s="165"/>
      <c r="Y31" s="165"/>
      <c r="Z31" s="79"/>
      <c r="AA31" s="80">
        <f t="shared" si="8"/>
        <v>0</v>
      </c>
      <c r="AB31" s="166"/>
      <c r="AC31" s="81">
        <f t="shared" si="9"/>
        <v>0</v>
      </c>
      <c r="AD31" s="84">
        <f t="shared" si="10"/>
        <v>1338861.9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-1338270</v>
      </c>
      <c r="AQ31" s="169">
        <v>0.0</v>
      </c>
      <c r="AR31" s="96"/>
      <c r="AS31" s="90"/>
      <c r="AT31" s="187">
        <v>1238870.0</v>
      </c>
      <c r="AU31" s="75"/>
      <c r="AV31" s="75"/>
      <c r="AW31" s="187">
        <v>0.0</v>
      </c>
      <c r="AX31" s="88"/>
      <c r="AY31" s="75"/>
      <c r="AZ31" s="90">
        <f t="shared" si="16"/>
        <v>0</v>
      </c>
      <c r="BA31" s="169">
        <v>70.0</v>
      </c>
      <c r="BB31" s="90">
        <f t="shared" ref="BB31:BB32" si="43">BA31*1420</f>
        <v>99400</v>
      </c>
      <c r="BC31" s="75"/>
      <c r="BD31" s="90">
        <f t="shared" si="38"/>
        <v>0</v>
      </c>
      <c r="BE31" s="75"/>
      <c r="BF31" s="90">
        <f t="shared" si="36"/>
        <v>0</v>
      </c>
      <c r="BG31" s="75"/>
      <c r="BH31" s="90">
        <f t="shared" si="20"/>
        <v>0</v>
      </c>
      <c r="BI31" s="75"/>
      <c r="BJ31" s="90">
        <f t="shared" si="39"/>
        <v>0</v>
      </c>
      <c r="BK31" s="92">
        <f t="shared" si="35"/>
        <v>1338270</v>
      </c>
      <c r="BL31" s="93">
        <f t="shared" si="23"/>
        <v>1338861.9</v>
      </c>
      <c r="BM31" s="94">
        <f t="shared" si="24"/>
        <v>-591.9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0.9253157477</v>
      </c>
      <c r="BR31" s="95">
        <f t="shared" si="28"/>
        <v>0</v>
      </c>
      <c r="BS31" s="95">
        <f t="shared" si="29"/>
        <v>0</v>
      </c>
      <c r="BT31" s="95">
        <f t="shared" si="30"/>
        <v>0.07424216045</v>
      </c>
      <c r="BU31" s="95">
        <f t="shared" si="31"/>
        <v>0</v>
      </c>
      <c r="BV31" s="95">
        <f t="shared" si="32"/>
        <v>0.9995579081</v>
      </c>
      <c r="BW31" s="95">
        <f t="shared" si="33"/>
        <v>0.06700326158</v>
      </c>
    </row>
    <row r="32" ht="15.75" customHeight="1">
      <c r="A32" s="168">
        <f>'LUCERO RECOLETA'!A32</f>
        <v>46166</v>
      </c>
      <c r="B32" s="162"/>
      <c r="C32" s="163">
        <v>21.0</v>
      </c>
      <c r="D32" s="165">
        <f t="shared" si="34"/>
        <v>1040</v>
      </c>
      <c r="E32" s="165">
        <f t="shared" si="2"/>
        <v>1060</v>
      </c>
      <c r="F32" s="73"/>
      <c r="G32" s="74"/>
      <c r="H32" s="169">
        <v>1338198.34</v>
      </c>
      <c r="I32" s="169">
        <v>281021.66</v>
      </c>
      <c r="J32" s="76"/>
      <c r="K32" s="83">
        <f t="shared" si="3"/>
        <v>1619220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6"/>
        <v>0</v>
      </c>
      <c r="V32" s="166"/>
      <c r="W32" s="82">
        <f t="shared" si="7"/>
        <v>0</v>
      </c>
      <c r="X32" s="165"/>
      <c r="Y32" s="165"/>
      <c r="Z32" s="79"/>
      <c r="AA32" s="80">
        <f t="shared" si="8"/>
        <v>0</v>
      </c>
      <c r="AB32" s="166"/>
      <c r="AC32" s="81">
        <f t="shared" si="9"/>
        <v>0</v>
      </c>
      <c r="AD32" s="84">
        <f t="shared" si="10"/>
        <v>1619220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-1616000</v>
      </c>
      <c r="AQ32" s="75">
        <f>100000+20000</f>
        <v>120000</v>
      </c>
      <c r="AR32" s="96"/>
      <c r="AS32" s="90"/>
      <c r="AT32" s="187">
        <v>1251810.0</v>
      </c>
      <c r="AU32" s="75"/>
      <c r="AV32" s="75"/>
      <c r="AW32" s="187">
        <v>16990.0</v>
      </c>
      <c r="AX32" s="88"/>
      <c r="AY32" s="75"/>
      <c r="AZ32" s="90">
        <f t="shared" si="16"/>
        <v>0</v>
      </c>
      <c r="BA32" s="169">
        <v>160.0</v>
      </c>
      <c r="BB32" s="90">
        <f t="shared" si="43"/>
        <v>227200</v>
      </c>
      <c r="BC32" s="75"/>
      <c r="BD32" s="90">
        <f t="shared" si="38"/>
        <v>0</v>
      </c>
      <c r="BE32" s="75"/>
      <c r="BF32" s="90">
        <f>BE32*1400</f>
        <v>0</v>
      </c>
      <c r="BG32" s="75"/>
      <c r="BH32" s="90">
        <f t="shared" si="20"/>
        <v>0</v>
      </c>
      <c r="BI32" s="75"/>
      <c r="BJ32" s="90">
        <f t="shared" si="39"/>
        <v>0</v>
      </c>
      <c r="BK32" s="92">
        <f t="shared" si="35"/>
        <v>1616000</v>
      </c>
      <c r="BL32" s="93">
        <f t="shared" si="23"/>
        <v>1619220</v>
      </c>
      <c r="BM32" s="94">
        <f t="shared" si="24"/>
        <v>-3220</v>
      </c>
      <c r="BN32" s="13"/>
      <c r="BO32" s="95">
        <f t="shared" si="25"/>
        <v>0.07410975655</v>
      </c>
      <c r="BP32" s="95">
        <f t="shared" si="26"/>
        <v>0</v>
      </c>
      <c r="BQ32" s="95">
        <f t="shared" si="27"/>
        <v>0.7730944529</v>
      </c>
      <c r="BR32" s="95">
        <f t="shared" si="28"/>
        <v>0.01049270636</v>
      </c>
      <c r="BS32" s="95">
        <f t="shared" si="29"/>
        <v>0</v>
      </c>
      <c r="BT32" s="95">
        <f t="shared" si="30"/>
        <v>0.1403144724</v>
      </c>
      <c r="BU32" s="95">
        <f t="shared" si="31"/>
        <v>0</v>
      </c>
      <c r="BV32" s="95">
        <f t="shared" si="32"/>
        <v>0.9980113882</v>
      </c>
      <c r="BW32" s="95">
        <f t="shared" si="33"/>
        <v>0.08103376549</v>
      </c>
    </row>
    <row r="33" ht="15.75" customHeight="1">
      <c r="A33" s="168">
        <f>'LUCERO RECOLETA'!A33</f>
        <v>46167</v>
      </c>
      <c r="B33" s="162"/>
      <c r="C33" s="163">
        <v>12.0</v>
      </c>
      <c r="D33" s="165">
        <f t="shared" si="34"/>
        <v>1061</v>
      </c>
      <c r="E33" s="165">
        <f t="shared" si="2"/>
        <v>1072</v>
      </c>
      <c r="F33" s="73"/>
      <c r="G33" s="74"/>
      <c r="H33" s="169">
        <v>921390.0</v>
      </c>
      <c r="I33" s="169">
        <v>193491.9</v>
      </c>
      <c r="J33" s="76"/>
      <c r="K33" s="83">
        <f t="shared" si="3"/>
        <v>1114881.9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6"/>
        <v>0</v>
      </c>
      <c r="V33" s="166"/>
      <c r="W33" s="82">
        <f t="shared" si="7"/>
        <v>0</v>
      </c>
      <c r="X33" s="165"/>
      <c r="Y33" s="165"/>
      <c r="Z33" s="79"/>
      <c r="AA33" s="80">
        <f t="shared" si="8"/>
        <v>0</v>
      </c>
      <c r="AB33" s="166"/>
      <c r="AC33" s="81">
        <f t="shared" si="9"/>
        <v>0</v>
      </c>
      <c r="AD33" s="84">
        <f t="shared" si="10"/>
        <v>1114881.9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-1121900</v>
      </c>
      <c r="AQ33" s="169">
        <v>40000.0</v>
      </c>
      <c r="AR33" s="96"/>
      <c r="AS33" s="90"/>
      <c r="AT33" s="187">
        <v>1066910.0</v>
      </c>
      <c r="AU33" s="75"/>
      <c r="AV33" s="75"/>
      <c r="AW33" s="187">
        <v>14990.0</v>
      </c>
      <c r="AX33" s="88"/>
      <c r="AY33" s="75"/>
      <c r="AZ33" s="90">
        <f t="shared" si="16"/>
        <v>0</v>
      </c>
      <c r="BA33" s="75"/>
      <c r="BB33" s="90">
        <f>BA33*1410</f>
        <v>0</v>
      </c>
      <c r="BC33" s="75"/>
      <c r="BD33" s="90">
        <f t="shared" si="38"/>
        <v>0</v>
      </c>
      <c r="BE33" s="75"/>
      <c r="BF33" s="90">
        <f>BE33*1420</f>
        <v>0</v>
      </c>
      <c r="BG33" s="75"/>
      <c r="BH33" s="90">
        <f t="shared" si="20"/>
        <v>0</v>
      </c>
      <c r="BI33" s="75"/>
      <c r="BJ33" s="90">
        <f t="shared" si="39"/>
        <v>0</v>
      </c>
      <c r="BK33" s="92">
        <f t="shared" si="35"/>
        <v>1121900</v>
      </c>
      <c r="BL33" s="93">
        <f t="shared" si="23"/>
        <v>1114881.9</v>
      </c>
      <c r="BM33" s="94">
        <f t="shared" si="24"/>
        <v>7018.1</v>
      </c>
      <c r="BN33" s="13"/>
      <c r="BO33" s="95">
        <f t="shared" si="25"/>
        <v>0.03587823966</v>
      </c>
      <c r="BP33" s="95">
        <f t="shared" si="26"/>
        <v>0</v>
      </c>
      <c r="BQ33" s="95">
        <f t="shared" si="27"/>
        <v>0.9569713169</v>
      </c>
      <c r="BR33" s="95">
        <f t="shared" si="28"/>
        <v>0.01344537031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1.006294927</v>
      </c>
      <c r="BW33" s="95">
        <f t="shared" si="33"/>
        <v>0.05579419624</v>
      </c>
    </row>
    <row r="34" ht="15.75" customHeight="1">
      <c r="A34" s="168">
        <f>'LUCERO RECOLETA'!A34</f>
        <v>46168</v>
      </c>
      <c r="B34" s="162"/>
      <c r="C34" s="176">
        <v>5.0</v>
      </c>
      <c r="D34" s="165">
        <f t="shared" si="34"/>
        <v>1073</v>
      </c>
      <c r="E34" s="165">
        <f t="shared" si="2"/>
        <v>1077</v>
      </c>
      <c r="F34" s="73"/>
      <c r="G34" s="74"/>
      <c r="H34" s="169">
        <v>542900.82</v>
      </c>
      <c r="I34" s="169">
        <v>114009.18</v>
      </c>
      <c r="J34" s="76"/>
      <c r="K34" s="83">
        <f t="shared" si="3"/>
        <v>656910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6"/>
        <v>0</v>
      </c>
      <c r="V34" s="166"/>
      <c r="W34" s="82">
        <f t="shared" si="7"/>
        <v>0</v>
      </c>
      <c r="X34" s="165"/>
      <c r="Y34" s="165"/>
      <c r="Z34" s="79"/>
      <c r="AA34" s="80">
        <f t="shared" si="8"/>
        <v>0</v>
      </c>
      <c r="AB34" s="166"/>
      <c r="AC34" s="81">
        <f t="shared" si="9"/>
        <v>0</v>
      </c>
      <c r="AD34" s="84">
        <f t="shared" si="10"/>
        <v>656910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-668490</v>
      </c>
      <c r="AQ34" s="178">
        <v>0.0</v>
      </c>
      <c r="AR34" s="96"/>
      <c r="AS34" s="90"/>
      <c r="AT34" s="187">
        <v>69990.0</v>
      </c>
      <c r="AU34" s="75"/>
      <c r="AV34" s="75"/>
      <c r="AW34" s="187">
        <v>0.0</v>
      </c>
      <c r="AX34" s="88"/>
      <c r="AY34" s="75"/>
      <c r="AZ34" s="90">
        <f t="shared" ref="AZ34:AZ40" si="44">AY34*AZ$3</f>
        <v>0</v>
      </c>
      <c r="BA34" s="169">
        <v>420.0</v>
      </c>
      <c r="BB34" s="90">
        <f>BA34*1425</f>
        <v>598500</v>
      </c>
      <c r="BC34" s="75"/>
      <c r="BD34" s="90">
        <f t="shared" ref="BD34:BD40" si="45">BC34*BD$3</f>
        <v>0</v>
      </c>
      <c r="BE34" s="75"/>
      <c r="BF34" s="90">
        <f t="shared" ref="BF34:BF40" si="46">BE34*BF$3</f>
        <v>0</v>
      </c>
      <c r="BG34" s="75"/>
      <c r="BH34" s="90">
        <f t="shared" ref="BH34:BH40" si="47">BG34*BH$3</f>
        <v>0</v>
      </c>
      <c r="BI34" s="75"/>
      <c r="BJ34" s="90">
        <f t="shared" ref="BJ34:BJ40" si="48">BI34*BJ$3</f>
        <v>0</v>
      </c>
      <c r="BK34" s="92">
        <f t="shared" si="35"/>
        <v>668490</v>
      </c>
      <c r="BL34" s="93">
        <f t="shared" si="23"/>
        <v>656910</v>
      </c>
      <c r="BM34" s="94">
        <f t="shared" si="24"/>
        <v>11580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0.1065442755</v>
      </c>
      <c r="BR34" s="95">
        <f t="shared" si="28"/>
        <v>0</v>
      </c>
      <c r="BS34" s="95">
        <f t="shared" si="29"/>
        <v>0</v>
      </c>
      <c r="BT34" s="95">
        <f t="shared" si="30"/>
        <v>0.9110837101</v>
      </c>
      <c r="BU34" s="95">
        <f t="shared" si="31"/>
        <v>0</v>
      </c>
      <c r="BV34" s="95">
        <f t="shared" si="32"/>
        <v>1.017627986</v>
      </c>
      <c r="BW34" s="95">
        <f t="shared" si="33"/>
        <v>0.03287502062</v>
      </c>
    </row>
    <row r="35" ht="15.75" customHeight="1">
      <c r="A35" s="168">
        <f>'LUCERO RECOLETA'!A35</f>
        <v>46169</v>
      </c>
      <c r="B35" s="162"/>
      <c r="C35" s="163">
        <v>5.0</v>
      </c>
      <c r="D35" s="165">
        <f t="shared" si="34"/>
        <v>1078</v>
      </c>
      <c r="E35" s="165">
        <f t="shared" si="2"/>
        <v>1082</v>
      </c>
      <c r="F35" s="73"/>
      <c r="G35" s="74"/>
      <c r="H35" s="169">
        <v>356958.68</v>
      </c>
      <c r="I35" s="169">
        <v>74961.32</v>
      </c>
      <c r="J35" s="76"/>
      <c r="K35" s="83">
        <f t="shared" si="3"/>
        <v>431920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6"/>
        <v>0</v>
      </c>
      <c r="V35" s="166"/>
      <c r="W35" s="82">
        <f t="shared" si="7"/>
        <v>0</v>
      </c>
      <c r="X35" s="165"/>
      <c r="Y35" s="165"/>
      <c r="Z35" s="79"/>
      <c r="AA35" s="80">
        <f t="shared" si="8"/>
        <v>0</v>
      </c>
      <c r="AB35" s="166"/>
      <c r="AC35" s="81">
        <f t="shared" si="9"/>
        <v>0</v>
      </c>
      <c r="AD35" s="84">
        <f t="shared" si="10"/>
        <v>431920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-431920</v>
      </c>
      <c r="AQ35" s="178">
        <v>0.0</v>
      </c>
      <c r="AR35" s="96"/>
      <c r="AS35" s="90"/>
      <c r="AT35" s="187">
        <v>431920.0</v>
      </c>
      <c r="AU35" s="75"/>
      <c r="AV35" s="75"/>
      <c r="AW35" s="187">
        <v>0.0</v>
      </c>
      <c r="AX35" s="88"/>
      <c r="AY35" s="75"/>
      <c r="AZ35" s="90">
        <f t="shared" si="44"/>
        <v>0</v>
      </c>
      <c r="BA35" s="75"/>
      <c r="BB35" s="90">
        <f>BA35*1460</f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5"/>
        <v>431920</v>
      </c>
      <c r="BL35" s="93">
        <f t="shared" si="23"/>
        <v>431920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1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</v>
      </c>
      <c r="BW35" s="95">
        <f t="shared" si="33"/>
        <v>0.02161540988</v>
      </c>
    </row>
    <row r="36" ht="15.75" customHeight="1">
      <c r="A36" s="168">
        <f>'LUCERO RECOLETA'!A36</f>
        <v>46170</v>
      </c>
      <c r="B36" s="162"/>
      <c r="C36" s="163">
        <v>1.0</v>
      </c>
      <c r="D36" s="165">
        <f t="shared" si="34"/>
        <v>1083</v>
      </c>
      <c r="E36" s="165">
        <f t="shared" si="2"/>
        <v>1083</v>
      </c>
      <c r="F36" s="73"/>
      <c r="G36" s="74"/>
      <c r="H36" s="169">
        <v>22305.78</v>
      </c>
      <c r="I36" s="169">
        <v>4684.22</v>
      </c>
      <c r="J36" s="76"/>
      <c r="K36" s="83">
        <f t="shared" si="3"/>
        <v>26990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6"/>
        <v>0</v>
      </c>
      <c r="V36" s="166"/>
      <c r="W36" s="82">
        <f t="shared" si="7"/>
        <v>0</v>
      </c>
      <c r="X36" s="165"/>
      <c r="Y36" s="165"/>
      <c r="Z36" s="79"/>
      <c r="AA36" s="80">
        <f t="shared" si="8"/>
        <v>0</v>
      </c>
      <c r="AB36" s="166"/>
      <c r="AC36" s="81">
        <f t="shared" si="9"/>
        <v>0</v>
      </c>
      <c r="AD36" s="84">
        <f t="shared" si="10"/>
        <v>26990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-26990</v>
      </c>
      <c r="AQ36" s="178">
        <v>0.0</v>
      </c>
      <c r="AR36" s="96"/>
      <c r="AS36" s="90"/>
      <c r="AT36" s="187">
        <v>26990.0</v>
      </c>
      <c r="AU36" s="75"/>
      <c r="AV36" s="75"/>
      <c r="AW36" s="187">
        <v>0.0</v>
      </c>
      <c r="AX36" s="88"/>
      <c r="AY36" s="75"/>
      <c r="AZ36" s="90">
        <f t="shared" si="44"/>
        <v>0</v>
      </c>
      <c r="BA36" s="75"/>
      <c r="BB36" s="90">
        <f>BA36*BB$3</f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5"/>
        <v>26990</v>
      </c>
      <c r="BL36" s="93">
        <f t="shared" si="23"/>
        <v>26990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1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</v>
      </c>
      <c r="BW36" s="95">
        <f t="shared" si="33"/>
        <v>0.001350712893</v>
      </c>
    </row>
    <row r="37" ht="15.75" customHeight="1">
      <c r="A37" s="168">
        <f>'LUCERO RECOLETA'!A37</f>
        <v>46171</v>
      </c>
      <c r="B37" s="162"/>
      <c r="C37" s="163">
        <v>2.0</v>
      </c>
      <c r="D37" s="165">
        <f t="shared" si="34"/>
        <v>1084</v>
      </c>
      <c r="E37" s="165">
        <f t="shared" si="2"/>
        <v>1085</v>
      </c>
      <c r="F37" s="73"/>
      <c r="G37" s="74"/>
      <c r="H37" s="169">
        <v>404925.62</v>
      </c>
      <c r="I37" s="169">
        <v>85034.38</v>
      </c>
      <c r="J37" s="76"/>
      <c r="K37" s="83">
        <f t="shared" si="3"/>
        <v>489960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6"/>
        <v>0</v>
      </c>
      <c r="V37" s="166"/>
      <c r="W37" s="82">
        <f t="shared" si="7"/>
        <v>0</v>
      </c>
      <c r="X37" s="165"/>
      <c r="Y37" s="165"/>
      <c r="Z37" s="79"/>
      <c r="AA37" s="80">
        <f t="shared" si="8"/>
        <v>0</v>
      </c>
      <c r="AB37" s="166"/>
      <c r="AC37" s="81">
        <f t="shared" si="9"/>
        <v>0</v>
      </c>
      <c r="AD37" s="84">
        <f t="shared" si="10"/>
        <v>489960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-489720</v>
      </c>
      <c r="AQ37" s="178">
        <v>0.0</v>
      </c>
      <c r="AR37" s="96"/>
      <c r="AS37" s="90"/>
      <c r="AT37" s="187">
        <v>389970.0</v>
      </c>
      <c r="AU37" s="75"/>
      <c r="AV37" s="75"/>
      <c r="AW37" s="187">
        <v>0.0</v>
      </c>
      <c r="AX37" s="88"/>
      <c r="AY37" s="75"/>
      <c r="AZ37" s="90">
        <f t="shared" si="44"/>
        <v>0</v>
      </c>
      <c r="BA37" s="169">
        <v>70.0</v>
      </c>
      <c r="BB37" s="90">
        <f>BA37*1425</f>
        <v>99750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5"/>
        <v>489720</v>
      </c>
      <c r="BL37" s="93">
        <f t="shared" si="23"/>
        <v>489960</v>
      </c>
      <c r="BM37" s="94">
        <f t="shared" si="24"/>
        <v>-240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0.7959221161</v>
      </c>
      <c r="BR37" s="95">
        <f t="shared" si="28"/>
        <v>0</v>
      </c>
      <c r="BS37" s="95">
        <f t="shared" si="29"/>
        <v>0</v>
      </c>
      <c r="BT37" s="95">
        <f t="shared" si="30"/>
        <v>0.203588048</v>
      </c>
      <c r="BU37" s="95">
        <f t="shared" si="31"/>
        <v>0</v>
      </c>
      <c r="BV37" s="95">
        <f t="shared" si="32"/>
        <v>0.9995101641</v>
      </c>
      <c r="BW37" s="95">
        <f t="shared" si="33"/>
        <v>0.02452001812</v>
      </c>
    </row>
    <row r="38" ht="15.75" customHeight="1">
      <c r="A38" s="168">
        <f>'LUCERO RECOLETA'!A38</f>
        <v>46172</v>
      </c>
      <c r="B38" s="162"/>
      <c r="C38" s="163">
        <v>8.0</v>
      </c>
      <c r="D38" s="165">
        <f t="shared" si="34"/>
        <v>1086</v>
      </c>
      <c r="E38" s="165">
        <f t="shared" si="2"/>
        <v>1093</v>
      </c>
      <c r="F38" s="73"/>
      <c r="G38" s="74"/>
      <c r="H38" s="169">
        <v>559438.0</v>
      </c>
      <c r="I38" s="169">
        <v>117482.0</v>
      </c>
      <c r="J38" s="76"/>
      <c r="K38" s="83">
        <f t="shared" si="3"/>
        <v>676920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6"/>
        <v>0</v>
      </c>
      <c r="V38" s="166"/>
      <c r="W38" s="82">
        <f t="shared" si="7"/>
        <v>0</v>
      </c>
      <c r="X38" s="165"/>
      <c r="Y38" s="165"/>
      <c r="Z38" s="79"/>
      <c r="AA38" s="80">
        <f t="shared" si="8"/>
        <v>0</v>
      </c>
      <c r="AB38" s="166"/>
      <c r="AC38" s="81">
        <f t="shared" si="9"/>
        <v>0</v>
      </c>
      <c r="AD38" s="84">
        <f t="shared" si="10"/>
        <v>676920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-676920</v>
      </c>
      <c r="AQ38" s="178">
        <v>0.0</v>
      </c>
      <c r="AR38" s="96"/>
      <c r="AS38" s="90" t="str">
        <f>AG38</f>
        <v/>
      </c>
      <c r="AT38" s="187">
        <v>676920.0</v>
      </c>
      <c r="AU38" s="75"/>
      <c r="AV38" s="75"/>
      <c r="AW38" s="187">
        <v>0.0</v>
      </c>
      <c r="AX38" s="88"/>
      <c r="AY38" s="75"/>
      <c r="AZ38" s="90">
        <f t="shared" si="44"/>
        <v>0</v>
      </c>
      <c r="BA38" s="75"/>
      <c r="BB38" s="90">
        <f>BA38*1400</f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5"/>
        <v>676920</v>
      </c>
      <c r="BL38" s="93">
        <f t="shared" si="23"/>
        <v>676920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1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0.03387641984</v>
      </c>
    </row>
    <row r="39" ht="15.75" customHeight="1">
      <c r="A39" s="168">
        <f>'LUCERO RECOLETA'!A39</f>
        <v>46173</v>
      </c>
      <c r="B39" s="162"/>
      <c r="C39" s="163">
        <v>14.0</v>
      </c>
      <c r="D39" s="165">
        <f t="shared" si="34"/>
        <v>1094</v>
      </c>
      <c r="E39" s="165">
        <f t="shared" si="2"/>
        <v>1107</v>
      </c>
      <c r="F39" s="73"/>
      <c r="G39" s="74"/>
      <c r="H39" s="169">
        <v>1415553.72</v>
      </c>
      <c r="I39" s="169">
        <v>297266.28</v>
      </c>
      <c r="J39" s="76"/>
      <c r="K39" s="83">
        <f t="shared" si="3"/>
        <v>1712820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6"/>
        <v>0</v>
      </c>
      <c r="V39" s="166"/>
      <c r="W39" s="82">
        <f t="shared" si="7"/>
        <v>0</v>
      </c>
      <c r="X39" s="165"/>
      <c r="Y39" s="165"/>
      <c r="Z39" s="79"/>
      <c r="AA39" s="80">
        <f t="shared" si="8"/>
        <v>0</v>
      </c>
      <c r="AB39" s="166"/>
      <c r="AC39" s="81">
        <f t="shared" si="9"/>
        <v>0</v>
      </c>
      <c r="AD39" s="84">
        <f t="shared" si="10"/>
        <v>1712820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228000.0</v>
      </c>
      <c r="AR39" s="96"/>
      <c r="AS39" s="90"/>
      <c r="AT39" s="187">
        <v>1271840.0</v>
      </c>
      <c r="AU39" s="75"/>
      <c r="AV39" s="75"/>
      <c r="AW39" s="187">
        <v>0.0</v>
      </c>
      <c r="AX39" s="88"/>
      <c r="AY39" s="75"/>
      <c r="AZ39" s="90">
        <f t="shared" si="44"/>
        <v>0</v>
      </c>
      <c r="BA39" s="169">
        <v>140.0</v>
      </c>
      <c r="BB39" s="90">
        <f>BA39*1425</f>
        <v>199500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5"/>
        <v>1699340</v>
      </c>
      <c r="BL39" s="93">
        <f t="shared" si="23"/>
        <v>1712820</v>
      </c>
      <c r="BM39" s="94">
        <f t="shared" si="24"/>
        <v>-13480</v>
      </c>
      <c r="BN39" s="14"/>
      <c r="BO39" s="95">
        <f t="shared" si="25"/>
        <v>0.1331138123</v>
      </c>
      <c r="BP39" s="95">
        <f t="shared" si="26"/>
        <v>0</v>
      </c>
      <c r="BQ39" s="95">
        <f t="shared" si="27"/>
        <v>0.7425415397</v>
      </c>
      <c r="BR39" s="95">
        <f t="shared" si="28"/>
        <v>0</v>
      </c>
      <c r="BS39" s="95">
        <f t="shared" si="29"/>
        <v>0</v>
      </c>
      <c r="BT39" s="95">
        <f t="shared" si="30"/>
        <v>0.1164745858</v>
      </c>
      <c r="BU39" s="95">
        <f t="shared" si="31"/>
        <v>0</v>
      </c>
      <c r="BV39" s="95">
        <f t="shared" si="32"/>
        <v>0.9921299378</v>
      </c>
      <c r="BW39" s="95">
        <f t="shared" si="33"/>
        <v>0.08571797174</v>
      </c>
    </row>
    <row r="40" ht="15.75" customHeight="1">
      <c r="A40" s="72"/>
      <c r="B40" s="73"/>
      <c r="C40" s="73"/>
      <c r="D40" s="165">
        <f t="shared" si="34"/>
        <v>1108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6"/>
        <v>0</v>
      </c>
      <c r="V40" s="166"/>
      <c r="W40" s="82"/>
      <c r="X40" s="165">
        <v>0.0</v>
      </c>
      <c r="Y40" s="165"/>
      <c r="Z40" s="79"/>
      <c r="AA40" s="80">
        <f t="shared" si="8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>BA40*BB$3</f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172</v>
      </c>
      <c r="D41" s="105">
        <f>MIN(D9:D40)</f>
        <v>936</v>
      </c>
      <c r="E41" s="105">
        <f>MAX(E9:E40)</f>
        <v>1107</v>
      </c>
      <c r="F41" s="106">
        <f t="shared" ref="F41:I41" si="49">SUM(F9:F40)</f>
        <v>0</v>
      </c>
      <c r="G41" s="106">
        <f t="shared" si="49"/>
        <v>0</v>
      </c>
      <c r="H41" s="77">
        <f t="shared" si="49"/>
        <v>16514083.14</v>
      </c>
      <c r="I41" s="77">
        <f t="shared" si="49"/>
        <v>3467957.56</v>
      </c>
      <c r="J41" s="77"/>
      <c r="K41" s="77">
        <f>SUM(K9:K40)</f>
        <v>19982040.7</v>
      </c>
      <c r="L41" s="107">
        <f>MIN(L9:L40)</f>
        <v>0</v>
      </c>
      <c r="M41" s="107">
        <f>MAX(M9:M40)</f>
        <v>0</v>
      </c>
      <c r="N41" s="83">
        <f t="shared" ref="N41:O41" si="50">SUM(N9:N40)</f>
        <v>0</v>
      </c>
      <c r="O41" s="83">
        <f t="shared" si="50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1">SUM(T9:T40)</f>
        <v>0</v>
      </c>
      <c r="U41" s="82">
        <f t="shared" si="51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2">SUM(Z9:Z40)</f>
        <v>0</v>
      </c>
      <c r="AA41" s="83">
        <f t="shared" si="52"/>
        <v>0</v>
      </c>
      <c r="AB41" s="83"/>
      <c r="AC41" s="83">
        <f t="shared" ref="AC41:AD41" si="53">SUM(AC9:AC40)</f>
        <v>0</v>
      </c>
      <c r="AD41" s="84">
        <f t="shared" si="53"/>
        <v>19982040.7</v>
      </c>
      <c r="AE41" s="109">
        <f t="shared" ref="AE41:AP41" si="54">SUM(AE9:AE38)</f>
        <v>0</v>
      </c>
      <c r="AF41" s="109">
        <f t="shared" si="54"/>
        <v>0</v>
      </c>
      <c r="AG41" s="109">
        <f t="shared" si="54"/>
        <v>0</v>
      </c>
      <c r="AH41" s="109">
        <f t="shared" si="54"/>
        <v>0</v>
      </c>
      <c r="AI41" s="109">
        <f t="shared" si="54"/>
        <v>0</v>
      </c>
      <c r="AJ41" s="110">
        <f t="shared" si="54"/>
        <v>0</v>
      </c>
      <c r="AK41" s="109">
        <f t="shared" si="54"/>
        <v>0</v>
      </c>
      <c r="AL41" s="110">
        <f t="shared" si="54"/>
        <v>0</v>
      </c>
      <c r="AM41" s="109">
        <f t="shared" si="54"/>
        <v>0</v>
      </c>
      <c r="AN41" s="109">
        <f t="shared" si="54"/>
        <v>0</v>
      </c>
      <c r="AO41" s="111">
        <f t="shared" si="54"/>
        <v>0</v>
      </c>
      <c r="AP41" s="112">
        <f t="shared" si="54"/>
        <v>-18287295</v>
      </c>
      <c r="AQ41" s="112">
        <f t="shared" ref="AQ41:BM41" si="55">SUM(AQ9:AQ40)</f>
        <v>1370000</v>
      </c>
      <c r="AR41" s="112">
        <f t="shared" si="55"/>
        <v>0</v>
      </c>
      <c r="AS41" s="112">
        <f t="shared" si="55"/>
        <v>0</v>
      </c>
      <c r="AT41" s="112">
        <f t="shared" si="55"/>
        <v>16971955</v>
      </c>
      <c r="AU41" s="112">
        <f t="shared" si="55"/>
        <v>0</v>
      </c>
      <c r="AV41" s="112">
        <f t="shared" si="55"/>
        <v>0</v>
      </c>
      <c r="AW41" s="112">
        <f t="shared" si="55"/>
        <v>306930</v>
      </c>
      <c r="AX41" s="112">
        <f t="shared" si="55"/>
        <v>0</v>
      </c>
      <c r="AY41" s="112">
        <f t="shared" si="55"/>
        <v>0</v>
      </c>
      <c r="AZ41" s="112">
        <f t="shared" si="55"/>
        <v>0</v>
      </c>
      <c r="BA41" s="112">
        <f t="shared" si="55"/>
        <v>940</v>
      </c>
      <c r="BB41" s="112">
        <f t="shared" si="55"/>
        <v>1337750</v>
      </c>
      <c r="BC41" s="112">
        <f t="shared" si="55"/>
        <v>0</v>
      </c>
      <c r="BD41" s="112">
        <f t="shared" si="55"/>
        <v>0</v>
      </c>
      <c r="BE41" s="112">
        <f t="shared" si="55"/>
        <v>0</v>
      </c>
      <c r="BF41" s="112">
        <f t="shared" si="55"/>
        <v>0</v>
      </c>
      <c r="BG41" s="112">
        <f t="shared" si="55"/>
        <v>0</v>
      </c>
      <c r="BH41" s="112">
        <f t="shared" si="55"/>
        <v>0</v>
      </c>
      <c r="BI41" s="112">
        <f t="shared" si="55"/>
        <v>0</v>
      </c>
      <c r="BJ41" s="112">
        <f t="shared" si="55"/>
        <v>0</v>
      </c>
      <c r="BK41" s="112">
        <f t="shared" si="55"/>
        <v>19986635</v>
      </c>
      <c r="BL41" s="112">
        <f t="shared" si="55"/>
        <v>19982040.7</v>
      </c>
      <c r="BM41" s="112">
        <f t="shared" si="55"/>
        <v>4594.3</v>
      </c>
      <c r="BN41" s="14"/>
      <c r="BO41" s="95">
        <f>IF(AD41=0,0,(AQ41+AR41)/AD41)</f>
        <v>0.06856156589</v>
      </c>
      <c r="BP41" s="95">
        <f>IF(AD41=0,0,(AU41)/AD41)</f>
        <v>0</v>
      </c>
      <c r="BQ41" s="95">
        <f t="shared" si="27"/>
        <v>0.849360446</v>
      </c>
      <c r="BR41" s="95">
        <f t="shared" ref="BR41:BS41" si="56">IF($AD$41=0,0,(AW41)/$AD$41)</f>
        <v>0.01536029301</v>
      </c>
      <c r="BS41" s="95">
        <f t="shared" si="56"/>
        <v>0</v>
      </c>
      <c r="BT41" s="95">
        <f>IF($AD$41=0,0,(BB41+BD41+BF41)/AD41)</f>
        <v>0.06694761662</v>
      </c>
      <c r="BU41" s="95">
        <f>IF($AD$41=0,0,BJ41/AD41)</f>
        <v>0</v>
      </c>
      <c r="BV41" s="95">
        <f t="shared" si="32"/>
        <v>1.000229921</v>
      </c>
      <c r="BW41" s="95">
        <f t="shared" si="33"/>
        <v>1</v>
      </c>
    </row>
    <row r="42" ht="14.25" customHeight="1">
      <c r="A42" s="181"/>
      <c r="B42" s="7"/>
      <c r="C42" s="14"/>
      <c r="D42" s="182">
        <v>564.0</v>
      </c>
      <c r="E42" s="14"/>
      <c r="F42" s="14"/>
      <c r="G42" s="14"/>
      <c r="H42" s="14"/>
      <c r="I42" s="14"/>
      <c r="J42" s="14"/>
      <c r="K42" s="14"/>
      <c r="L42" s="182"/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82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372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-2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19982040.7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7">AQ41</f>
        <v>1370000</v>
      </c>
      <c r="AR47" s="136">
        <f t="shared" si="57"/>
        <v>0</v>
      </c>
      <c r="AS47" s="136">
        <f t="shared" ref="AS47:AU47" si="58">AU41</f>
        <v>0</v>
      </c>
      <c r="AT47" s="136">
        <f t="shared" si="58"/>
        <v>0</v>
      </c>
      <c r="AU47" s="136">
        <f t="shared" si="58"/>
        <v>306930</v>
      </c>
      <c r="AV47" s="136">
        <f>AZ41</f>
        <v>0</v>
      </c>
      <c r="AW47" s="136">
        <f>BD41+BF41+BH41+BB41</f>
        <v>1337750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9">AQ47/$AD$41</f>
        <v>0.06856156589</v>
      </c>
      <c r="AR48" s="113">
        <f t="shared" si="59"/>
        <v>0</v>
      </c>
      <c r="AS48" s="113">
        <f t="shared" si="59"/>
        <v>0</v>
      </c>
      <c r="AT48" s="113">
        <f t="shared" si="59"/>
        <v>0</v>
      </c>
      <c r="AU48" s="113">
        <f t="shared" si="59"/>
        <v>0.01536029301</v>
      </c>
      <c r="AV48" s="113">
        <f t="shared" si="59"/>
        <v>0</v>
      </c>
      <c r="AW48" s="113">
        <f t="shared" si="59"/>
        <v>0.06694761662</v>
      </c>
      <c r="AX48" s="113">
        <f t="shared" si="59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T50:T1000 AP9:AP40 BM9:BM40 BN39:BN41 BO9:BW41">
    <cfRule type="cellIs" dxfId="0" priority="6" operator="greaterThan">
      <formula>0</formula>
    </cfRule>
  </conditionalFormatting>
  <conditionalFormatting sqref="T50:T1000 AP9:AP40 BM9:BM40 BN39:BN41 BO9:BW41">
    <cfRule type="cellIs" dxfId="1" priority="7" operator="lessThan">
      <formula>0</formula>
    </cfRule>
  </conditionalFormatting>
  <conditionalFormatting sqref="AP9:AP40 BM9:BM40 BN39:BN41 BO9:BW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0.71"/>
    <col customWidth="1" min="10" max="10" width="9.29"/>
    <col customWidth="1" min="11" max="11" width="12.71"/>
    <col customWidth="1" min="12" max="17" width="3.57"/>
    <col customWidth="1" min="18" max="19" width="8.43"/>
    <col customWidth="1" min="20" max="20" width="12.43"/>
    <col customWidth="1" min="21" max="21" width="11.86"/>
    <col customWidth="1" min="22" max="22" width="12.29"/>
    <col customWidth="1" min="23" max="23" width="12.71"/>
    <col customWidth="1" min="24" max="25" width="8.43"/>
    <col customWidth="1" min="26" max="27" width="12.29"/>
    <col customWidth="1" min="28" max="28" width="9.14"/>
    <col customWidth="1" min="29" max="29" width="12.29"/>
    <col customWidth="1" min="30" max="30" width="13.29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5" t="s">
        <v>74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/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7">
        <v>6547.0</v>
      </c>
      <c r="E9" s="165">
        <f t="shared" ref="E9:E40" si="2">IF(C9="","",C9+D9-1)</f>
        <v>6546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6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/>
      <c r="AT9" s="90">
        <v>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20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68">
        <f>'LUCERO RECOLETA'!A10</f>
        <v>46144</v>
      </c>
      <c r="B10" s="162"/>
      <c r="C10" s="163">
        <v>27.0</v>
      </c>
      <c r="D10" s="165">
        <f t="shared" ref="D10:D40" si="34">E9+1</f>
        <v>6547</v>
      </c>
      <c r="E10" s="165">
        <f t="shared" si="2"/>
        <v>6573</v>
      </c>
      <c r="F10" s="73"/>
      <c r="G10" s="74"/>
      <c r="H10" s="169">
        <v>265090.93</v>
      </c>
      <c r="I10" s="169">
        <v>55669.07</v>
      </c>
      <c r="J10" s="76"/>
      <c r="K10" s="83">
        <f t="shared" si="3"/>
        <v>320760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f t="shared" si="8"/>
        <v>0</v>
      </c>
      <c r="AB10" s="166"/>
      <c r="AC10" s="81">
        <f t="shared" si="9"/>
        <v>0</v>
      </c>
      <c r="AD10" s="84">
        <f t="shared" si="10"/>
        <v>320760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-320830</v>
      </c>
      <c r="AQ10" s="186">
        <f>80000+13300</f>
        <v>93300</v>
      </c>
      <c r="AR10" s="88"/>
      <c r="AS10" s="89"/>
      <c r="AT10" s="187">
        <v>147670.0</v>
      </c>
      <c r="AU10" s="75"/>
      <c r="AV10" s="75"/>
      <c r="AW10" s="187">
        <v>79860.0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320830</v>
      </c>
      <c r="BL10" s="93">
        <f t="shared" si="23"/>
        <v>320760</v>
      </c>
      <c r="BM10" s="94">
        <f t="shared" si="24"/>
        <v>70</v>
      </c>
      <c r="BN10" s="13"/>
      <c r="BO10" s="95">
        <f t="shared" si="25"/>
        <v>0.2908716798</v>
      </c>
      <c r="BP10" s="95">
        <f t="shared" si="26"/>
        <v>0</v>
      </c>
      <c r="BQ10" s="95">
        <f t="shared" si="27"/>
        <v>0.4603753585</v>
      </c>
      <c r="BR10" s="95">
        <f t="shared" si="28"/>
        <v>0.2489711934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1.000218232</v>
      </c>
      <c r="BW10" s="95">
        <f t="shared" si="33"/>
        <v>0.01921095914</v>
      </c>
    </row>
    <row r="11" ht="15.75" customHeight="1">
      <c r="A11" s="168">
        <f>'LUCERO RECOLETA'!A11</f>
        <v>46145</v>
      </c>
      <c r="B11" s="162"/>
      <c r="C11" s="163">
        <v>94.0</v>
      </c>
      <c r="D11" s="165">
        <f t="shared" si="34"/>
        <v>6574</v>
      </c>
      <c r="E11" s="165">
        <f t="shared" si="2"/>
        <v>6667</v>
      </c>
      <c r="F11" s="73"/>
      <c r="G11" s="74"/>
      <c r="H11" s="169">
        <v>887942.17</v>
      </c>
      <c r="I11" s="169">
        <v>186467.73</v>
      </c>
      <c r="J11" s="76"/>
      <c r="K11" s="83">
        <f t="shared" si="3"/>
        <v>1074409.9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si="8"/>
        <v>0</v>
      </c>
      <c r="AB11" s="166"/>
      <c r="AC11" s="81">
        <f t="shared" si="9"/>
        <v>0</v>
      </c>
      <c r="AD11" s="84">
        <f t="shared" si="10"/>
        <v>1074409.9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-1075009.99</v>
      </c>
      <c r="AQ11" s="186">
        <f>80000+70000+84000</f>
        <v>234000</v>
      </c>
      <c r="AR11" s="88"/>
      <c r="AS11" s="89"/>
      <c r="AT11" s="187">
        <v>521679.99</v>
      </c>
      <c r="AU11" s="75"/>
      <c r="AV11" s="75"/>
      <c r="AW11" s="187">
        <v>319330.0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1075009.99</v>
      </c>
      <c r="BL11" s="93">
        <f t="shared" si="23"/>
        <v>1074409.9</v>
      </c>
      <c r="BM11" s="94">
        <f t="shared" si="24"/>
        <v>600.09</v>
      </c>
      <c r="BN11" s="13"/>
      <c r="BO11" s="95">
        <f t="shared" si="25"/>
        <v>0.2177939723</v>
      </c>
      <c r="BP11" s="95">
        <f t="shared" si="26"/>
        <v>0</v>
      </c>
      <c r="BQ11" s="95">
        <f t="shared" si="27"/>
        <v>0.4855502448</v>
      </c>
      <c r="BR11" s="95">
        <f t="shared" si="28"/>
        <v>0.2972143127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1.00055853</v>
      </c>
      <c r="BW11" s="95">
        <f t="shared" si="33"/>
        <v>0.06434856183</v>
      </c>
    </row>
    <row r="12" ht="15.75" customHeight="1">
      <c r="A12" s="168">
        <f>'LUCERO RECOLETA'!A12</f>
        <v>46146</v>
      </c>
      <c r="B12" s="162"/>
      <c r="C12" s="163">
        <v>18.0</v>
      </c>
      <c r="D12" s="165">
        <f t="shared" si="34"/>
        <v>6668</v>
      </c>
      <c r="E12" s="165">
        <f t="shared" si="2"/>
        <v>6685</v>
      </c>
      <c r="F12" s="73"/>
      <c r="G12" s="74"/>
      <c r="H12" s="169">
        <v>124471.09</v>
      </c>
      <c r="I12" s="169">
        <v>26138.91</v>
      </c>
      <c r="J12" s="76"/>
      <c r="K12" s="83">
        <f t="shared" si="3"/>
        <v>150610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8"/>
        <v>0</v>
      </c>
      <c r="AB12" s="166"/>
      <c r="AC12" s="81">
        <f t="shared" si="9"/>
        <v>0</v>
      </c>
      <c r="AD12" s="84">
        <f t="shared" si="10"/>
        <v>150610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-150600</v>
      </c>
      <c r="AQ12" s="186">
        <f>10000+23900</f>
        <v>33900</v>
      </c>
      <c r="AR12" s="88"/>
      <c r="AS12" s="89"/>
      <c r="AT12" s="187">
        <v>72790.0</v>
      </c>
      <c r="AU12" s="75"/>
      <c r="AV12" s="75"/>
      <c r="AW12" s="187">
        <v>43910.0</v>
      </c>
      <c r="AX12" s="88"/>
      <c r="AY12" s="75"/>
      <c r="AZ12" s="90">
        <f t="shared" si="16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150600</v>
      </c>
      <c r="BL12" s="93">
        <f t="shared" si="23"/>
        <v>150610</v>
      </c>
      <c r="BM12" s="94">
        <f t="shared" si="24"/>
        <v>-10</v>
      </c>
      <c r="BN12" s="13"/>
      <c r="BO12" s="95">
        <f t="shared" si="25"/>
        <v>0.2250846557</v>
      </c>
      <c r="BP12" s="95">
        <f t="shared" si="26"/>
        <v>0</v>
      </c>
      <c r="BQ12" s="95">
        <f t="shared" si="27"/>
        <v>0.4833012416</v>
      </c>
      <c r="BR12" s="95">
        <f t="shared" si="28"/>
        <v>0.291547706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0.9999336033</v>
      </c>
      <c r="BW12" s="95">
        <f t="shared" si="33"/>
        <v>0.009020334695</v>
      </c>
    </row>
    <row r="13" ht="15.75" customHeight="1">
      <c r="A13" s="168">
        <f>'LUCERO RECOLETA'!A13</f>
        <v>46147</v>
      </c>
      <c r="B13" s="162"/>
      <c r="C13" s="163">
        <v>24.0</v>
      </c>
      <c r="D13" s="165">
        <f t="shared" si="34"/>
        <v>6686</v>
      </c>
      <c r="E13" s="165">
        <f t="shared" si="2"/>
        <v>6709</v>
      </c>
      <c r="F13" s="73"/>
      <c r="G13" s="74"/>
      <c r="H13" s="169">
        <v>172966.98</v>
      </c>
      <c r="I13" s="169">
        <v>36323.02</v>
      </c>
      <c r="J13" s="76"/>
      <c r="K13" s="83">
        <f t="shared" si="3"/>
        <v>209290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8"/>
        <v>0</v>
      </c>
      <c r="AB13" s="166"/>
      <c r="AC13" s="81">
        <f t="shared" si="9"/>
        <v>0</v>
      </c>
      <c r="AD13" s="84">
        <f t="shared" si="10"/>
        <v>209290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-209440</v>
      </c>
      <c r="AQ13" s="170">
        <v>42000.0</v>
      </c>
      <c r="AR13" s="96"/>
      <c r="AS13" s="90"/>
      <c r="AT13" s="187">
        <v>98410.0</v>
      </c>
      <c r="AU13" s="75"/>
      <c r="AV13" s="75"/>
      <c r="AW13" s="187">
        <v>69030.0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209440</v>
      </c>
      <c r="BL13" s="93">
        <f t="shared" si="23"/>
        <v>209290</v>
      </c>
      <c r="BM13" s="94">
        <f t="shared" si="24"/>
        <v>150</v>
      </c>
      <c r="BN13" s="13"/>
      <c r="BO13" s="95">
        <f t="shared" si="25"/>
        <v>0.2006784844</v>
      </c>
      <c r="BP13" s="95">
        <f t="shared" si="26"/>
        <v>0</v>
      </c>
      <c r="BQ13" s="95">
        <f t="shared" si="27"/>
        <v>0.4702088012</v>
      </c>
      <c r="BR13" s="95">
        <f t="shared" si="28"/>
        <v>0.3298294233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1.000716709</v>
      </c>
      <c r="BW13" s="95">
        <f t="shared" si="33"/>
        <v>0.01253479748</v>
      </c>
    </row>
    <row r="14" ht="15.75" customHeight="1">
      <c r="A14" s="168">
        <f>'LUCERO RECOLETA'!A14</f>
        <v>46148</v>
      </c>
      <c r="B14" s="162"/>
      <c r="C14" s="163">
        <v>17.0</v>
      </c>
      <c r="D14" s="165">
        <f t="shared" si="34"/>
        <v>6710</v>
      </c>
      <c r="E14" s="165">
        <f t="shared" si="2"/>
        <v>6726</v>
      </c>
      <c r="F14" s="73"/>
      <c r="G14" s="74"/>
      <c r="H14" s="169">
        <v>193495.89</v>
      </c>
      <c r="I14" s="169">
        <v>40634.11</v>
      </c>
      <c r="J14" s="76"/>
      <c r="K14" s="83">
        <f t="shared" si="3"/>
        <v>234130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8"/>
        <v>0</v>
      </c>
      <c r="AB14" s="166"/>
      <c r="AC14" s="81">
        <f t="shared" si="9"/>
        <v>0</v>
      </c>
      <c r="AD14" s="84">
        <f t="shared" si="10"/>
        <v>234130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-234260</v>
      </c>
      <c r="AQ14" s="170">
        <v>94000.0</v>
      </c>
      <c r="AR14" s="96"/>
      <c r="AS14" s="90"/>
      <c r="AT14" s="187">
        <v>33410.0</v>
      </c>
      <c r="AU14" s="75"/>
      <c r="AV14" s="75"/>
      <c r="AW14" s="187">
        <v>106850.0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234260</v>
      </c>
      <c r="BL14" s="93">
        <f t="shared" si="23"/>
        <v>234130</v>
      </c>
      <c r="BM14" s="94">
        <f t="shared" si="24"/>
        <v>130</v>
      </c>
      <c r="BN14" s="13"/>
      <c r="BO14" s="95">
        <f t="shared" si="25"/>
        <v>0.4014863537</v>
      </c>
      <c r="BP14" s="95">
        <f t="shared" si="26"/>
        <v>0</v>
      </c>
      <c r="BQ14" s="95">
        <f t="shared" si="27"/>
        <v>0.1426985008</v>
      </c>
      <c r="BR14" s="95">
        <f t="shared" si="28"/>
        <v>0.4563703925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1.000555247</v>
      </c>
      <c r="BW14" s="95">
        <f t="shared" si="33"/>
        <v>0.01402251485</v>
      </c>
    </row>
    <row r="15" ht="15.75" customHeight="1">
      <c r="A15" s="168">
        <f>'LUCERO RECOLETA'!A15</f>
        <v>46149</v>
      </c>
      <c r="B15" s="162"/>
      <c r="C15" s="163">
        <v>78.0</v>
      </c>
      <c r="D15" s="165">
        <f t="shared" si="34"/>
        <v>6727</v>
      </c>
      <c r="E15" s="165">
        <f t="shared" si="2"/>
        <v>6804</v>
      </c>
      <c r="F15" s="73"/>
      <c r="G15" s="74"/>
      <c r="H15" s="169">
        <v>512008.42</v>
      </c>
      <c r="I15" s="169">
        <v>107521.58</v>
      </c>
      <c r="J15" s="76"/>
      <c r="K15" s="83">
        <f t="shared" si="3"/>
        <v>619530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f t="shared" si="8"/>
        <v>0</v>
      </c>
      <c r="AB15" s="166"/>
      <c r="AC15" s="81">
        <f t="shared" si="9"/>
        <v>0</v>
      </c>
      <c r="AD15" s="84">
        <f t="shared" si="10"/>
        <v>619530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-619940</v>
      </c>
      <c r="AQ15" s="186">
        <f>100000+90000+70000+44000</f>
        <v>304000</v>
      </c>
      <c r="AR15" s="96"/>
      <c r="AS15" s="90"/>
      <c r="AT15" s="187">
        <v>189740.0</v>
      </c>
      <c r="AU15" s="75"/>
      <c r="AV15" s="75"/>
      <c r="AW15" s="187">
        <v>126200.0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619940</v>
      </c>
      <c r="BL15" s="93">
        <f t="shared" si="23"/>
        <v>619530</v>
      </c>
      <c r="BM15" s="94">
        <f t="shared" si="24"/>
        <v>410</v>
      </c>
      <c r="BN15" s="13"/>
      <c r="BO15" s="95">
        <f t="shared" si="25"/>
        <v>0.4906945588</v>
      </c>
      <c r="BP15" s="95">
        <f t="shared" si="26"/>
        <v>0</v>
      </c>
      <c r="BQ15" s="95">
        <f t="shared" si="27"/>
        <v>0.3062644263</v>
      </c>
      <c r="BR15" s="95">
        <f t="shared" si="28"/>
        <v>0.203702807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1.000661792</v>
      </c>
      <c r="BW15" s="95">
        <f t="shared" si="33"/>
        <v>0.03710489312</v>
      </c>
    </row>
    <row r="16" ht="15.75" customHeight="1">
      <c r="A16" s="168">
        <f>'LUCERO RECOLETA'!A16</f>
        <v>46150</v>
      </c>
      <c r="B16" s="162"/>
      <c r="C16" s="163">
        <v>54.0</v>
      </c>
      <c r="D16" s="165">
        <f t="shared" si="34"/>
        <v>6805</v>
      </c>
      <c r="E16" s="165">
        <f t="shared" si="2"/>
        <v>6858</v>
      </c>
      <c r="F16" s="73"/>
      <c r="G16" s="74"/>
      <c r="H16" s="169">
        <v>573091.01</v>
      </c>
      <c r="I16" s="169">
        <v>120348.99</v>
      </c>
      <c r="J16" s="76"/>
      <c r="K16" s="83">
        <f t="shared" si="3"/>
        <v>693440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6"/>
        <v>0</v>
      </c>
      <c r="V16" s="166"/>
      <c r="W16" s="82">
        <f t="shared" si="7"/>
        <v>0</v>
      </c>
      <c r="X16" s="165"/>
      <c r="Y16" s="165"/>
      <c r="Z16" s="79"/>
      <c r="AA16" s="80">
        <f t="shared" si="8"/>
        <v>0</v>
      </c>
      <c r="AB16" s="166"/>
      <c r="AC16" s="81">
        <f t="shared" si="9"/>
        <v>0</v>
      </c>
      <c r="AD16" s="84">
        <f t="shared" si="10"/>
        <v>693440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-693570</v>
      </c>
      <c r="AQ16" s="186">
        <f>40000+100000+30100</f>
        <v>170100</v>
      </c>
      <c r="AR16" s="96"/>
      <c r="AS16" s="90"/>
      <c r="AT16" s="187">
        <v>356280.0</v>
      </c>
      <c r="AU16" s="75"/>
      <c r="AV16" s="75"/>
      <c r="AW16" s="187">
        <v>167190.0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693570</v>
      </c>
      <c r="BL16" s="93">
        <f t="shared" si="23"/>
        <v>693440</v>
      </c>
      <c r="BM16" s="94">
        <f t="shared" si="24"/>
        <v>130</v>
      </c>
      <c r="BN16" s="14"/>
      <c r="BO16" s="95">
        <f t="shared" si="25"/>
        <v>0.2452988002</v>
      </c>
      <c r="BP16" s="95">
        <f t="shared" si="26"/>
        <v>0</v>
      </c>
      <c r="BQ16" s="95">
        <f t="shared" si="27"/>
        <v>0.5137863406</v>
      </c>
      <c r="BR16" s="95">
        <f t="shared" si="28"/>
        <v>0.2411023304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1.000187471</v>
      </c>
      <c r="BW16" s="95">
        <f t="shared" si="33"/>
        <v>0.04153151113</v>
      </c>
    </row>
    <row r="17" ht="15.75" customHeight="1">
      <c r="A17" s="168">
        <f>'LUCERO RECOLETA'!A17</f>
        <v>46151</v>
      </c>
      <c r="B17" s="162"/>
      <c r="C17" s="176">
        <v>133.0</v>
      </c>
      <c r="D17" s="165">
        <f t="shared" si="34"/>
        <v>6859</v>
      </c>
      <c r="E17" s="165">
        <f t="shared" si="2"/>
        <v>6991</v>
      </c>
      <c r="F17" s="73"/>
      <c r="G17" s="74"/>
      <c r="H17" s="169">
        <v>1267462.81</v>
      </c>
      <c r="I17" s="169">
        <v>266166.99</v>
      </c>
      <c r="J17" s="76"/>
      <c r="K17" s="83">
        <f t="shared" si="3"/>
        <v>1533629.8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6"/>
        <v>0</v>
      </c>
      <c r="V17" s="166"/>
      <c r="W17" s="82">
        <f t="shared" si="7"/>
        <v>0</v>
      </c>
      <c r="X17" s="165"/>
      <c r="Y17" s="165"/>
      <c r="Z17" s="79"/>
      <c r="AA17" s="80">
        <f t="shared" si="8"/>
        <v>0</v>
      </c>
      <c r="AB17" s="166"/>
      <c r="AC17" s="81">
        <f t="shared" si="9"/>
        <v>0</v>
      </c>
      <c r="AD17" s="84">
        <f t="shared" si="10"/>
        <v>1533629.8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-1533950</v>
      </c>
      <c r="AQ17" s="186">
        <f>100000+70000+50000+100000+110000+63900</f>
        <v>493900</v>
      </c>
      <c r="AR17" s="96"/>
      <c r="AS17" s="90"/>
      <c r="AT17" s="187">
        <v>517320.0</v>
      </c>
      <c r="AU17" s="75"/>
      <c r="AV17" s="75"/>
      <c r="AW17" s="187">
        <v>522730.0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1533950</v>
      </c>
      <c r="BL17" s="93">
        <f t="shared" si="23"/>
        <v>1533629.8</v>
      </c>
      <c r="BM17" s="94">
        <f t="shared" si="24"/>
        <v>320.2</v>
      </c>
      <c r="BN17" s="13"/>
      <c r="BO17" s="95">
        <f t="shared" si="25"/>
        <v>0.3220464287</v>
      </c>
      <c r="BP17" s="95">
        <f t="shared" si="26"/>
        <v>0</v>
      </c>
      <c r="BQ17" s="95">
        <f t="shared" si="27"/>
        <v>0.3373173891</v>
      </c>
      <c r="BR17" s="95">
        <f t="shared" si="28"/>
        <v>0.3408449679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1.000208786</v>
      </c>
      <c r="BW17" s="95">
        <f t="shared" si="33"/>
        <v>0.09185216184</v>
      </c>
    </row>
    <row r="18" ht="15.75" customHeight="1">
      <c r="A18" s="168">
        <f>'LUCERO RECOLETA'!A18</f>
        <v>46152</v>
      </c>
      <c r="B18" s="162"/>
      <c r="C18" s="163">
        <v>104.0</v>
      </c>
      <c r="D18" s="165">
        <f t="shared" si="34"/>
        <v>6992</v>
      </c>
      <c r="E18" s="165">
        <f t="shared" si="2"/>
        <v>7095</v>
      </c>
      <c r="F18" s="73"/>
      <c r="G18" s="74"/>
      <c r="H18" s="169">
        <v>956537.33</v>
      </c>
      <c r="I18" s="169">
        <v>200872.67</v>
      </c>
      <c r="J18" s="76"/>
      <c r="K18" s="83">
        <f t="shared" si="3"/>
        <v>1157410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6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1157410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-1158200</v>
      </c>
      <c r="AQ18" s="186">
        <f>70000+60000+80000+90000+100000+90000+44800</f>
        <v>534800</v>
      </c>
      <c r="AR18" s="96"/>
      <c r="AS18" s="90"/>
      <c r="AT18" s="187">
        <v>388560.0</v>
      </c>
      <c r="AU18" s="75"/>
      <c r="AV18" s="75"/>
      <c r="AW18" s="187">
        <v>234840.0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1158200</v>
      </c>
      <c r="BL18" s="93">
        <f t="shared" si="23"/>
        <v>1157410</v>
      </c>
      <c r="BM18" s="94">
        <f t="shared" si="24"/>
        <v>790</v>
      </c>
      <c r="BN18" s="14"/>
      <c r="BO18" s="95">
        <f t="shared" si="25"/>
        <v>0.462066165</v>
      </c>
      <c r="BP18" s="95">
        <f t="shared" si="26"/>
        <v>0</v>
      </c>
      <c r="BQ18" s="95">
        <f t="shared" si="27"/>
        <v>0.335715088</v>
      </c>
      <c r="BR18" s="95">
        <f t="shared" si="28"/>
        <v>0.2029013055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1.000682558</v>
      </c>
      <c r="BW18" s="95">
        <f t="shared" si="33"/>
        <v>0.06931960414</v>
      </c>
    </row>
    <row r="19" ht="15.75" customHeight="1">
      <c r="A19" s="168">
        <f>'LUCERO RECOLETA'!A19</f>
        <v>46153</v>
      </c>
      <c r="B19" s="162"/>
      <c r="C19" s="163">
        <v>26.0</v>
      </c>
      <c r="D19" s="165">
        <f t="shared" si="34"/>
        <v>7096</v>
      </c>
      <c r="E19" s="165">
        <f t="shared" si="2"/>
        <v>7121</v>
      </c>
      <c r="F19" s="73"/>
      <c r="G19" s="74"/>
      <c r="H19" s="169">
        <v>222256.21</v>
      </c>
      <c r="I19" s="169">
        <v>46673.79</v>
      </c>
      <c r="J19" s="76"/>
      <c r="K19" s="83">
        <f t="shared" si="3"/>
        <v>268930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6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268930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-268080</v>
      </c>
      <c r="AQ19" s="169">
        <v>63900.0</v>
      </c>
      <c r="AR19" s="96"/>
      <c r="AS19" s="90"/>
      <c r="AT19" s="187">
        <v>35940.0</v>
      </c>
      <c r="AU19" s="75"/>
      <c r="AV19" s="75"/>
      <c r="AW19" s="187">
        <v>168240.0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268080</v>
      </c>
      <c r="BL19" s="93">
        <f t="shared" si="23"/>
        <v>268930</v>
      </c>
      <c r="BM19" s="94">
        <f t="shared" si="24"/>
        <v>-850</v>
      </c>
      <c r="BN19" s="13"/>
      <c r="BO19" s="95">
        <f t="shared" si="25"/>
        <v>0.2376082996</v>
      </c>
      <c r="BP19" s="95">
        <f t="shared" si="26"/>
        <v>0</v>
      </c>
      <c r="BQ19" s="95">
        <f t="shared" si="27"/>
        <v>0.1336407244</v>
      </c>
      <c r="BR19" s="95">
        <f t="shared" si="28"/>
        <v>0.6255903023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0.9968393262</v>
      </c>
      <c r="BW19" s="95">
        <f t="shared" si="33"/>
        <v>0.01610675659</v>
      </c>
    </row>
    <row r="20" ht="15.75" customHeight="1">
      <c r="A20" s="168">
        <f>'LUCERO RECOLETA'!A20</f>
        <v>46154</v>
      </c>
      <c r="B20" s="162"/>
      <c r="C20" s="163">
        <v>19.0</v>
      </c>
      <c r="D20" s="165">
        <f t="shared" si="34"/>
        <v>7122</v>
      </c>
      <c r="E20" s="165">
        <f t="shared" si="2"/>
        <v>7140</v>
      </c>
      <c r="F20" s="73"/>
      <c r="G20" s="74"/>
      <c r="H20" s="169">
        <v>91900.85</v>
      </c>
      <c r="I20" s="169">
        <v>19299.15</v>
      </c>
      <c r="J20" s="76"/>
      <c r="K20" s="83">
        <f t="shared" si="3"/>
        <v>111200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6"/>
        <v>0</v>
      </c>
      <c r="V20" s="166"/>
      <c r="W20" s="82">
        <f t="shared" si="7"/>
        <v>0</v>
      </c>
      <c r="X20" s="165"/>
      <c r="Y20" s="165"/>
      <c r="Z20" s="79"/>
      <c r="AA20" s="80">
        <f t="shared" si="8"/>
        <v>0</v>
      </c>
      <c r="AB20" s="166"/>
      <c r="AC20" s="81">
        <f t="shared" si="9"/>
        <v>0</v>
      </c>
      <c r="AD20" s="84">
        <f t="shared" si="10"/>
        <v>111200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-111290</v>
      </c>
      <c r="AQ20" s="169">
        <v>67900.0</v>
      </c>
      <c r="AR20" s="96"/>
      <c r="AS20" s="90"/>
      <c r="AT20" s="187">
        <v>22960.0</v>
      </c>
      <c r="AU20" s="75"/>
      <c r="AV20" s="75"/>
      <c r="AW20" s="187">
        <v>20430.0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111290</v>
      </c>
      <c r="BL20" s="93">
        <f t="shared" si="23"/>
        <v>111200</v>
      </c>
      <c r="BM20" s="94">
        <f t="shared" si="24"/>
        <v>90</v>
      </c>
      <c r="BN20" s="13"/>
      <c r="BO20" s="95">
        <f t="shared" si="25"/>
        <v>0.6106115108</v>
      </c>
      <c r="BP20" s="95">
        <f t="shared" si="26"/>
        <v>0</v>
      </c>
      <c r="BQ20" s="95">
        <f t="shared" si="27"/>
        <v>0.2064748201</v>
      </c>
      <c r="BR20" s="95">
        <f t="shared" si="28"/>
        <v>0.1837230216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1.000809353</v>
      </c>
      <c r="BW20" s="95">
        <f t="shared" si="33"/>
        <v>0.006659990824</v>
      </c>
    </row>
    <row r="21" ht="15.75" customHeight="1">
      <c r="A21" s="168">
        <f>'LUCERO RECOLETA'!A21</f>
        <v>46155</v>
      </c>
      <c r="B21" s="162"/>
      <c r="C21" s="163">
        <v>35.0</v>
      </c>
      <c r="D21" s="165">
        <f t="shared" si="34"/>
        <v>7141</v>
      </c>
      <c r="E21" s="165">
        <f t="shared" si="2"/>
        <v>7175</v>
      </c>
      <c r="F21" s="73"/>
      <c r="G21" s="74"/>
      <c r="H21" s="169">
        <v>428322.32</v>
      </c>
      <c r="I21" s="169">
        <v>89947.68</v>
      </c>
      <c r="J21" s="76"/>
      <c r="K21" s="83">
        <f t="shared" si="3"/>
        <v>518270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6"/>
        <v>0</v>
      </c>
      <c r="V21" s="166"/>
      <c r="W21" s="82">
        <f t="shared" si="7"/>
        <v>0</v>
      </c>
      <c r="X21" s="165"/>
      <c r="Y21" s="165"/>
      <c r="Z21" s="79"/>
      <c r="AA21" s="80">
        <f t="shared" si="8"/>
        <v>0</v>
      </c>
      <c r="AB21" s="166"/>
      <c r="AC21" s="81">
        <f t="shared" si="9"/>
        <v>0</v>
      </c>
      <c r="AD21" s="84">
        <f t="shared" si="10"/>
        <v>518270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-518640</v>
      </c>
      <c r="AQ21" s="75">
        <f>80000+62500</f>
        <v>142500</v>
      </c>
      <c r="AR21" s="96"/>
      <c r="AS21" s="90"/>
      <c r="AT21" s="187">
        <v>212840.0</v>
      </c>
      <c r="AU21" s="75"/>
      <c r="AV21" s="75"/>
      <c r="AW21" s="187">
        <v>163300.0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518640</v>
      </c>
      <c r="BL21" s="93">
        <f t="shared" si="23"/>
        <v>518270</v>
      </c>
      <c r="BM21" s="94">
        <f t="shared" si="24"/>
        <v>370</v>
      </c>
      <c r="BN21" s="13"/>
      <c r="BO21" s="95">
        <f t="shared" ref="BO21:BO22" si="39">IF(AQ21+AQ22=0,0,(AQ21+AQ22)/AD21)</f>
        <v>0.3376618365</v>
      </c>
      <c r="BP21" s="95">
        <f t="shared" si="26"/>
        <v>0</v>
      </c>
      <c r="BQ21" s="95">
        <f t="shared" si="27"/>
        <v>0.410673973</v>
      </c>
      <c r="BR21" s="95">
        <f t="shared" si="28"/>
        <v>0.3150867309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1.06342254</v>
      </c>
      <c r="BW21" s="95">
        <f t="shared" si="33"/>
        <v>0.03104022882</v>
      </c>
    </row>
    <row r="22" ht="15.75" customHeight="1">
      <c r="A22" s="168">
        <f>'LUCERO RECOLETA'!A22</f>
        <v>46156</v>
      </c>
      <c r="B22" s="162"/>
      <c r="C22" s="163">
        <v>31.0</v>
      </c>
      <c r="D22" s="165">
        <f t="shared" si="34"/>
        <v>7176</v>
      </c>
      <c r="E22" s="165">
        <f t="shared" si="2"/>
        <v>7206</v>
      </c>
      <c r="F22" s="73"/>
      <c r="G22" s="74"/>
      <c r="H22" s="169">
        <v>222008.31</v>
      </c>
      <c r="I22" s="169">
        <v>46621.69</v>
      </c>
      <c r="J22" s="76"/>
      <c r="K22" s="83">
        <f t="shared" si="3"/>
        <v>268630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6"/>
        <v>0</v>
      </c>
      <c r="V22" s="166"/>
      <c r="W22" s="82">
        <f t="shared" si="7"/>
        <v>0</v>
      </c>
      <c r="X22" s="165"/>
      <c r="Y22" s="165"/>
      <c r="Z22" s="79"/>
      <c r="AA22" s="80">
        <f t="shared" si="8"/>
        <v>0</v>
      </c>
      <c r="AB22" s="166"/>
      <c r="AC22" s="81">
        <f t="shared" si="9"/>
        <v>0</v>
      </c>
      <c r="AD22" s="84">
        <f t="shared" si="10"/>
        <v>268630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-268730</v>
      </c>
      <c r="AQ22" s="169">
        <v>32500.0</v>
      </c>
      <c r="AR22" s="96"/>
      <c r="AS22" s="90"/>
      <c r="AT22" s="187">
        <v>114840.0</v>
      </c>
      <c r="AU22" s="75"/>
      <c r="AV22" s="75"/>
      <c r="AW22" s="187">
        <v>121390.0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268730</v>
      </c>
      <c r="BL22" s="93">
        <f t="shared" si="23"/>
        <v>268630</v>
      </c>
      <c r="BM22" s="94">
        <f t="shared" si="24"/>
        <v>100</v>
      </c>
      <c r="BN22" s="13"/>
      <c r="BO22" s="95">
        <f t="shared" si="39"/>
        <v>0.3555075755</v>
      </c>
      <c r="BP22" s="95">
        <f t="shared" si="26"/>
        <v>0</v>
      </c>
      <c r="BQ22" s="95">
        <f t="shared" si="27"/>
        <v>0.4275025127</v>
      </c>
      <c r="BR22" s="95">
        <f t="shared" si="28"/>
        <v>0.4518854931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1.234895581</v>
      </c>
      <c r="BW22" s="95">
        <f t="shared" si="33"/>
        <v>0.01608878899</v>
      </c>
    </row>
    <row r="23" ht="15.75" customHeight="1">
      <c r="A23" s="168">
        <f>'LUCERO RECOLETA'!A23</f>
        <v>46157</v>
      </c>
      <c r="B23" s="162"/>
      <c r="C23" s="163">
        <v>33.0</v>
      </c>
      <c r="D23" s="165">
        <f t="shared" si="34"/>
        <v>7207</v>
      </c>
      <c r="E23" s="165">
        <f t="shared" si="2"/>
        <v>7239</v>
      </c>
      <c r="F23" s="73"/>
      <c r="G23" s="74"/>
      <c r="H23" s="169">
        <v>181669.48</v>
      </c>
      <c r="I23" s="169">
        <v>38150.52</v>
      </c>
      <c r="J23" s="76"/>
      <c r="K23" s="83">
        <f t="shared" si="3"/>
        <v>219820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6"/>
        <v>0</v>
      </c>
      <c r="V23" s="166"/>
      <c r="W23" s="82">
        <f t="shared" si="7"/>
        <v>0</v>
      </c>
      <c r="X23" s="165"/>
      <c r="Y23" s="165"/>
      <c r="Z23" s="79"/>
      <c r="AA23" s="80">
        <f t="shared" si="8"/>
        <v>0</v>
      </c>
      <c r="AB23" s="166"/>
      <c r="AC23" s="81">
        <f t="shared" si="9"/>
        <v>0</v>
      </c>
      <c r="AD23" s="84">
        <f t="shared" si="10"/>
        <v>219820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-220030</v>
      </c>
      <c r="AQ23" s="169">
        <v>63000.0</v>
      </c>
      <c r="AR23" s="96"/>
      <c r="AS23" s="90"/>
      <c r="AT23" s="187">
        <v>92230.0</v>
      </c>
      <c r="AU23" s="75"/>
      <c r="AV23" s="75"/>
      <c r="AW23" s="187">
        <v>64800.0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220030</v>
      </c>
      <c r="BL23" s="93">
        <f t="shared" si="23"/>
        <v>219820</v>
      </c>
      <c r="BM23" s="94">
        <f t="shared" si="24"/>
        <v>210</v>
      </c>
      <c r="BN23" s="13"/>
      <c r="BO23" s="95">
        <f t="shared" ref="BO23:BO41" si="40">IF(AQ23+AR23=0,0,(AQ23+AR23)/AD23)</f>
        <v>0.2865981257</v>
      </c>
      <c r="BP23" s="95">
        <f t="shared" si="26"/>
        <v>0</v>
      </c>
      <c r="BQ23" s="95">
        <f t="shared" si="27"/>
        <v>0.4195705577</v>
      </c>
      <c r="BR23" s="95">
        <f t="shared" si="28"/>
        <v>0.2947866436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1.000955327</v>
      </c>
      <c r="BW23" s="95">
        <f t="shared" si="33"/>
        <v>0.01316546028</v>
      </c>
    </row>
    <row r="24" ht="15.75" customHeight="1">
      <c r="A24" s="168">
        <f>'LUCERO RECOLETA'!A24</f>
        <v>46158</v>
      </c>
      <c r="B24" s="162"/>
      <c r="C24" s="163">
        <v>62.0</v>
      </c>
      <c r="D24" s="165">
        <f t="shared" si="34"/>
        <v>7240</v>
      </c>
      <c r="E24" s="165">
        <f t="shared" si="2"/>
        <v>7301</v>
      </c>
      <c r="F24" s="73"/>
      <c r="G24" s="74"/>
      <c r="H24" s="169">
        <v>586487.68</v>
      </c>
      <c r="I24" s="169">
        <v>123162.32</v>
      </c>
      <c r="J24" s="76"/>
      <c r="K24" s="83">
        <f t="shared" si="3"/>
        <v>709650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6"/>
        <v>0</v>
      </c>
      <c r="V24" s="166"/>
      <c r="W24" s="82">
        <f t="shared" si="7"/>
        <v>0</v>
      </c>
      <c r="X24" s="165"/>
      <c r="Y24" s="165"/>
      <c r="Z24" s="79"/>
      <c r="AA24" s="80">
        <f t="shared" si="8"/>
        <v>0</v>
      </c>
      <c r="AB24" s="166"/>
      <c r="AC24" s="81">
        <f t="shared" si="9"/>
        <v>0</v>
      </c>
      <c r="AD24" s="84">
        <f t="shared" si="10"/>
        <v>709650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-710010</v>
      </c>
      <c r="AQ24" s="75">
        <f>80000+200000+60000+55600</f>
        <v>395600</v>
      </c>
      <c r="AR24" s="96"/>
      <c r="AS24" s="90"/>
      <c r="AT24" s="187">
        <v>69260.0</v>
      </c>
      <c r="AU24" s="75"/>
      <c r="AV24" s="75"/>
      <c r="AW24" s="187">
        <v>245150.0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710010</v>
      </c>
      <c r="BL24" s="93">
        <f t="shared" si="23"/>
        <v>709650</v>
      </c>
      <c r="BM24" s="94">
        <f t="shared" si="24"/>
        <v>360</v>
      </c>
      <c r="BN24" s="14"/>
      <c r="BO24" s="95">
        <f t="shared" si="40"/>
        <v>0.5574579018</v>
      </c>
      <c r="BP24" s="95">
        <f t="shared" si="26"/>
        <v>0</v>
      </c>
      <c r="BQ24" s="95">
        <f t="shared" si="27"/>
        <v>0.09759740717</v>
      </c>
      <c r="BR24" s="95">
        <f t="shared" si="28"/>
        <v>0.3454519834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1.000507292</v>
      </c>
      <c r="BW24" s="95">
        <f t="shared" si="33"/>
        <v>0.04250236051</v>
      </c>
    </row>
    <row r="25" ht="15.75" customHeight="1">
      <c r="A25" s="168">
        <f>'LUCERO RECOLETA'!A25</f>
        <v>46159</v>
      </c>
      <c r="B25" s="162"/>
      <c r="C25" s="176">
        <v>129.0</v>
      </c>
      <c r="D25" s="165">
        <f t="shared" si="34"/>
        <v>7302</v>
      </c>
      <c r="E25" s="165">
        <f t="shared" si="2"/>
        <v>7430</v>
      </c>
      <c r="F25" s="73"/>
      <c r="G25" s="74"/>
      <c r="H25" s="169">
        <v>1354165.45</v>
      </c>
      <c r="I25" s="169">
        <v>284374.55</v>
      </c>
      <c r="J25" s="76"/>
      <c r="K25" s="83">
        <f t="shared" si="3"/>
        <v>1638540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6"/>
        <v>0</v>
      </c>
      <c r="V25" s="166"/>
      <c r="W25" s="82">
        <f t="shared" si="7"/>
        <v>0</v>
      </c>
      <c r="X25" s="165"/>
      <c r="Y25" s="165"/>
      <c r="Z25" s="79"/>
      <c r="AA25" s="80">
        <f t="shared" si="8"/>
        <v>0</v>
      </c>
      <c r="AB25" s="166"/>
      <c r="AC25" s="81">
        <f t="shared" si="9"/>
        <v>0</v>
      </c>
      <c r="AD25" s="84">
        <f t="shared" si="10"/>
        <v>1638540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-1639270</v>
      </c>
      <c r="AQ25" s="191">
        <f>80000+50000+120000+60000+100000+100000+62300</f>
        <v>572300</v>
      </c>
      <c r="AR25" s="97"/>
      <c r="AS25" s="90"/>
      <c r="AT25" s="187">
        <v>395390.0</v>
      </c>
      <c r="AU25" s="75"/>
      <c r="AV25" s="75"/>
      <c r="AW25" s="187">
        <v>671580.0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1639270</v>
      </c>
      <c r="BL25" s="93">
        <f t="shared" si="23"/>
        <v>1638540</v>
      </c>
      <c r="BM25" s="94">
        <f t="shared" si="24"/>
        <v>730</v>
      </c>
      <c r="BN25" s="188"/>
      <c r="BO25" s="95">
        <f t="shared" si="40"/>
        <v>0.349274354</v>
      </c>
      <c r="BP25" s="95">
        <f t="shared" si="26"/>
        <v>0</v>
      </c>
      <c r="BQ25" s="95">
        <f t="shared" si="27"/>
        <v>0.2413062849</v>
      </c>
      <c r="BR25" s="95">
        <f t="shared" si="28"/>
        <v>0.4098648797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1.000445519</v>
      </c>
      <c r="BW25" s="95">
        <f t="shared" si="33"/>
        <v>0.09813544393</v>
      </c>
    </row>
    <row r="26" ht="15.75" customHeight="1">
      <c r="A26" s="168">
        <f>'LUCERO RECOLETA'!A26</f>
        <v>46160</v>
      </c>
      <c r="B26" s="162"/>
      <c r="C26" s="163">
        <v>19.0</v>
      </c>
      <c r="D26" s="165">
        <f t="shared" si="34"/>
        <v>7431</v>
      </c>
      <c r="E26" s="165">
        <f t="shared" si="2"/>
        <v>7449</v>
      </c>
      <c r="F26" s="73"/>
      <c r="G26" s="74"/>
      <c r="H26" s="169">
        <v>213305.8</v>
      </c>
      <c r="I26" s="169">
        <v>44794.2</v>
      </c>
      <c r="J26" s="76"/>
      <c r="K26" s="83">
        <f t="shared" si="3"/>
        <v>258100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6"/>
        <v>0</v>
      </c>
      <c r="V26" s="166"/>
      <c r="W26" s="82">
        <f t="shared" si="7"/>
        <v>0</v>
      </c>
      <c r="X26" s="165"/>
      <c r="Y26" s="165"/>
      <c r="Z26" s="79"/>
      <c r="AA26" s="80">
        <f t="shared" si="8"/>
        <v>0</v>
      </c>
      <c r="AB26" s="166"/>
      <c r="AC26" s="81">
        <f t="shared" si="9"/>
        <v>0</v>
      </c>
      <c r="AD26" s="84">
        <f t="shared" si="10"/>
        <v>258100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-258240</v>
      </c>
      <c r="AQ26" s="169">
        <v>100000.0</v>
      </c>
      <c r="AR26" s="96"/>
      <c r="AS26" s="90"/>
      <c r="AT26" s="187">
        <v>64900.0</v>
      </c>
      <c r="AU26" s="75"/>
      <c r="AV26" s="75"/>
      <c r="AW26" s="187">
        <v>93340.0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258240</v>
      </c>
      <c r="BL26" s="93">
        <f t="shared" si="23"/>
        <v>258100</v>
      </c>
      <c r="BM26" s="94">
        <f t="shared" si="24"/>
        <v>140</v>
      </c>
      <c r="BN26" s="14"/>
      <c r="BO26" s="95">
        <f t="shared" si="40"/>
        <v>0.3874467261</v>
      </c>
      <c r="BP26" s="95">
        <f t="shared" si="26"/>
        <v>0</v>
      </c>
      <c r="BQ26" s="95">
        <f t="shared" si="27"/>
        <v>0.2514529252</v>
      </c>
      <c r="BR26" s="95">
        <f t="shared" si="28"/>
        <v>0.3616427741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1.000542425</v>
      </c>
      <c r="BW26" s="95">
        <f t="shared" si="33"/>
        <v>0.01545812619</v>
      </c>
    </row>
    <row r="27" ht="15.75" customHeight="1">
      <c r="A27" s="168">
        <f>'LUCERO RECOLETA'!A27</f>
        <v>46161</v>
      </c>
      <c r="B27" s="162"/>
      <c r="C27" s="163">
        <v>22.0</v>
      </c>
      <c r="D27" s="165">
        <f t="shared" si="34"/>
        <v>7450</v>
      </c>
      <c r="E27" s="165">
        <f t="shared" si="2"/>
        <v>7471</v>
      </c>
      <c r="F27" s="73"/>
      <c r="G27" s="74"/>
      <c r="H27" s="169">
        <v>190099.24</v>
      </c>
      <c r="I27" s="169">
        <v>39920.76</v>
      </c>
      <c r="J27" s="76"/>
      <c r="K27" s="83">
        <f t="shared" si="3"/>
        <v>230020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6"/>
        <v>0</v>
      </c>
      <c r="V27" s="166"/>
      <c r="W27" s="82">
        <f t="shared" si="7"/>
        <v>0</v>
      </c>
      <c r="X27" s="165"/>
      <c r="Y27" s="165"/>
      <c r="Z27" s="79"/>
      <c r="AA27" s="80">
        <f t="shared" si="8"/>
        <v>0</v>
      </c>
      <c r="AB27" s="166"/>
      <c r="AC27" s="81">
        <f t="shared" si="9"/>
        <v>0</v>
      </c>
      <c r="AD27" s="84">
        <f t="shared" si="10"/>
        <v>230020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-230030</v>
      </c>
      <c r="AQ27" s="75">
        <f>40000+41300</f>
        <v>81300</v>
      </c>
      <c r="AR27" s="96"/>
      <c r="AS27" s="90"/>
      <c r="AT27" s="187">
        <v>120280.0</v>
      </c>
      <c r="AU27" s="75"/>
      <c r="AV27" s="75"/>
      <c r="AW27" s="187">
        <v>28450.0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230030</v>
      </c>
      <c r="BL27" s="93">
        <f t="shared" si="23"/>
        <v>230020</v>
      </c>
      <c r="BM27" s="94">
        <f t="shared" si="24"/>
        <v>10</v>
      </c>
      <c r="BN27" s="14"/>
      <c r="BO27" s="95">
        <f t="shared" si="40"/>
        <v>0.3534475263</v>
      </c>
      <c r="BP27" s="95">
        <f t="shared" si="26"/>
        <v>0</v>
      </c>
      <c r="BQ27" s="95">
        <f t="shared" si="27"/>
        <v>0.5229110512</v>
      </c>
      <c r="BR27" s="95">
        <f t="shared" si="28"/>
        <v>0.123684897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1.000043474</v>
      </c>
      <c r="BW27" s="95">
        <f t="shared" si="33"/>
        <v>0.01377635872</v>
      </c>
    </row>
    <row r="28" ht="15.75" customHeight="1">
      <c r="A28" s="168">
        <f>'LUCERO RECOLETA'!A28</f>
        <v>46162</v>
      </c>
      <c r="B28" s="162"/>
      <c r="C28" s="163">
        <v>32.0</v>
      </c>
      <c r="D28" s="165">
        <f t="shared" si="34"/>
        <v>7472</v>
      </c>
      <c r="E28" s="165">
        <f t="shared" si="2"/>
        <v>7503</v>
      </c>
      <c r="F28" s="73"/>
      <c r="G28" s="74"/>
      <c r="H28" s="169">
        <v>287950.43</v>
      </c>
      <c r="I28" s="169">
        <v>60469.57</v>
      </c>
      <c r="J28" s="76"/>
      <c r="K28" s="83">
        <f t="shared" si="3"/>
        <v>348420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6"/>
        <v>0</v>
      </c>
      <c r="V28" s="166"/>
      <c r="W28" s="82">
        <f t="shared" si="7"/>
        <v>0</v>
      </c>
      <c r="X28" s="165"/>
      <c r="Y28" s="165"/>
      <c r="Z28" s="79"/>
      <c r="AA28" s="80">
        <f t="shared" si="8"/>
        <v>0</v>
      </c>
      <c r="AB28" s="166"/>
      <c r="AC28" s="81">
        <f t="shared" si="9"/>
        <v>0</v>
      </c>
      <c r="AD28" s="84">
        <f t="shared" si="10"/>
        <v>348420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-348480</v>
      </c>
      <c r="AQ28" s="169">
        <v>86400.0</v>
      </c>
      <c r="AR28" s="99"/>
      <c r="AS28" s="90"/>
      <c r="AT28" s="187">
        <v>154220.0</v>
      </c>
      <c r="AU28" s="75"/>
      <c r="AV28" s="75"/>
      <c r="AW28" s="187">
        <v>107860.0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348480</v>
      </c>
      <c r="BL28" s="93">
        <f t="shared" si="23"/>
        <v>348420</v>
      </c>
      <c r="BM28" s="94">
        <f t="shared" si="24"/>
        <v>60</v>
      </c>
      <c r="BN28" s="13"/>
      <c r="BO28" s="95">
        <f t="shared" si="40"/>
        <v>0.24797658</v>
      </c>
      <c r="BP28" s="95">
        <f t="shared" si="26"/>
        <v>0</v>
      </c>
      <c r="BQ28" s="95">
        <f t="shared" si="27"/>
        <v>0.4426267149</v>
      </c>
      <c r="BR28" s="95">
        <f t="shared" si="28"/>
        <v>0.3095689111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1.000172206</v>
      </c>
      <c r="BW28" s="95">
        <f t="shared" si="33"/>
        <v>0.02086757197</v>
      </c>
    </row>
    <row r="29" ht="15.75" customHeight="1">
      <c r="A29" s="168">
        <f>'LUCERO RECOLETA'!A29</f>
        <v>46163</v>
      </c>
      <c r="B29" s="162"/>
      <c r="C29" s="163">
        <v>44.0</v>
      </c>
      <c r="D29" s="165">
        <f t="shared" si="34"/>
        <v>7504</v>
      </c>
      <c r="E29" s="165">
        <f t="shared" si="2"/>
        <v>7547</v>
      </c>
      <c r="F29" s="73"/>
      <c r="G29" s="74"/>
      <c r="H29" s="169">
        <v>387264.52</v>
      </c>
      <c r="I29" s="169">
        <v>81325.48</v>
      </c>
      <c r="J29" s="76"/>
      <c r="K29" s="83">
        <f t="shared" si="3"/>
        <v>468590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6"/>
        <v>0</v>
      </c>
      <c r="V29" s="166"/>
      <c r="W29" s="82">
        <f t="shared" si="7"/>
        <v>0</v>
      </c>
      <c r="X29" s="165"/>
      <c r="Y29" s="165"/>
      <c r="Z29" s="79"/>
      <c r="AA29" s="80">
        <f t="shared" si="8"/>
        <v>0</v>
      </c>
      <c r="AB29" s="166"/>
      <c r="AC29" s="81">
        <f t="shared" si="9"/>
        <v>0</v>
      </c>
      <c r="AD29" s="84">
        <f t="shared" si="10"/>
        <v>468590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-467810</v>
      </c>
      <c r="AQ29" s="75">
        <f>40000+59500</f>
        <v>99500</v>
      </c>
      <c r="AR29" s="99"/>
      <c r="AS29" s="90"/>
      <c r="AT29" s="187">
        <v>219160.0</v>
      </c>
      <c r="AU29" s="75"/>
      <c r="AV29" s="75"/>
      <c r="AW29" s="187">
        <v>149150.0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467810</v>
      </c>
      <c r="BL29" s="93">
        <f t="shared" si="23"/>
        <v>468590</v>
      </c>
      <c r="BM29" s="94">
        <f t="shared" si="24"/>
        <v>-780</v>
      </c>
      <c r="BN29" s="149"/>
      <c r="BO29" s="95">
        <f t="shared" si="40"/>
        <v>0.2123391451</v>
      </c>
      <c r="BP29" s="95">
        <f t="shared" si="26"/>
        <v>0</v>
      </c>
      <c r="BQ29" s="95">
        <f t="shared" si="27"/>
        <v>0.4677009753</v>
      </c>
      <c r="BR29" s="95">
        <f t="shared" si="28"/>
        <v>0.3182953115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0.9983354318</v>
      </c>
      <c r="BW29" s="95">
        <f t="shared" si="33"/>
        <v>0.02806479407</v>
      </c>
    </row>
    <row r="30" ht="15.75" customHeight="1">
      <c r="A30" s="168">
        <f>'LUCERO RECOLETA'!A30</f>
        <v>46164</v>
      </c>
      <c r="B30" s="162"/>
      <c r="C30" s="163">
        <v>50.0</v>
      </c>
      <c r="D30" s="165">
        <f t="shared" si="34"/>
        <v>7548</v>
      </c>
      <c r="E30" s="165">
        <f t="shared" si="2"/>
        <v>7597</v>
      </c>
      <c r="F30" s="73"/>
      <c r="G30" s="74"/>
      <c r="H30" s="169">
        <v>362363.74</v>
      </c>
      <c r="I30" s="169">
        <v>76096.26</v>
      </c>
      <c r="J30" s="76"/>
      <c r="K30" s="83">
        <f t="shared" si="3"/>
        <v>438460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6"/>
        <v>0</v>
      </c>
      <c r="V30" s="166"/>
      <c r="W30" s="82">
        <f t="shared" si="7"/>
        <v>0</v>
      </c>
      <c r="X30" s="165"/>
      <c r="Y30" s="165"/>
      <c r="Z30" s="79"/>
      <c r="AA30" s="80">
        <f t="shared" si="8"/>
        <v>0</v>
      </c>
      <c r="AB30" s="166"/>
      <c r="AC30" s="81">
        <f t="shared" si="9"/>
        <v>0</v>
      </c>
      <c r="AD30" s="84">
        <f t="shared" si="10"/>
        <v>438460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-438620</v>
      </c>
      <c r="AQ30" s="75">
        <f>80000+61800</f>
        <v>141800</v>
      </c>
      <c r="AR30" s="99"/>
      <c r="AS30" s="90"/>
      <c r="AT30" s="187">
        <v>82330.0</v>
      </c>
      <c r="AU30" s="75"/>
      <c r="AV30" s="75"/>
      <c r="AW30" s="187">
        <v>214490.0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438620</v>
      </c>
      <c r="BL30" s="93">
        <f t="shared" si="23"/>
        <v>438460</v>
      </c>
      <c r="BM30" s="94">
        <f t="shared" si="24"/>
        <v>160</v>
      </c>
      <c r="BN30" s="13"/>
      <c r="BO30" s="95">
        <f t="shared" si="40"/>
        <v>0.3234046435</v>
      </c>
      <c r="BP30" s="95">
        <f t="shared" si="26"/>
        <v>0</v>
      </c>
      <c r="BQ30" s="95">
        <f t="shared" si="27"/>
        <v>0.1877708343</v>
      </c>
      <c r="BR30" s="95">
        <f t="shared" si="28"/>
        <v>0.4891894358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1.000364914</v>
      </c>
      <c r="BW30" s="95">
        <f t="shared" si="33"/>
        <v>0.02626024799</v>
      </c>
    </row>
    <row r="31" ht="15.75" customHeight="1">
      <c r="A31" s="168">
        <f>'LUCERO RECOLETA'!A31</f>
        <v>46165</v>
      </c>
      <c r="B31" s="162"/>
      <c r="C31" s="163">
        <v>70.0</v>
      </c>
      <c r="D31" s="165">
        <f t="shared" si="34"/>
        <v>7598</v>
      </c>
      <c r="E31" s="165">
        <f t="shared" si="2"/>
        <v>7667</v>
      </c>
      <c r="F31" s="73"/>
      <c r="G31" s="74"/>
      <c r="H31" s="169">
        <v>766925.73</v>
      </c>
      <c r="I31" s="169">
        <v>161054.27</v>
      </c>
      <c r="J31" s="76"/>
      <c r="K31" s="83">
        <f t="shared" si="3"/>
        <v>927980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6"/>
        <v>0</v>
      </c>
      <c r="V31" s="166"/>
      <c r="W31" s="82">
        <f t="shared" si="7"/>
        <v>0</v>
      </c>
      <c r="X31" s="165"/>
      <c r="Y31" s="165"/>
      <c r="Z31" s="79"/>
      <c r="AA31" s="80">
        <f t="shared" si="8"/>
        <v>0</v>
      </c>
      <c r="AB31" s="166"/>
      <c r="AC31" s="81">
        <f t="shared" si="9"/>
        <v>0</v>
      </c>
      <c r="AD31" s="84">
        <f t="shared" si="10"/>
        <v>927980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-928620</v>
      </c>
      <c r="AQ31" s="75">
        <f>80000+50000+80000+110000+106400</f>
        <v>426400</v>
      </c>
      <c r="AR31" s="96"/>
      <c r="AS31" s="90"/>
      <c r="AT31" s="187">
        <v>317640.0</v>
      </c>
      <c r="AU31" s="75"/>
      <c r="AV31" s="75"/>
      <c r="AW31" s="187">
        <v>184580.0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928620</v>
      </c>
      <c r="BL31" s="93">
        <f t="shared" si="23"/>
        <v>927980</v>
      </c>
      <c r="BM31" s="94">
        <f t="shared" si="24"/>
        <v>640</v>
      </c>
      <c r="BN31" s="13"/>
      <c r="BO31" s="95">
        <f t="shared" si="40"/>
        <v>0.4594926615</v>
      </c>
      <c r="BP31" s="95">
        <f t="shared" si="26"/>
        <v>0</v>
      </c>
      <c r="BQ31" s="95">
        <f t="shared" si="27"/>
        <v>0.3422918597</v>
      </c>
      <c r="BR31" s="95">
        <f t="shared" si="28"/>
        <v>0.1989051488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1.00068967</v>
      </c>
      <c r="BW31" s="95">
        <f t="shared" si="33"/>
        <v>0.0555785817</v>
      </c>
    </row>
    <row r="32" ht="15.75" customHeight="1">
      <c r="A32" s="168">
        <f>'LUCERO RECOLETA'!A32</f>
        <v>46166</v>
      </c>
      <c r="B32" s="162"/>
      <c r="C32" s="163">
        <v>143.0</v>
      </c>
      <c r="D32" s="165">
        <f t="shared" si="34"/>
        <v>7668</v>
      </c>
      <c r="E32" s="165">
        <f t="shared" si="2"/>
        <v>7810</v>
      </c>
      <c r="F32" s="73"/>
      <c r="G32" s="74"/>
      <c r="H32" s="169">
        <v>1195867.96</v>
      </c>
      <c r="I32" s="169">
        <v>251132.04</v>
      </c>
      <c r="J32" s="76"/>
      <c r="K32" s="83">
        <f t="shared" si="3"/>
        <v>1447000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6"/>
        <v>0</v>
      </c>
      <c r="V32" s="166"/>
      <c r="W32" s="82">
        <f t="shared" si="7"/>
        <v>0</v>
      </c>
      <c r="X32" s="165"/>
      <c r="Y32" s="165"/>
      <c r="Z32" s="79"/>
      <c r="AA32" s="80">
        <f t="shared" si="8"/>
        <v>0</v>
      </c>
      <c r="AB32" s="166"/>
      <c r="AC32" s="81">
        <f t="shared" si="9"/>
        <v>0</v>
      </c>
      <c r="AD32" s="84">
        <f t="shared" si="10"/>
        <v>1447000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-1447140</v>
      </c>
      <c r="AQ32" s="75">
        <f>100000+80000+100000+30000+100000+120000+80000+28400</f>
        <v>638400</v>
      </c>
      <c r="AR32" s="96"/>
      <c r="AS32" s="90"/>
      <c r="AT32" s="187">
        <v>390730.0</v>
      </c>
      <c r="AU32" s="75"/>
      <c r="AV32" s="75"/>
      <c r="AW32" s="187">
        <v>418010.0</v>
      </c>
      <c r="AX32" s="88"/>
      <c r="AY32" s="75"/>
      <c r="AZ32" s="90">
        <f t="shared" si="16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1447140</v>
      </c>
      <c r="BL32" s="93">
        <f t="shared" si="23"/>
        <v>1447000</v>
      </c>
      <c r="BM32" s="94">
        <f t="shared" si="24"/>
        <v>140</v>
      </c>
      <c r="BN32" s="13"/>
      <c r="BO32" s="95">
        <f t="shared" si="40"/>
        <v>0.4411886662</v>
      </c>
      <c r="BP32" s="95">
        <f t="shared" si="26"/>
        <v>0</v>
      </c>
      <c r="BQ32" s="95">
        <f t="shared" si="27"/>
        <v>0.2700276434</v>
      </c>
      <c r="BR32" s="95">
        <f t="shared" si="28"/>
        <v>0.2888804423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1.000096752</v>
      </c>
      <c r="BW32" s="95">
        <f t="shared" si="33"/>
        <v>0.08666372952</v>
      </c>
    </row>
    <row r="33" ht="15.75" customHeight="1">
      <c r="A33" s="168">
        <f>'LUCERO RECOLETA'!A33</f>
        <v>46167</v>
      </c>
      <c r="B33" s="162"/>
      <c r="C33" s="176">
        <v>71.0</v>
      </c>
      <c r="D33" s="165">
        <f t="shared" si="34"/>
        <v>7811</v>
      </c>
      <c r="E33" s="165">
        <f t="shared" si="2"/>
        <v>7881</v>
      </c>
      <c r="F33" s="73"/>
      <c r="G33" s="74"/>
      <c r="H33" s="169">
        <v>546405.05</v>
      </c>
      <c r="I33" s="169">
        <v>114744.95</v>
      </c>
      <c r="J33" s="76"/>
      <c r="K33" s="83">
        <f t="shared" si="3"/>
        <v>661150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6"/>
        <v>0</v>
      </c>
      <c r="V33" s="166"/>
      <c r="W33" s="82">
        <f t="shared" si="7"/>
        <v>0</v>
      </c>
      <c r="X33" s="165"/>
      <c r="Y33" s="165"/>
      <c r="Z33" s="79"/>
      <c r="AA33" s="80">
        <f t="shared" si="8"/>
        <v>0</v>
      </c>
      <c r="AB33" s="166"/>
      <c r="AC33" s="81">
        <f t="shared" si="9"/>
        <v>0</v>
      </c>
      <c r="AD33" s="84">
        <f t="shared" si="10"/>
        <v>661150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-661580</v>
      </c>
      <c r="AQ33" s="75">
        <f>100000+100000+72300</f>
        <v>272300</v>
      </c>
      <c r="AR33" s="96"/>
      <c r="AS33" s="90"/>
      <c r="AT33" s="187">
        <v>102310.0</v>
      </c>
      <c r="AU33" s="75"/>
      <c r="AV33" s="75"/>
      <c r="AW33" s="187">
        <v>286970.0</v>
      </c>
      <c r="AX33" s="88"/>
      <c r="AY33" s="75"/>
      <c r="AZ33" s="90">
        <f t="shared" si="16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661580</v>
      </c>
      <c r="BL33" s="93">
        <f t="shared" si="23"/>
        <v>661150</v>
      </c>
      <c r="BM33" s="94">
        <f t="shared" si="24"/>
        <v>430</v>
      </c>
      <c r="BN33" s="13"/>
      <c r="BO33" s="95">
        <f t="shared" si="40"/>
        <v>0.411858126</v>
      </c>
      <c r="BP33" s="95">
        <f t="shared" si="26"/>
        <v>0</v>
      </c>
      <c r="BQ33" s="95">
        <f t="shared" si="27"/>
        <v>0.1547455192</v>
      </c>
      <c r="BR33" s="95">
        <f t="shared" si="28"/>
        <v>0.4340467367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1.000650382</v>
      </c>
      <c r="BW33" s="95">
        <f t="shared" si="33"/>
        <v>0.03959759832</v>
      </c>
    </row>
    <row r="34" ht="15.75" customHeight="1">
      <c r="A34" s="168">
        <f>'LUCERO RECOLETA'!A34</f>
        <v>46168</v>
      </c>
      <c r="B34" s="162"/>
      <c r="C34" s="176">
        <v>24.0</v>
      </c>
      <c r="D34" s="165">
        <f t="shared" si="34"/>
        <v>7882</v>
      </c>
      <c r="E34" s="165">
        <f t="shared" si="2"/>
        <v>7905</v>
      </c>
      <c r="F34" s="73"/>
      <c r="G34" s="74"/>
      <c r="H34" s="169">
        <v>198322.33</v>
      </c>
      <c r="I34" s="169">
        <v>41647.67</v>
      </c>
      <c r="J34" s="76"/>
      <c r="K34" s="83">
        <f t="shared" si="3"/>
        <v>239970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6"/>
        <v>0</v>
      </c>
      <c r="V34" s="166"/>
      <c r="W34" s="82">
        <f t="shared" si="7"/>
        <v>0</v>
      </c>
      <c r="X34" s="165"/>
      <c r="Y34" s="165"/>
      <c r="Z34" s="79"/>
      <c r="AA34" s="80">
        <f t="shared" si="8"/>
        <v>0</v>
      </c>
      <c r="AB34" s="166"/>
      <c r="AC34" s="81">
        <f t="shared" si="9"/>
        <v>0</v>
      </c>
      <c r="AD34" s="84">
        <f t="shared" si="10"/>
        <v>239970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-239990</v>
      </c>
      <c r="AQ34" s="178">
        <v>94700.0</v>
      </c>
      <c r="AR34" s="96"/>
      <c r="AS34" s="90"/>
      <c r="AT34" s="187">
        <v>42910.0</v>
      </c>
      <c r="AU34" s="75"/>
      <c r="AV34" s="75"/>
      <c r="AW34" s="187">
        <v>102380.0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5"/>
        <v>239990</v>
      </c>
      <c r="BL34" s="93">
        <f t="shared" si="23"/>
        <v>239970</v>
      </c>
      <c r="BM34" s="94">
        <f t="shared" si="24"/>
        <v>20</v>
      </c>
      <c r="BN34" s="14"/>
      <c r="BO34" s="95">
        <f t="shared" si="40"/>
        <v>0.3946326624</v>
      </c>
      <c r="BP34" s="95">
        <f t="shared" si="26"/>
        <v>0</v>
      </c>
      <c r="BQ34" s="95">
        <f t="shared" si="27"/>
        <v>0.1788140184</v>
      </c>
      <c r="BR34" s="95">
        <f t="shared" si="28"/>
        <v>0.4266366629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1.000083344</v>
      </c>
      <c r="BW34" s="95">
        <f t="shared" si="33"/>
        <v>0.01437228416</v>
      </c>
    </row>
    <row r="35" ht="15.75" customHeight="1">
      <c r="A35" s="168">
        <f>'LUCERO RECOLETA'!A35</f>
        <v>46169</v>
      </c>
      <c r="B35" s="162"/>
      <c r="C35" s="163">
        <v>9.0</v>
      </c>
      <c r="D35" s="165">
        <f t="shared" si="34"/>
        <v>7906</v>
      </c>
      <c r="E35" s="165">
        <f t="shared" si="2"/>
        <v>7914</v>
      </c>
      <c r="F35" s="73"/>
      <c r="G35" s="74"/>
      <c r="H35" s="169">
        <v>132933.89</v>
      </c>
      <c r="I35" s="169">
        <v>27916.11</v>
      </c>
      <c r="J35" s="76"/>
      <c r="K35" s="83">
        <f t="shared" si="3"/>
        <v>160850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6"/>
        <v>0</v>
      </c>
      <c r="V35" s="166"/>
      <c r="W35" s="82">
        <f t="shared" si="7"/>
        <v>0</v>
      </c>
      <c r="X35" s="165"/>
      <c r="Y35" s="165"/>
      <c r="Z35" s="79"/>
      <c r="AA35" s="80">
        <f t="shared" si="8"/>
        <v>0</v>
      </c>
      <c r="AB35" s="166"/>
      <c r="AC35" s="81">
        <f t="shared" si="9"/>
        <v>0</v>
      </c>
      <c r="AD35" s="84">
        <f t="shared" si="10"/>
        <v>160850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-160940</v>
      </c>
      <c r="AQ35" s="178">
        <v>51500.0</v>
      </c>
      <c r="AR35" s="96"/>
      <c r="AS35" s="90"/>
      <c r="AT35" s="187">
        <v>6990.0</v>
      </c>
      <c r="AU35" s="75"/>
      <c r="AV35" s="75"/>
      <c r="AW35" s="187">
        <v>102450.0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5"/>
        <v>160940</v>
      </c>
      <c r="BL35" s="93">
        <f t="shared" si="23"/>
        <v>160850</v>
      </c>
      <c r="BM35" s="94">
        <f t="shared" si="24"/>
        <v>90</v>
      </c>
      <c r="BN35" s="13"/>
      <c r="BO35" s="95">
        <f t="shared" si="40"/>
        <v>0.3201740752</v>
      </c>
      <c r="BP35" s="95">
        <f t="shared" si="26"/>
        <v>0</v>
      </c>
      <c r="BQ35" s="95">
        <f t="shared" si="27"/>
        <v>0.04345663662</v>
      </c>
      <c r="BR35" s="95">
        <f t="shared" si="28"/>
        <v>0.6369288157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1.000559528</v>
      </c>
      <c r="BW35" s="95">
        <f t="shared" si="33"/>
        <v>0.009633628814</v>
      </c>
    </row>
    <row r="36" ht="15.75" customHeight="1">
      <c r="A36" s="168">
        <f>'LUCERO RECOLETA'!A36</f>
        <v>46170</v>
      </c>
      <c r="B36" s="162"/>
      <c r="C36" s="163">
        <v>21.0</v>
      </c>
      <c r="D36" s="165">
        <f t="shared" si="34"/>
        <v>7915</v>
      </c>
      <c r="E36" s="165">
        <f t="shared" si="2"/>
        <v>7935</v>
      </c>
      <c r="F36" s="73"/>
      <c r="G36" s="74"/>
      <c r="H36" s="169">
        <v>188545.46</v>
      </c>
      <c r="I36" s="169">
        <v>39594.54</v>
      </c>
      <c r="J36" s="76"/>
      <c r="K36" s="83">
        <f t="shared" si="3"/>
        <v>228140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6"/>
        <v>0</v>
      </c>
      <c r="V36" s="166"/>
      <c r="W36" s="82">
        <f t="shared" si="7"/>
        <v>0</v>
      </c>
      <c r="X36" s="165"/>
      <c r="Y36" s="165"/>
      <c r="Z36" s="79"/>
      <c r="AA36" s="80">
        <f t="shared" si="8"/>
        <v>0</v>
      </c>
      <c r="AB36" s="166"/>
      <c r="AC36" s="81">
        <f t="shared" si="9"/>
        <v>0</v>
      </c>
      <c r="AD36" s="84">
        <f t="shared" si="10"/>
        <v>228140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-229240</v>
      </c>
      <c r="AQ36" s="178">
        <v>69600.0</v>
      </c>
      <c r="AR36" s="96"/>
      <c r="AS36" s="90"/>
      <c r="AT36" s="187">
        <v>93340.0</v>
      </c>
      <c r="AU36" s="75"/>
      <c r="AV36" s="75"/>
      <c r="AW36" s="187">
        <v>66300.0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5"/>
        <v>229240</v>
      </c>
      <c r="BL36" s="93">
        <f t="shared" si="23"/>
        <v>228140</v>
      </c>
      <c r="BM36" s="94">
        <f t="shared" si="24"/>
        <v>1100</v>
      </c>
      <c r="BN36" s="13"/>
      <c r="BO36" s="95">
        <f t="shared" si="40"/>
        <v>0.3050758306</v>
      </c>
      <c r="BP36" s="95">
        <f t="shared" si="26"/>
        <v>0</v>
      </c>
      <c r="BQ36" s="95">
        <f t="shared" si="27"/>
        <v>0.4091347418</v>
      </c>
      <c r="BR36" s="95">
        <f t="shared" si="28"/>
        <v>0.2906110283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1.004821601</v>
      </c>
      <c r="BW36" s="95">
        <f t="shared" si="33"/>
        <v>0.01366376175</v>
      </c>
    </row>
    <row r="37" ht="15.75" customHeight="1">
      <c r="A37" s="168">
        <f>'LUCERO RECOLETA'!A37</f>
        <v>46171</v>
      </c>
      <c r="B37" s="162"/>
      <c r="C37" s="163">
        <v>27.0</v>
      </c>
      <c r="D37" s="165">
        <f t="shared" si="34"/>
        <v>7936</v>
      </c>
      <c r="E37" s="165">
        <f t="shared" si="2"/>
        <v>7962</v>
      </c>
      <c r="F37" s="73"/>
      <c r="G37" s="74"/>
      <c r="H37" s="169">
        <v>282140.57</v>
      </c>
      <c r="I37" s="169">
        <v>59249.43</v>
      </c>
      <c r="J37" s="76"/>
      <c r="K37" s="83">
        <f t="shared" si="3"/>
        <v>341390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6"/>
        <v>0</v>
      </c>
      <c r="V37" s="166"/>
      <c r="W37" s="82">
        <f t="shared" si="7"/>
        <v>0</v>
      </c>
      <c r="X37" s="165"/>
      <c r="Y37" s="165"/>
      <c r="Z37" s="79"/>
      <c r="AA37" s="80">
        <f t="shared" si="8"/>
        <v>0</v>
      </c>
      <c r="AB37" s="166"/>
      <c r="AC37" s="81">
        <f t="shared" si="9"/>
        <v>0</v>
      </c>
      <c r="AD37" s="84">
        <f t="shared" si="10"/>
        <v>341390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-341490</v>
      </c>
      <c r="AQ37" s="178">
        <v>97400.0</v>
      </c>
      <c r="AR37" s="96"/>
      <c r="AS37" s="90"/>
      <c r="AT37" s="187">
        <v>197270.0</v>
      </c>
      <c r="AU37" s="75"/>
      <c r="AV37" s="75"/>
      <c r="AW37" s="187">
        <v>46820.0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5"/>
        <v>341490</v>
      </c>
      <c r="BL37" s="93">
        <f t="shared" si="23"/>
        <v>341390</v>
      </c>
      <c r="BM37" s="94">
        <f t="shared" si="24"/>
        <v>100</v>
      </c>
      <c r="BN37" s="13"/>
      <c r="BO37" s="95">
        <f t="shared" si="40"/>
        <v>0.2853041975</v>
      </c>
      <c r="BP37" s="95">
        <f t="shared" si="26"/>
        <v>0</v>
      </c>
      <c r="BQ37" s="95">
        <f t="shared" si="27"/>
        <v>0.5778435221</v>
      </c>
      <c r="BR37" s="95">
        <f t="shared" si="28"/>
        <v>0.1371452005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1.00029292</v>
      </c>
      <c r="BW37" s="95">
        <f t="shared" si="33"/>
        <v>0.02044653118</v>
      </c>
    </row>
    <row r="38" ht="15.75" customHeight="1">
      <c r="A38" s="168">
        <f>'LUCERO RECOLETA'!A38</f>
        <v>46172</v>
      </c>
      <c r="B38" s="162"/>
      <c r="C38" s="163">
        <v>45.0</v>
      </c>
      <c r="D38" s="165">
        <f t="shared" si="34"/>
        <v>7963</v>
      </c>
      <c r="E38" s="165">
        <f t="shared" si="2"/>
        <v>8007</v>
      </c>
      <c r="F38" s="73"/>
      <c r="G38" s="74"/>
      <c r="H38" s="169">
        <v>363570.28</v>
      </c>
      <c r="I38" s="169">
        <v>76349.72</v>
      </c>
      <c r="J38" s="76"/>
      <c r="K38" s="83">
        <f t="shared" si="3"/>
        <v>439920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6"/>
        <v>0</v>
      </c>
      <c r="V38" s="166"/>
      <c r="W38" s="82">
        <f t="shared" si="7"/>
        <v>0</v>
      </c>
      <c r="X38" s="165"/>
      <c r="Y38" s="165"/>
      <c r="Z38" s="79"/>
      <c r="AA38" s="80">
        <f t="shared" si="8"/>
        <v>0</v>
      </c>
      <c r="AB38" s="166"/>
      <c r="AC38" s="81">
        <f t="shared" si="9"/>
        <v>0</v>
      </c>
      <c r="AD38" s="84">
        <f t="shared" si="10"/>
        <v>439920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-440220</v>
      </c>
      <c r="AQ38" s="98">
        <f>40000+50000+75300</f>
        <v>165300</v>
      </c>
      <c r="AR38" s="96"/>
      <c r="AS38" s="90" t="str">
        <f>AG38</f>
        <v/>
      </c>
      <c r="AT38" s="187">
        <v>128270.0</v>
      </c>
      <c r="AU38" s="75"/>
      <c r="AV38" s="75"/>
      <c r="AW38" s="187">
        <v>146650.0</v>
      </c>
      <c r="AX38" s="88"/>
      <c r="AY38" s="75"/>
      <c r="AZ38" s="90">
        <f t="shared" si="41"/>
        <v>0</v>
      </c>
      <c r="BA38" s="75"/>
      <c r="BB38" s="90">
        <f t="shared" ref="BB38:BB40" si="46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5"/>
        <v>440220</v>
      </c>
      <c r="BL38" s="93">
        <f t="shared" si="23"/>
        <v>439920</v>
      </c>
      <c r="BM38" s="94">
        <f t="shared" si="24"/>
        <v>300</v>
      </c>
      <c r="BN38" s="14"/>
      <c r="BO38" s="95">
        <f t="shared" si="40"/>
        <v>0.3757501364</v>
      </c>
      <c r="BP38" s="95">
        <f t="shared" si="26"/>
        <v>0</v>
      </c>
      <c r="BQ38" s="95">
        <f t="shared" si="27"/>
        <v>0.291575741</v>
      </c>
      <c r="BR38" s="95">
        <f t="shared" si="28"/>
        <v>0.3333560647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1.000681942</v>
      </c>
      <c r="BW38" s="95">
        <f t="shared" si="33"/>
        <v>0.02634769032</v>
      </c>
    </row>
    <row r="39" ht="15.75" customHeight="1">
      <c r="A39" s="168">
        <f>'LUCERO RECOLETA'!A39</f>
        <v>46173</v>
      </c>
      <c r="B39" s="162"/>
      <c r="C39" s="163">
        <v>77.0</v>
      </c>
      <c r="D39" s="165">
        <f t="shared" si="34"/>
        <v>8008</v>
      </c>
      <c r="E39" s="165">
        <f t="shared" si="2"/>
        <v>8084</v>
      </c>
      <c r="F39" s="73"/>
      <c r="G39" s="74"/>
      <c r="H39" s="169">
        <v>643372.01</v>
      </c>
      <c r="I39" s="169">
        <v>135107.99</v>
      </c>
      <c r="J39" s="76"/>
      <c r="K39" s="83">
        <f t="shared" si="3"/>
        <v>778480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6"/>
        <v>0</v>
      </c>
      <c r="V39" s="166"/>
      <c r="W39" s="82">
        <f t="shared" si="7"/>
        <v>0</v>
      </c>
      <c r="X39" s="165"/>
      <c r="Y39" s="165"/>
      <c r="Z39" s="79"/>
      <c r="AA39" s="80">
        <f t="shared" si="8"/>
        <v>0</v>
      </c>
      <c r="AB39" s="166"/>
      <c r="AC39" s="81">
        <f t="shared" si="9"/>
        <v>0</v>
      </c>
      <c r="AD39" s="84">
        <f t="shared" si="10"/>
        <v>778480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>
        <f>60000+60000+63800</f>
        <v>183800</v>
      </c>
      <c r="AR39" s="96"/>
      <c r="AS39" s="90"/>
      <c r="AT39" s="187">
        <v>290940.0</v>
      </c>
      <c r="AU39" s="75"/>
      <c r="AV39" s="75"/>
      <c r="AW39" s="187">
        <v>304130.0</v>
      </c>
      <c r="AX39" s="88"/>
      <c r="AY39" s="75"/>
      <c r="AZ39" s="90">
        <f t="shared" si="41"/>
        <v>0</v>
      </c>
      <c r="BA39" s="75"/>
      <c r="BB39" s="90">
        <f t="shared" si="46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5"/>
        <v>778870</v>
      </c>
      <c r="BL39" s="93">
        <f t="shared" si="23"/>
        <v>778480</v>
      </c>
      <c r="BM39" s="94">
        <f t="shared" si="24"/>
        <v>390</v>
      </c>
      <c r="BN39" s="14"/>
      <c r="BO39" s="95">
        <f t="shared" si="40"/>
        <v>0.2361011201</v>
      </c>
      <c r="BP39" s="95">
        <f t="shared" si="26"/>
        <v>0</v>
      </c>
      <c r="BQ39" s="95">
        <f t="shared" si="27"/>
        <v>0.373728291</v>
      </c>
      <c r="BR39" s="95">
        <f t="shared" si="28"/>
        <v>0.3906715651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1.000500976</v>
      </c>
      <c r="BW39" s="95">
        <f t="shared" si="33"/>
        <v>0.04662472713</v>
      </c>
    </row>
    <row r="40" ht="15.75" customHeight="1">
      <c r="A40" s="72"/>
      <c r="B40" s="73"/>
      <c r="C40" s="73"/>
      <c r="D40" s="165">
        <f t="shared" si="34"/>
        <v>8085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6"/>
        <v>0</v>
      </c>
      <c r="V40" s="166"/>
      <c r="W40" s="82"/>
      <c r="X40" s="165">
        <v>0.0</v>
      </c>
      <c r="Y40" s="165"/>
      <c r="Z40" s="79"/>
      <c r="AA40" s="80">
        <f t="shared" si="8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6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40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1538</v>
      </c>
      <c r="D41" s="105">
        <f>MIN(D9:D40)</f>
        <v>6547</v>
      </c>
      <c r="E41" s="105">
        <f>MAX(E9:E40)</f>
        <v>8084</v>
      </c>
      <c r="F41" s="106">
        <f t="shared" ref="F41:I41" si="47">SUM(F9:F40)</f>
        <v>0</v>
      </c>
      <c r="G41" s="106">
        <f t="shared" si="47"/>
        <v>0</v>
      </c>
      <c r="H41" s="77">
        <f t="shared" si="47"/>
        <v>13798943.94</v>
      </c>
      <c r="I41" s="77">
        <f t="shared" si="47"/>
        <v>2897775.76</v>
      </c>
      <c r="J41" s="77"/>
      <c r="K41" s="77">
        <f>SUM(K9:K40)</f>
        <v>16696719.7</v>
      </c>
      <c r="L41" s="107">
        <f>MIN(L9:L40)</f>
        <v>0</v>
      </c>
      <c r="M41" s="107">
        <f>MAX(M9:M40)</f>
        <v>0</v>
      </c>
      <c r="N41" s="83">
        <f t="shared" ref="N41:O41" si="48">SUM(N9:N40)</f>
        <v>0</v>
      </c>
      <c r="O41" s="83">
        <f t="shared" si="48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9">SUM(T9:T40)</f>
        <v>0</v>
      </c>
      <c r="U41" s="82">
        <f t="shared" si="49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0">SUM(Z9:Z40)</f>
        <v>0</v>
      </c>
      <c r="AA41" s="83">
        <f t="shared" si="50"/>
        <v>0</v>
      </c>
      <c r="AB41" s="83"/>
      <c r="AC41" s="83">
        <f t="shared" ref="AC41:AD41" si="51">SUM(AC9:AC40)</f>
        <v>0</v>
      </c>
      <c r="AD41" s="84">
        <f t="shared" si="51"/>
        <v>16696719.7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-15924249.99</v>
      </c>
      <c r="AQ41" s="112">
        <f t="shared" ref="AQ41:BM41" si="53">SUM(AQ9:AQ40)</f>
        <v>5846100</v>
      </c>
      <c r="AR41" s="112">
        <f t="shared" si="53"/>
        <v>0</v>
      </c>
      <c r="AS41" s="112">
        <f t="shared" si="53"/>
        <v>0</v>
      </c>
      <c r="AT41" s="112">
        <f t="shared" si="53"/>
        <v>5480609.99</v>
      </c>
      <c r="AU41" s="112">
        <f t="shared" si="53"/>
        <v>0</v>
      </c>
      <c r="AV41" s="112">
        <f t="shared" si="53"/>
        <v>0</v>
      </c>
      <c r="AW41" s="112">
        <f t="shared" si="53"/>
        <v>5376410</v>
      </c>
      <c r="AX41" s="112">
        <f t="shared" si="53"/>
        <v>0</v>
      </c>
      <c r="AY41" s="112">
        <f t="shared" si="53"/>
        <v>0</v>
      </c>
      <c r="AZ41" s="112">
        <f t="shared" si="53"/>
        <v>0</v>
      </c>
      <c r="BA41" s="112">
        <f t="shared" si="53"/>
        <v>0</v>
      </c>
      <c r="BB41" s="112">
        <f t="shared" si="53"/>
        <v>0</v>
      </c>
      <c r="BC41" s="112">
        <f t="shared" si="53"/>
        <v>0</v>
      </c>
      <c r="BD41" s="112">
        <f t="shared" si="53"/>
        <v>0</v>
      </c>
      <c r="BE41" s="112">
        <f t="shared" si="53"/>
        <v>0</v>
      </c>
      <c r="BF41" s="112">
        <f t="shared" si="53"/>
        <v>0</v>
      </c>
      <c r="BG41" s="112">
        <f t="shared" si="53"/>
        <v>0</v>
      </c>
      <c r="BH41" s="112">
        <f t="shared" si="53"/>
        <v>0</v>
      </c>
      <c r="BI41" s="112">
        <f t="shared" si="53"/>
        <v>0</v>
      </c>
      <c r="BJ41" s="112">
        <f t="shared" si="53"/>
        <v>0</v>
      </c>
      <c r="BK41" s="112">
        <f t="shared" si="53"/>
        <v>16703119.99</v>
      </c>
      <c r="BL41" s="112">
        <f t="shared" si="53"/>
        <v>16696719.7</v>
      </c>
      <c r="BM41" s="112">
        <f t="shared" si="53"/>
        <v>6400.29</v>
      </c>
      <c r="BN41" s="14"/>
      <c r="BO41" s="95">
        <f t="shared" si="40"/>
        <v>0.3501346435</v>
      </c>
      <c r="BP41" s="95">
        <f t="shared" si="26"/>
        <v>0</v>
      </c>
      <c r="BQ41" s="95">
        <f t="shared" si="27"/>
        <v>0.3282447144</v>
      </c>
      <c r="BR41" s="95">
        <f t="shared" si="28"/>
        <v>0.3220039682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1.000383326</v>
      </c>
      <c r="BW41" s="95">
        <f t="shared" si="33"/>
        <v>1</v>
      </c>
    </row>
    <row r="42" ht="14.25" customHeight="1">
      <c r="A42" s="181"/>
      <c r="B42" s="7" t="s">
        <v>75</v>
      </c>
      <c r="C42" s="14"/>
      <c r="D42" s="182">
        <v>3806.0</v>
      </c>
      <c r="E42" s="14"/>
      <c r="F42" s="14"/>
      <c r="G42" s="14"/>
      <c r="H42" s="14"/>
      <c r="I42" s="14"/>
      <c r="J42" s="14"/>
      <c r="K42" s="14"/>
      <c r="L42" s="182">
        <v>19.0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92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2741</v>
      </c>
      <c r="E43" s="114"/>
      <c r="F43" s="114"/>
      <c r="G43" s="114"/>
      <c r="H43" s="114"/>
      <c r="I43" s="114"/>
      <c r="J43" s="115"/>
      <c r="K43" s="115"/>
      <c r="L43" s="114">
        <f>L41-L42</f>
        <v>-19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-4</v>
      </c>
      <c r="Y43" s="114"/>
      <c r="Z43" s="117"/>
      <c r="AA43" s="116"/>
      <c r="AB43" s="116"/>
      <c r="AC43" s="118"/>
      <c r="AD43" s="116">
        <f>AD41-Q41</f>
        <v>16696719.7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16696719.7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5846100</v>
      </c>
      <c r="AR47" s="136">
        <f t="shared" si="54"/>
        <v>0</v>
      </c>
      <c r="AS47" s="136">
        <f t="shared" ref="AS47:AU47" si="55">AU41</f>
        <v>0</v>
      </c>
      <c r="AT47" s="136">
        <f t="shared" si="55"/>
        <v>0</v>
      </c>
      <c r="AU47" s="136">
        <f t="shared" si="55"/>
        <v>5376410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0.3501346435</v>
      </c>
      <c r="AR48" s="113">
        <f t="shared" si="56"/>
        <v>0</v>
      </c>
      <c r="AS48" s="113">
        <f t="shared" si="56"/>
        <v>0</v>
      </c>
      <c r="AT48" s="113">
        <f t="shared" si="56"/>
        <v>0</v>
      </c>
      <c r="AU48" s="113">
        <f t="shared" si="56"/>
        <v>0.3220039682</v>
      </c>
      <c r="AV48" s="113">
        <f t="shared" si="56"/>
        <v>0</v>
      </c>
      <c r="AW48" s="113">
        <f t="shared" si="56"/>
        <v>0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3.71"/>
    <col customWidth="1" min="9" max="9" width="12.29"/>
    <col customWidth="1" min="10" max="10" width="9.43"/>
    <col customWidth="1" min="11" max="11" width="15.29"/>
    <col customWidth="1" min="12" max="12" width="9.0"/>
    <col customWidth="1" min="13" max="13" width="7.71"/>
    <col customWidth="1" min="14" max="16" width="2.57"/>
    <col customWidth="1" min="17" max="17" width="13.29"/>
    <col customWidth="1" min="18" max="28" width="8.14"/>
    <col customWidth="1" min="29" max="29" width="11.0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3" width="11.43"/>
    <col customWidth="1" min="64" max="64" width="16.29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76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77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78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7">
        <v>1693.0</v>
      </c>
      <c r="E9" s="165">
        <f t="shared" ref="E9:E40" si="2">IF(C9="","",C9+D9-1)</f>
        <v>1692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6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/>
      <c r="AT9" s="90">
        <v>0.0</v>
      </c>
      <c r="AU9" s="75"/>
      <c r="AV9" s="75"/>
      <c r="AW9" s="90">
        <v>0.0</v>
      </c>
      <c r="AX9" s="91"/>
      <c r="AY9" s="75"/>
      <c r="AZ9" s="90">
        <f t="shared" ref="AZ9:AZ13" si="16">AY9*AZ$2</f>
        <v>0</v>
      </c>
      <c r="BA9" s="75"/>
      <c r="BB9" s="90">
        <f>BA9*1400</f>
        <v>0</v>
      </c>
      <c r="BC9" s="75"/>
      <c r="BD9" s="90">
        <f>BC9*BD$2</f>
        <v>0</v>
      </c>
      <c r="BE9" s="75"/>
      <c r="BF9" s="90">
        <f t="shared" ref="BF9:BF11" si="17">BE9*BF$2</f>
        <v>0</v>
      </c>
      <c r="BG9" s="75"/>
      <c r="BH9" s="90">
        <f t="shared" ref="BH9:BH33" si="18">BG9*BH$2</f>
        <v>0</v>
      </c>
      <c r="BI9" s="75"/>
      <c r="BJ9" s="90">
        <f t="shared" ref="BJ9:BJ33" si="19">BI9*BJ$2</f>
        <v>0</v>
      </c>
      <c r="BK9" s="92">
        <f t="shared" ref="BK9:BK10" si="20">+AQ9+AR9+AT9+AW9+AX9+AZ9+BB9+BD9+BF9+BH8+BJ9</f>
        <v>0</v>
      </c>
      <c r="BL9" s="93">
        <f t="shared" ref="BL9:BL39" si="21">AD9</f>
        <v>0</v>
      </c>
      <c r="BM9" s="94">
        <f t="shared" ref="BM9:BM40" si="22">SUM(BK9-BL9)</f>
        <v>0</v>
      </c>
      <c r="BN9" s="13"/>
      <c r="BO9" s="95">
        <f t="shared" ref="BO9:BO40" si="23">IF(AQ9+AR9=0,0,(AQ9+AR9)/AD9)</f>
        <v>0</v>
      </c>
      <c r="BP9" s="95">
        <f t="shared" ref="BP9:BP40" si="24">IF(AU9=0,0,AU9/AD9)</f>
        <v>0</v>
      </c>
      <c r="BQ9" s="95">
        <f t="shared" ref="BQ9:BQ41" si="25">IF(AT9=0,0,AT9/AD9)</f>
        <v>0</v>
      </c>
      <c r="BR9" s="95">
        <f t="shared" ref="BR9:BR40" si="26">IF(AW9=0,0,AW9/AD9)</f>
        <v>0</v>
      </c>
      <c r="BS9" s="95">
        <f t="shared" ref="BS9:BS40" si="27">IF(AZ9=0,0,AZ9/AD9)</f>
        <v>0</v>
      </c>
      <c r="BT9" s="95">
        <f t="shared" ref="BT9:BT40" si="28">IF(BB9+BD9+BF9=0,0,(BB9+BD9+BF9)/AD9)</f>
        <v>0</v>
      </c>
      <c r="BU9" s="95">
        <f t="shared" ref="BU9:BU40" si="29">IF(BJ9=0,0,BJ9/AD9)</f>
        <v>0</v>
      </c>
      <c r="BV9" s="95">
        <f t="shared" ref="BV9:BV41" si="30">SUM(BO9:BU9)</f>
        <v>0</v>
      </c>
      <c r="BW9" s="95">
        <f t="shared" ref="BW9:BW41" si="31">AD9/$AD$41</f>
        <v>0</v>
      </c>
    </row>
    <row r="10" ht="15.75" customHeight="1">
      <c r="A10" s="168">
        <f>'LUCERO RECOLETA'!A10</f>
        <v>46144</v>
      </c>
      <c r="B10" s="162"/>
      <c r="C10" s="163">
        <v>11.0</v>
      </c>
      <c r="D10" s="165">
        <f t="shared" ref="D10:D40" si="32">E9+1</f>
        <v>1693</v>
      </c>
      <c r="E10" s="165">
        <f t="shared" si="2"/>
        <v>1703</v>
      </c>
      <c r="F10" s="73"/>
      <c r="G10" s="74"/>
      <c r="H10" s="169">
        <v>871760.32</v>
      </c>
      <c r="I10" s="169">
        <v>183069.68</v>
      </c>
      <c r="J10" s="76"/>
      <c r="K10" s="83">
        <f t="shared" si="3"/>
        <v>1054830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f t="shared" si="8"/>
        <v>0</v>
      </c>
      <c r="AB10" s="166"/>
      <c r="AC10" s="81">
        <f t="shared" si="9"/>
        <v>0</v>
      </c>
      <c r="AD10" s="84">
        <f t="shared" si="10"/>
        <v>1054830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-1055100</v>
      </c>
      <c r="AQ10" s="186">
        <f>56000+150000+8000</f>
        <v>214000</v>
      </c>
      <c r="AR10" s="88"/>
      <c r="AS10" s="89"/>
      <c r="AT10" s="187">
        <v>444900.0</v>
      </c>
      <c r="AU10" s="75"/>
      <c r="AV10" s="75"/>
      <c r="AW10" s="187">
        <v>0.0</v>
      </c>
      <c r="AX10" s="88"/>
      <c r="AY10" s="75"/>
      <c r="AZ10" s="90">
        <f t="shared" si="16"/>
        <v>0</v>
      </c>
      <c r="BA10" s="169">
        <v>200.0</v>
      </c>
      <c r="BB10" s="90">
        <f>BA10*1415</f>
        <v>283000</v>
      </c>
      <c r="BC10" s="169">
        <v>80.0</v>
      </c>
      <c r="BD10" s="90">
        <f>BC10*1415</f>
        <v>113200</v>
      </c>
      <c r="BE10" s="75"/>
      <c r="BF10" s="90">
        <f t="shared" si="17"/>
        <v>0</v>
      </c>
      <c r="BG10" s="75"/>
      <c r="BH10" s="90">
        <f t="shared" si="18"/>
        <v>0</v>
      </c>
      <c r="BI10" s="75"/>
      <c r="BJ10" s="90">
        <f t="shared" si="19"/>
        <v>0</v>
      </c>
      <c r="BK10" s="92">
        <f t="shared" si="20"/>
        <v>1055100</v>
      </c>
      <c r="BL10" s="93">
        <f t="shared" si="21"/>
        <v>1054830</v>
      </c>
      <c r="BM10" s="94">
        <f t="shared" si="22"/>
        <v>270</v>
      </c>
      <c r="BN10" s="13"/>
      <c r="BO10" s="95">
        <f t="shared" si="23"/>
        <v>0.2028762929</v>
      </c>
      <c r="BP10" s="95">
        <f t="shared" si="24"/>
        <v>0</v>
      </c>
      <c r="BQ10" s="95">
        <f t="shared" si="25"/>
        <v>0.4217741247</v>
      </c>
      <c r="BR10" s="95">
        <f t="shared" si="26"/>
        <v>0</v>
      </c>
      <c r="BS10" s="95">
        <f t="shared" si="27"/>
        <v>0</v>
      </c>
      <c r="BT10" s="95">
        <f t="shared" si="28"/>
        <v>0.3756055478</v>
      </c>
      <c r="BU10" s="95">
        <f t="shared" si="29"/>
        <v>0</v>
      </c>
      <c r="BV10" s="95">
        <f t="shared" si="30"/>
        <v>1.000255965</v>
      </c>
      <c r="BW10" s="95">
        <f t="shared" si="31"/>
        <v>0.03162911391</v>
      </c>
    </row>
    <row r="11" ht="15.75" customHeight="1">
      <c r="A11" s="168">
        <f>'LUCERO RECOLETA'!A11</f>
        <v>46145</v>
      </c>
      <c r="B11" s="162"/>
      <c r="C11" s="163">
        <v>18.0</v>
      </c>
      <c r="D11" s="165">
        <f t="shared" si="32"/>
        <v>1704</v>
      </c>
      <c r="E11" s="165">
        <f t="shared" si="2"/>
        <v>1721</v>
      </c>
      <c r="F11" s="73"/>
      <c r="G11" s="74"/>
      <c r="H11" s="169">
        <v>1476661.14</v>
      </c>
      <c r="I11" s="169">
        <v>310098.86</v>
      </c>
      <c r="J11" s="76"/>
      <c r="K11" s="83">
        <f t="shared" si="3"/>
        <v>1786760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si="8"/>
        <v>0</v>
      </c>
      <c r="AB11" s="166"/>
      <c r="AC11" s="81">
        <f t="shared" si="9"/>
        <v>0</v>
      </c>
      <c r="AD11" s="84">
        <f t="shared" si="10"/>
        <v>1786760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-1786810</v>
      </c>
      <c r="AQ11" s="186">
        <f>130000+100000+39000</f>
        <v>269000</v>
      </c>
      <c r="AR11" s="88"/>
      <c r="AS11" s="89"/>
      <c r="AT11" s="187">
        <v>1500820.0</v>
      </c>
      <c r="AU11" s="75"/>
      <c r="AV11" s="75"/>
      <c r="AW11" s="187">
        <v>16990.0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>BC11*BD$2</f>
        <v>0</v>
      </c>
      <c r="BE11" s="75"/>
      <c r="BF11" s="90">
        <f t="shared" si="17"/>
        <v>0</v>
      </c>
      <c r="BG11" s="75"/>
      <c r="BH11" s="90">
        <f t="shared" si="18"/>
        <v>0</v>
      </c>
      <c r="BI11" s="75"/>
      <c r="BJ11" s="90">
        <f t="shared" si="19"/>
        <v>0</v>
      </c>
      <c r="BK11" s="92">
        <f t="shared" ref="BK11:BK40" si="33">+AQ11+AR11+AT11+AW11+AX11+AZ11+BB11+BD11+BF11+BH11+BJ11</f>
        <v>1786810</v>
      </c>
      <c r="BL11" s="93">
        <f t="shared" si="21"/>
        <v>1786760</v>
      </c>
      <c r="BM11" s="94">
        <f t="shared" si="22"/>
        <v>50</v>
      </c>
      <c r="BN11" s="13"/>
      <c r="BO11" s="95">
        <f t="shared" si="23"/>
        <v>0.1505518368</v>
      </c>
      <c r="BP11" s="95">
        <f t="shared" si="24"/>
        <v>0</v>
      </c>
      <c r="BQ11" s="95">
        <f t="shared" si="25"/>
        <v>0.8399673151</v>
      </c>
      <c r="BR11" s="95">
        <f t="shared" si="26"/>
        <v>0.009508831628</v>
      </c>
      <c r="BS11" s="95">
        <f t="shared" si="27"/>
        <v>0</v>
      </c>
      <c r="BT11" s="95">
        <f t="shared" si="28"/>
        <v>0</v>
      </c>
      <c r="BU11" s="95">
        <f t="shared" si="29"/>
        <v>0</v>
      </c>
      <c r="BV11" s="95">
        <f t="shared" si="30"/>
        <v>1.000027984</v>
      </c>
      <c r="BW11" s="95">
        <f t="shared" si="31"/>
        <v>0.05357606019</v>
      </c>
    </row>
    <row r="12" ht="15.75" customHeight="1">
      <c r="A12" s="168">
        <f>'LUCERO RECOLETA'!A12</f>
        <v>46146</v>
      </c>
      <c r="B12" s="162"/>
      <c r="C12" s="163">
        <v>0.0</v>
      </c>
      <c r="D12" s="165">
        <f t="shared" si="32"/>
        <v>1722</v>
      </c>
      <c r="E12" s="165">
        <f t="shared" si="2"/>
        <v>1721</v>
      </c>
      <c r="F12" s="73"/>
      <c r="G12" s="74"/>
      <c r="H12" s="75"/>
      <c r="I12" s="75"/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8"/>
        <v>0</v>
      </c>
      <c r="AB12" s="166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170">
        <v>0.0</v>
      </c>
      <c r="AR12" s="88"/>
      <c r="AS12" s="89"/>
      <c r="AT12" s="187">
        <v>0.0</v>
      </c>
      <c r="AU12" s="75"/>
      <c r="AV12" s="75"/>
      <c r="AW12" s="187">
        <v>0.0</v>
      </c>
      <c r="AX12" s="88"/>
      <c r="AY12" s="75"/>
      <c r="AZ12" s="90">
        <f t="shared" si="16"/>
        <v>0</v>
      </c>
      <c r="BA12" s="75"/>
      <c r="BB12" s="90">
        <f t="shared" ref="BB12:BB16" si="34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8"/>
        <v>0</v>
      </c>
      <c r="BI12" s="75"/>
      <c r="BJ12" s="90">
        <f t="shared" si="19"/>
        <v>0</v>
      </c>
      <c r="BK12" s="92">
        <f t="shared" si="33"/>
        <v>0</v>
      </c>
      <c r="BL12" s="93">
        <f t="shared" si="21"/>
        <v>0</v>
      </c>
      <c r="BM12" s="94">
        <f t="shared" si="22"/>
        <v>0</v>
      </c>
      <c r="BN12" s="13"/>
      <c r="BO12" s="95">
        <f t="shared" si="23"/>
        <v>0</v>
      </c>
      <c r="BP12" s="95">
        <f t="shared" si="24"/>
        <v>0</v>
      </c>
      <c r="BQ12" s="95">
        <f t="shared" si="25"/>
        <v>0</v>
      </c>
      <c r="BR12" s="95">
        <f t="shared" si="26"/>
        <v>0</v>
      </c>
      <c r="BS12" s="95">
        <f t="shared" si="27"/>
        <v>0</v>
      </c>
      <c r="BT12" s="95">
        <f t="shared" si="28"/>
        <v>0</v>
      </c>
      <c r="BU12" s="95">
        <f t="shared" si="29"/>
        <v>0</v>
      </c>
      <c r="BV12" s="95">
        <f t="shared" si="30"/>
        <v>0</v>
      </c>
      <c r="BW12" s="95">
        <f t="shared" si="31"/>
        <v>0</v>
      </c>
    </row>
    <row r="13" ht="15.75" customHeight="1">
      <c r="A13" s="168">
        <f>'LUCERO RECOLETA'!A13</f>
        <v>46147</v>
      </c>
      <c r="B13" s="162"/>
      <c r="C13" s="163">
        <v>6.0</v>
      </c>
      <c r="D13" s="165">
        <f t="shared" si="32"/>
        <v>1722</v>
      </c>
      <c r="E13" s="165">
        <f t="shared" si="2"/>
        <v>1727</v>
      </c>
      <c r="F13" s="73"/>
      <c r="G13" s="74"/>
      <c r="H13" s="169">
        <v>978404.96</v>
      </c>
      <c r="I13" s="169">
        <v>205465.04</v>
      </c>
      <c r="J13" s="76"/>
      <c r="K13" s="83">
        <f t="shared" si="3"/>
        <v>1183870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8"/>
        <v>0</v>
      </c>
      <c r="AB13" s="166"/>
      <c r="AC13" s="81">
        <f t="shared" si="9"/>
        <v>0</v>
      </c>
      <c r="AD13" s="84">
        <f t="shared" si="10"/>
        <v>1183870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-1183870</v>
      </c>
      <c r="AQ13" s="170">
        <v>0.0</v>
      </c>
      <c r="AR13" s="96"/>
      <c r="AS13" s="90"/>
      <c r="AT13" s="187">
        <v>1183870.0</v>
      </c>
      <c r="AU13" s="75"/>
      <c r="AV13" s="75"/>
      <c r="AW13" s="187">
        <v>0.0</v>
      </c>
      <c r="AX13" s="88"/>
      <c r="AY13" s="75"/>
      <c r="AZ13" s="90">
        <f t="shared" si="16"/>
        <v>0</v>
      </c>
      <c r="BA13" s="75"/>
      <c r="BB13" s="90">
        <f t="shared" si="34"/>
        <v>0</v>
      </c>
      <c r="BC13" s="75"/>
      <c r="BD13" s="90">
        <f>BC13*BD$2</f>
        <v>0</v>
      </c>
      <c r="BE13" s="75"/>
      <c r="BF13" s="90">
        <f t="shared" ref="BF13:BF33" si="35">BE13*BF$2</f>
        <v>0</v>
      </c>
      <c r="BG13" s="75"/>
      <c r="BH13" s="90">
        <f t="shared" si="18"/>
        <v>0</v>
      </c>
      <c r="BI13" s="75"/>
      <c r="BJ13" s="90">
        <f t="shared" si="19"/>
        <v>0</v>
      </c>
      <c r="BK13" s="92">
        <f t="shared" si="33"/>
        <v>1183870</v>
      </c>
      <c r="BL13" s="93">
        <f t="shared" si="21"/>
        <v>1183870</v>
      </c>
      <c r="BM13" s="94">
        <f t="shared" si="22"/>
        <v>0</v>
      </c>
      <c r="BN13" s="13"/>
      <c r="BO13" s="95">
        <f t="shared" si="23"/>
        <v>0</v>
      </c>
      <c r="BP13" s="95">
        <f t="shared" si="24"/>
        <v>0</v>
      </c>
      <c r="BQ13" s="95">
        <f t="shared" si="25"/>
        <v>1</v>
      </c>
      <c r="BR13" s="95">
        <f t="shared" si="26"/>
        <v>0</v>
      </c>
      <c r="BS13" s="95">
        <f t="shared" si="27"/>
        <v>0</v>
      </c>
      <c r="BT13" s="95">
        <f t="shared" si="28"/>
        <v>0</v>
      </c>
      <c r="BU13" s="95">
        <f t="shared" si="29"/>
        <v>0</v>
      </c>
      <c r="BV13" s="95">
        <f t="shared" si="30"/>
        <v>1</v>
      </c>
      <c r="BW13" s="95">
        <f t="shared" si="31"/>
        <v>0.03549838276</v>
      </c>
    </row>
    <row r="14" ht="15.75" customHeight="1">
      <c r="A14" s="168">
        <f>'LUCERO RECOLETA'!A14</f>
        <v>46148</v>
      </c>
      <c r="B14" s="162"/>
      <c r="C14" s="163">
        <v>7.0</v>
      </c>
      <c r="D14" s="165">
        <f t="shared" si="32"/>
        <v>1728</v>
      </c>
      <c r="E14" s="165">
        <f t="shared" si="2"/>
        <v>1734</v>
      </c>
      <c r="F14" s="73"/>
      <c r="G14" s="74"/>
      <c r="H14" s="169">
        <v>423074.38</v>
      </c>
      <c r="I14" s="169">
        <v>88845.62</v>
      </c>
      <c r="J14" s="76"/>
      <c r="K14" s="83">
        <f t="shared" si="3"/>
        <v>511920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8"/>
        <v>0</v>
      </c>
      <c r="AB14" s="166"/>
      <c r="AC14" s="81">
        <f t="shared" si="9"/>
        <v>0</v>
      </c>
      <c r="AD14" s="84">
        <f t="shared" si="10"/>
        <v>511920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-511960</v>
      </c>
      <c r="AQ14" s="170">
        <v>34000.0</v>
      </c>
      <c r="AR14" s="96"/>
      <c r="AS14" s="90"/>
      <c r="AT14" s="187">
        <v>419960.0</v>
      </c>
      <c r="AU14" s="75"/>
      <c r="AV14" s="75"/>
      <c r="AW14" s="187">
        <v>0.0</v>
      </c>
      <c r="AX14" s="88"/>
      <c r="AY14" s="169">
        <v>200.0</v>
      </c>
      <c r="AZ14" s="90">
        <f>AY14*290</f>
        <v>58000</v>
      </c>
      <c r="BA14" s="75"/>
      <c r="BB14" s="90">
        <f t="shared" si="34"/>
        <v>0</v>
      </c>
      <c r="BC14" s="75"/>
      <c r="BD14" s="90">
        <f>BC14*1495</f>
        <v>0</v>
      </c>
      <c r="BE14" s="75"/>
      <c r="BF14" s="90">
        <f t="shared" si="35"/>
        <v>0</v>
      </c>
      <c r="BG14" s="75"/>
      <c r="BH14" s="90">
        <f t="shared" si="18"/>
        <v>0</v>
      </c>
      <c r="BI14" s="75"/>
      <c r="BJ14" s="90">
        <f t="shared" si="19"/>
        <v>0</v>
      </c>
      <c r="BK14" s="92">
        <f t="shared" si="33"/>
        <v>511960</v>
      </c>
      <c r="BL14" s="93">
        <f t="shared" si="21"/>
        <v>511920</v>
      </c>
      <c r="BM14" s="94">
        <f t="shared" si="22"/>
        <v>40</v>
      </c>
      <c r="BN14" s="13"/>
      <c r="BO14" s="95">
        <f t="shared" si="23"/>
        <v>0.0664166276</v>
      </c>
      <c r="BP14" s="95">
        <f t="shared" si="24"/>
        <v>0</v>
      </c>
      <c r="BQ14" s="95">
        <f t="shared" si="25"/>
        <v>0.8203625566</v>
      </c>
      <c r="BR14" s="95">
        <f t="shared" si="26"/>
        <v>0</v>
      </c>
      <c r="BS14" s="95">
        <f t="shared" si="27"/>
        <v>0.113298953</v>
      </c>
      <c r="BT14" s="95">
        <f t="shared" si="28"/>
        <v>0</v>
      </c>
      <c r="BU14" s="95">
        <f t="shared" si="29"/>
        <v>0</v>
      </c>
      <c r="BV14" s="95">
        <f t="shared" si="30"/>
        <v>1.000078137</v>
      </c>
      <c r="BW14" s="95">
        <f t="shared" si="31"/>
        <v>0.01534993885</v>
      </c>
    </row>
    <row r="15" ht="15.75" customHeight="1">
      <c r="A15" s="168">
        <f>'LUCERO RECOLETA'!A15</f>
        <v>46149</v>
      </c>
      <c r="B15" s="162"/>
      <c r="C15" s="163">
        <v>8.0</v>
      </c>
      <c r="D15" s="165">
        <f t="shared" si="32"/>
        <v>1735</v>
      </c>
      <c r="E15" s="165">
        <f t="shared" si="2"/>
        <v>1742</v>
      </c>
      <c r="F15" s="73"/>
      <c r="G15" s="74"/>
      <c r="H15" s="169">
        <v>529652.89</v>
      </c>
      <c r="I15" s="169">
        <v>111227.11</v>
      </c>
      <c r="J15" s="76"/>
      <c r="K15" s="83">
        <f t="shared" si="3"/>
        <v>640880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f t="shared" si="8"/>
        <v>0</v>
      </c>
      <c r="AB15" s="166"/>
      <c r="AC15" s="81">
        <f t="shared" si="9"/>
        <v>0</v>
      </c>
      <c r="AD15" s="84">
        <f t="shared" si="10"/>
        <v>640880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-640900</v>
      </c>
      <c r="AQ15" s="193">
        <f>100000+45000</f>
        <v>145000</v>
      </c>
      <c r="AR15" s="96"/>
      <c r="AS15" s="90"/>
      <c r="AT15" s="187">
        <v>465910.0</v>
      </c>
      <c r="AU15" s="75"/>
      <c r="AV15" s="75"/>
      <c r="AW15" s="187">
        <v>29990.0</v>
      </c>
      <c r="AX15" s="88"/>
      <c r="AY15" s="75"/>
      <c r="AZ15" s="90">
        <f t="shared" ref="AZ15:AZ33" si="36">AY15*AZ$2</f>
        <v>0</v>
      </c>
      <c r="BA15" s="75"/>
      <c r="BB15" s="90">
        <f t="shared" si="34"/>
        <v>0</v>
      </c>
      <c r="BC15" s="75"/>
      <c r="BD15" s="90">
        <f t="shared" ref="BD15:BD27" si="37">BC15*BD$2</f>
        <v>0</v>
      </c>
      <c r="BE15" s="75"/>
      <c r="BF15" s="90">
        <f t="shared" si="35"/>
        <v>0</v>
      </c>
      <c r="BG15" s="75"/>
      <c r="BH15" s="90">
        <f t="shared" si="18"/>
        <v>0</v>
      </c>
      <c r="BI15" s="75"/>
      <c r="BJ15" s="90">
        <f t="shared" si="19"/>
        <v>0</v>
      </c>
      <c r="BK15" s="92">
        <f t="shared" si="33"/>
        <v>640900</v>
      </c>
      <c r="BL15" s="93">
        <f t="shared" si="21"/>
        <v>640880</v>
      </c>
      <c r="BM15" s="94">
        <f t="shared" si="22"/>
        <v>20</v>
      </c>
      <c r="BN15" s="13"/>
      <c r="BO15" s="95">
        <f t="shared" si="23"/>
        <v>0.2262514043</v>
      </c>
      <c r="BP15" s="95">
        <f t="shared" si="24"/>
        <v>0</v>
      </c>
      <c r="BQ15" s="95">
        <f t="shared" si="25"/>
        <v>0.7269847709</v>
      </c>
      <c r="BR15" s="95">
        <f t="shared" si="26"/>
        <v>0.04679503183</v>
      </c>
      <c r="BS15" s="95">
        <f t="shared" si="27"/>
        <v>0</v>
      </c>
      <c r="BT15" s="95">
        <f t="shared" si="28"/>
        <v>0</v>
      </c>
      <c r="BU15" s="95">
        <f t="shared" si="29"/>
        <v>0</v>
      </c>
      <c r="BV15" s="95">
        <f t="shared" si="30"/>
        <v>1.000031207</v>
      </c>
      <c r="BW15" s="95">
        <f t="shared" si="31"/>
        <v>0.01921680889</v>
      </c>
    </row>
    <row r="16" ht="15.75" customHeight="1">
      <c r="A16" s="168">
        <f>'LUCERO RECOLETA'!A16</f>
        <v>46150</v>
      </c>
      <c r="B16" s="162"/>
      <c r="C16" s="163">
        <v>7.0</v>
      </c>
      <c r="D16" s="165">
        <f t="shared" si="32"/>
        <v>1743</v>
      </c>
      <c r="E16" s="165">
        <f t="shared" si="2"/>
        <v>1749</v>
      </c>
      <c r="F16" s="73"/>
      <c r="G16" s="74"/>
      <c r="H16" s="169">
        <v>328041.31</v>
      </c>
      <c r="I16" s="169">
        <v>68888.69</v>
      </c>
      <c r="J16" s="76"/>
      <c r="K16" s="83">
        <f t="shared" si="3"/>
        <v>396930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6"/>
        <v>0</v>
      </c>
      <c r="V16" s="166"/>
      <c r="W16" s="82">
        <f t="shared" si="7"/>
        <v>0</v>
      </c>
      <c r="X16" s="165"/>
      <c r="Y16" s="165"/>
      <c r="Z16" s="79"/>
      <c r="AA16" s="80">
        <f t="shared" si="8"/>
        <v>0</v>
      </c>
      <c r="AB16" s="166"/>
      <c r="AC16" s="81">
        <f t="shared" si="9"/>
        <v>0</v>
      </c>
      <c r="AD16" s="84">
        <f t="shared" si="10"/>
        <v>396930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-396930</v>
      </c>
      <c r="AQ16" s="170">
        <v>0.0</v>
      </c>
      <c r="AR16" s="96"/>
      <c r="AS16" s="90"/>
      <c r="AT16" s="187">
        <v>379940.0</v>
      </c>
      <c r="AU16" s="75"/>
      <c r="AV16" s="75"/>
      <c r="AW16" s="187">
        <v>16990.0</v>
      </c>
      <c r="AX16" s="88"/>
      <c r="AY16" s="75"/>
      <c r="AZ16" s="90">
        <f t="shared" si="36"/>
        <v>0</v>
      </c>
      <c r="BA16" s="75"/>
      <c r="BB16" s="90">
        <f t="shared" si="34"/>
        <v>0</v>
      </c>
      <c r="BC16" s="75"/>
      <c r="BD16" s="90">
        <f t="shared" si="37"/>
        <v>0</v>
      </c>
      <c r="BE16" s="75"/>
      <c r="BF16" s="90">
        <f t="shared" si="35"/>
        <v>0</v>
      </c>
      <c r="BG16" s="75"/>
      <c r="BH16" s="90">
        <f t="shared" si="18"/>
        <v>0</v>
      </c>
      <c r="BI16" s="75"/>
      <c r="BJ16" s="90">
        <f t="shared" si="19"/>
        <v>0</v>
      </c>
      <c r="BK16" s="92">
        <f t="shared" si="33"/>
        <v>396930</v>
      </c>
      <c r="BL16" s="93">
        <f t="shared" si="21"/>
        <v>396930</v>
      </c>
      <c r="BM16" s="94">
        <f t="shared" si="22"/>
        <v>0</v>
      </c>
      <c r="BN16" s="14"/>
      <c r="BO16" s="95">
        <f t="shared" si="23"/>
        <v>0</v>
      </c>
      <c r="BP16" s="95">
        <f t="shared" si="24"/>
        <v>0</v>
      </c>
      <c r="BQ16" s="95">
        <f t="shared" si="25"/>
        <v>0.957196483</v>
      </c>
      <c r="BR16" s="95">
        <f t="shared" si="26"/>
        <v>0.04280351699</v>
      </c>
      <c r="BS16" s="95">
        <f t="shared" si="27"/>
        <v>0</v>
      </c>
      <c r="BT16" s="95">
        <f t="shared" si="28"/>
        <v>0</v>
      </c>
      <c r="BU16" s="95">
        <f t="shared" si="29"/>
        <v>0</v>
      </c>
      <c r="BV16" s="95">
        <f t="shared" si="30"/>
        <v>1</v>
      </c>
      <c r="BW16" s="95">
        <f t="shared" si="31"/>
        <v>0.01190195973</v>
      </c>
    </row>
    <row r="17" ht="15.75" customHeight="1">
      <c r="A17" s="168">
        <f>'LUCERO RECOLETA'!A17</f>
        <v>46151</v>
      </c>
      <c r="B17" s="162"/>
      <c r="C17" s="176">
        <v>16.0</v>
      </c>
      <c r="D17" s="165">
        <f t="shared" si="32"/>
        <v>1750</v>
      </c>
      <c r="E17" s="165">
        <f t="shared" si="2"/>
        <v>1765</v>
      </c>
      <c r="F17" s="73"/>
      <c r="G17" s="74"/>
      <c r="H17" s="169">
        <v>1217958.67</v>
      </c>
      <c r="I17" s="169">
        <v>255771.33</v>
      </c>
      <c r="J17" s="76"/>
      <c r="K17" s="83">
        <f t="shared" si="3"/>
        <v>1473730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6"/>
        <v>0</v>
      </c>
      <c r="V17" s="166"/>
      <c r="W17" s="82">
        <f t="shared" si="7"/>
        <v>0</v>
      </c>
      <c r="X17" s="165"/>
      <c r="Y17" s="165"/>
      <c r="Z17" s="79"/>
      <c r="AA17" s="80">
        <f t="shared" si="8"/>
        <v>0</v>
      </c>
      <c r="AB17" s="166"/>
      <c r="AC17" s="81">
        <f t="shared" si="9"/>
        <v>0</v>
      </c>
      <c r="AD17" s="84">
        <f t="shared" si="10"/>
        <v>1473730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-1474410</v>
      </c>
      <c r="AQ17" s="170">
        <v>48000.0</v>
      </c>
      <c r="AR17" s="96"/>
      <c r="AS17" s="90"/>
      <c r="AT17" s="187">
        <v>1299060.0</v>
      </c>
      <c r="AU17" s="75"/>
      <c r="AV17" s="75"/>
      <c r="AW17" s="187">
        <v>0.0</v>
      </c>
      <c r="AX17" s="88"/>
      <c r="AY17" s="75"/>
      <c r="AZ17" s="90">
        <f t="shared" si="36"/>
        <v>0</v>
      </c>
      <c r="BA17" s="169">
        <v>90.0</v>
      </c>
      <c r="BB17" s="90">
        <f>BA17*1415</f>
        <v>127350</v>
      </c>
      <c r="BC17" s="75"/>
      <c r="BD17" s="90">
        <f t="shared" si="37"/>
        <v>0</v>
      </c>
      <c r="BE17" s="75"/>
      <c r="BF17" s="90">
        <f t="shared" si="35"/>
        <v>0</v>
      </c>
      <c r="BG17" s="75"/>
      <c r="BH17" s="90">
        <f t="shared" si="18"/>
        <v>0</v>
      </c>
      <c r="BI17" s="75"/>
      <c r="BJ17" s="90">
        <f t="shared" si="19"/>
        <v>0</v>
      </c>
      <c r="BK17" s="92">
        <f t="shared" si="33"/>
        <v>1474410</v>
      </c>
      <c r="BL17" s="93">
        <f t="shared" si="21"/>
        <v>1473730</v>
      </c>
      <c r="BM17" s="94">
        <f t="shared" si="22"/>
        <v>680</v>
      </c>
      <c r="BN17" s="13"/>
      <c r="BO17" s="95">
        <f t="shared" si="23"/>
        <v>0.03257041656</v>
      </c>
      <c r="BP17" s="95">
        <f t="shared" si="24"/>
        <v>0</v>
      </c>
      <c r="BQ17" s="95">
        <f t="shared" si="25"/>
        <v>0.8814776112</v>
      </c>
      <c r="BR17" s="95">
        <f t="shared" si="26"/>
        <v>0</v>
      </c>
      <c r="BS17" s="95">
        <f t="shared" si="27"/>
        <v>0</v>
      </c>
      <c r="BT17" s="95">
        <f t="shared" si="28"/>
        <v>0.08641338644</v>
      </c>
      <c r="BU17" s="95">
        <f t="shared" si="29"/>
        <v>0</v>
      </c>
      <c r="BV17" s="95">
        <f t="shared" si="30"/>
        <v>1.000461414</v>
      </c>
      <c r="BW17" s="95">
        <f t="shared" si="31"/>
        <v>0.04418984485</v>
      </c>
    </row>
    <row r="18" ht="15.75" customHeight="1">
      <c r="A18" s="168">
        <f>'LUCERO RECOLETA'!A18</f>
        <v>46152</v>
      </c>
      <c r="B18" s="162"/>
      <c r="C18" s="163">
        <v>25.0</v>
      </c>
      <c r="D18" s="165">
        <f t="shared" si="32"/>
        <v>1766</v>
      </c>
      <c r="E18" s="165">
        <f t="shared" si="2"/>
        <v>1790</v>
      </c>
      <c r="F18" s="73"/>
      <c r="G18" s="74"/>
      <c r="H18" s="169">
        <v>2412834.7</v>
      </c>
      <c r="I18" s="169">
        <v>506695.3</v>
      </c>
      <c r="J18" s="76"/>
      <c r="K18" s="83">
        <f t="shared" si="3"/>
        <v>2919530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6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2919530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-2921060</v>
      </c>
      <c r="AQ18" s="170">
        <v>40000.0</v>
      </c>
      <c r="AR18" s="96"/>
      <c r="AS18" s="90"/>
      <c r="AT18" s="187">
        <v>2739560.0</v>
      </c>
      <c r="AU18" s="75"/>
      <c r="AV18" s="75"/>
      <c r="AW18" s="187">
        <v>0.0</v>
      </c>
      <c r="AX18" s="88"/>
      <c r="AY18" s="75"/>
      <c r="AZ18" s="90">
        <f t="shared" si="36"/>
        <v>0</v>
      </c>
      <c r="BA18" s="169">
        <v>100.0</v>
      </c>
      <c r="BB18" s="90">
        <f>BA18*1415</f>
        <v>141500</v>
      </c>
      <c r="BC18" s="75"/>
      <c r="BD18" s="90">
        <f t="shared" si="37"/>
        <v>0</v>
      </c>
      <c r="BE18" s="75"/>
      <c r="BF18" s="90">
        <f t="shared" si="35"/>
        <v>0</v>
      </c>
      <c r="BG18" s="75"/>
      <c r="BH18" s="90">
        <f t="shared" si="18"/>
        <v>0</v>
      </c>
      <c r="BI18" s="75"/>
      <c r="BJ18" s="90">
        <f t="shared" si="19"/>
        <v>0</v>
      </c>
      <c r="BK18" s="92">
        <f t="shared" si="33"/>
        <v>2921060</v>
      </c>
      <c r="BL18" s="93">
        <f t="shared" si="21"/>
        <v>2919530</v>
      </c>
      <c r="BM18" s="94">
        <f t="shared" si="22"/>
        <v>1530</v>
      </c>
      <c r="BN18" s="14"/>
      <c r="BO18" s="95">
        <f t="shared" si="23"/>
        <v>0.01370083541</v>
      </c>
      <c r="BP18" s="95">
        <f t="shared" si="24"/>
        <v>0</v>
      </c>
      <c r="BQ18" s="95">
        <f t="shared" si="25"/>
        <v>0.9383565163</v>
      </c>
      <c r="BR18" s="95">
        <f t="shared" si="26"/>
        <v>0</v>
      </c>
      <c r="BS18" s="95">
        <f t="shared" si="27"/>
        <v>0</v>
      </c>
      <c r="BT18" s="95">
        <f t="shared" si="28"/>
        <v>0.04846670526</v>
      </c>
      <c r="BU18" s="95">
        <f t="shared" si="29"/>
        <v>0</v>
      </c>
      <c r="BV18" s="95">
        <f t="shared" si="30"/>
        <v>1.000524057</v>
      </c>
      <c r="BW18" s="95">
        <f t="shared" si="31"/>
        <v>0.08754220768</v>
      </c>
    </row>
    <row r="19" ht="15.75" customHeight="1">
      <c r="A19" s="168">
        <f>'LUCERO RECOLETA'!A19</f>
        <v>46153</v>
      </c>
      <c r="B19" s="162"/>
      <c r="C19" s="163">
        <v>4.0</v>
      </c>
      <c r="D19" s="165">
        <f t="shared" si="32"/>
        <v>1791</v>
      </c>
      <c r="E19" s="165">
        <f t="shared" si="2"/>
        <v>1794</v>
      </c>
      <c r="F19" s="73"/>
      <c r="G19" s="74"/>
      <c r="H19" s="169">
        <v>628041.31</v>
      </c>
      <c r="I19" s="169">
        <v>131888.69</v>
      </c>
      <c r="J19" s="76"/>
      <c r="K19" s="83">
        <f t="shared" si="3"/>
        <v>759930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6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759930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-759930</v>
      </c>
      <c r="AQ19" s="169">
        <v>0.0</v>
      </c>
      <c r="AR19" s="96"/>
      <c r="AS19" s="90"/>
      <c r="AT19" s="187">
        <v>759930.0</v>
      </c>
      <c r="AU19" s="75"/>
      <c r="AV19" s="75"/>
      <c r="AW19" s="187">
        <v>0.0</v>
      </c>
      <c r="AX19" s="88"/>
      <c r="AY19" s="75"/>
      <c r="AZ19" s="90">
        <f t="shared" si="36"/>
        <v>0</v>
      </c>
      <c r="BA19" s="75"/>
      <c r="BB19" s="90">
        <f>BA19*1425</f>
        <v>0</v>
      </c>
      <c r="BC19" s="75"/>
      <c r="BD19" s="90">
        <f t="shared" si="37"/>
        <v>0</v>
      </c>
      <c r="BE19" s="75"/>
      <c r="BF19" s="90">
        <f t="shared" si="35"/>
        <v>0</v>
      </c>
      <c r="BG19" s="75"/>
      <c r="BH19" s="90">
        <f t="shared" si="18"/>
        <v>0</v>
      </c>
      <c r="BI19" s="75"/>
      <c r="BJ19" s="90">
        <f t="shared" si="19"/>
        <v>0</v>
      </c>
      <c r="BK19" s="92">
        <f t="shared" si="33"/>
        <v>759930</v>
      </c>
      <c r="BL19" s="93">
        <f t="shared" si="21"/>
        <v>759930</v>
      </c>
      <c r="BM19" s="94">
        <f t="shared" si="22"/>
        <v>0</v>
      </c>
      <c r="BN19" s="13"/>
      <c r="BO19" s="95">
        <f t="shared" si="23"/>
        <v>0</v>
      </c>
      <c r="BP19" s="95">
        <f t="shared" si="24"/>
        <v>0</v>
      </c>
      <c r="BQ19" s="95">
        <f t="shared" si="25"/>
        <v>1</v>
      </c>
      <c r="BR19" s="95">
        <f t="shared" si="26"/>
        <v>0</v>
      </c>
      <c r="BS19" s="95">
        <f t="shared" si="27"/>
        <v>0</v>
      </c>
      <c r="BT19" s="95">
        <f t="shared" si="28"/>
        <v>0</v>
      </c>
      <c r="BU19" s="95">
        <f t="shared" si="29"/>
        <v>0</v>
      </c>
      <c r="BV19" s="95">
        <f t="shared" si="30"/>
        <v>1</v>
      </c>
      <c r="BW19" s="95">
        <f t="shared" si="31"/>
        <v>0.02278652724</v>
      </c>
    </row>
    <row r="20" ht="15.75" customHeight="1">
      <c r="A20" s="168">
        <f>'LUCERO RECOLETA'!A20</f>
        <v>46154</v>
      </c>
      <c r="B20" s="162"/>
      <c r="C20" s="163">
        <v>5.0</v>
      </c>
      <c r="D20" s="165">
        <f t="shared" si="32"/>
        <v>1795</v>
      </c>
      <c r="E20" s="165">
        <f t="shared" si="2"/>
        <v>1799</v>
      </c>
      <c r="F20" s="73"/>
      <c r="G20" s="74"/>
      <c r="H20" s="169">
        <v>311520.65</v>
      </c>
      <c r="I20" s="169">
        <v>65419.35</v>
      </c>
      <c r="J20" s="76"/>
      <c r="K20" s="83">
        <f t="shared" si="3"/>
        <v>376940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6"/>
        <v>0</v>
      </c>
      <c r="V20" s="166"/>
      <c r="W20" s="82">
        <f t="shared" si="7"/>
        <v>0</v>
      </c>
      <c r="X20" s="165"/>
      <c r="Y20" s="165"/>
      <c r="Z20" s="79"/>
      <c r="AA20" s="80">
        <f t="shared" si="8"/>
        <v>0</v>
      </c>
      <c r="AB20" s="166"/>
      <c r="AC20" s="81">
        <f t="shared" si="9"/>
        <v>0</v>
      </c>
      <c r="AD20" s="84">
        <f t="shared" si="10"/>
        <v>376940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-376940</v>
      </c>
      <c r="AQ20" s="169">
        <v>0.0</v>
      </c>
      <c r="AR20" s="96"/>
      <c r="AS20" s="90"/>
      <c r="AT20" s="187">
        <v>376940.0</v>
      </c>
      <c r="AU20" s="75"/>
      <c r="AV20" s="75"/>
      <c r="AW20" s="187">
        <v>0.0</v>
      </c>
      <c r="AX20" s="88"/>
      <c r="AY20" s="75"/>
      <c r="AZ20" s="90">
        <f t="shared" si="36"/>
        <v>0</v>
      </c>
      <c r="BA20" s="75"/>
      <c r="BB20" s="90">
        <f>BA20*1395</f>
        <v>0</v>
      </c>
      <c r="BC20" s="75"/>
      <c r="BD20" s="90">
        <f t="shared" si="37"/>
        <v>0</v>
      </c>
      <c r="BE20" s="75"/>
      <c r="BF20" s="90">
        <f t="shared" si="35"/>
        <v>0</v>
      </c>
      <c r="BG20" s="75"/>
      <c r="BH20" s="90">
        <f t="shared" si="18"/>
        <v>0</v>
      </c>
      <c r="BI20" s="75"/>
      <c r="BJ20" s="90">
        <f t="shared" si="19"/>
        <v>0</v>
      </c>
      <c r="BK20" s="92">
        <f t="shared" si="33"/>
        <v>376940</v>
      </c>
      <c r="BL20" s="93">
        <f t="shared" si="21"/>
        <v>376940</v>
      </c>
      <c r="BM20" s="94">
        <f t="shared" si="22"/>
        <v>0</v>
      </c>
      <c r="BN20" s="13"/>
      <c r="BO20" s="95">
        <f t="shared" si="23"/>
        <v>0</v>
      </c>
      <c r="BP20" s="95">
        <f t="shared" si="24"/>
        <v>0</v>
      </c>
      <c r="BQ20" s="95">
        <f t="shared" si="25"/>
        <v>1</v>
      </c>
      <c r="BR20" s="95">
        <f t="shared" si="26"/>
        <v>0</v>
      </c>
      <c r="BS20" s="95">
        <f t="shared" si="27"/>
        <v>0</v>
      </c>
      <c r="BT20" s="95">
        <f t="shared" si="28"/>
        <v>0</v>
      </c>
      <c r="BU20" s="95">
        <f t="shared" si="29"/>
        <v>0</v>
      </c>
      <c r="BV20" s="95">
        <f t="shared" si="30"/>
        <v>1</v>
      </c>
      <c r="BW20" s="95">
        <f t="shared" si="31"/>
        <v>0.01130255889</v>
      </c>
    </row>
    <row r="21" ht="15.75" customHeight="1">
      <c r="A21" s="168">
        <f>'LUCERO RECOLETA'!A21</f>
        <v>46155</v>
      </c>
      <c r="B21" s="162"/>
      <c r="C21" s="163">
        <v>15.0</v>
      </c>
      <c r="D21" s="165">
        <f t="shared" si="32"/>
        <v>1800</v>
      </c>
      <c r="E21" s="165">
        <f t="shared" si="2"/>
        <v>1814</v>
      </c>
      <c r="F21" s="73"/>
      <c r="G21" s="74"/>
      <c r="H21" s="169">
        <v>1127115.69</v>
      </c>
      <c r="I21" s="169">
        <v>236694.31</v>
      </c>
      <c r="J21" s="76"/>
      <c r="K21" s="83">
        <f t="shared" si="3"/>
        <v>1363810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6"/>
        <v>0</v>
      </c>
      <c r="V21" s="166"/>
      <c r="W21" s="82">
        <f t="shared" si="7"/>
        <v>0</v>
      </c>
      <c r="X21" s="165"/>
      <c r="Y21" s="165"/>
      <c r="Z21" s="79"/>
      <c r="AA21" s="80">
        <f t="shared" si="8"/>
        <v>0</v>
      </c>
      <c r="AB21" s="166"/>
      <c r="AC21" s="81">
        <f t="shared" si="9"/>
        <v>0</v>
      </c>
      <c r="AD21" s="84">
        <f t="shared" si="10"/>
        <v>1363810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-1362860</v>
      </c>
      <c r="AQ21" s="75">
        <f>150000+31000</f>
        <v>181000</v>
      </c>
      <c r="AR21" s="96"/>
      <c r="AS21" s="90"/>
      <c r="AT21" s="187">
        <v>1181860.0</v>
      </c>
      <c r="AU21" s="75"/>
      <c r="AV21" s="75"/>
      <c r="AW21" s="187">
        <v>0.0</v>
      </c>
      <c r="AX21" s="88"/>
      <c r="AY21" s="75"/>
      <c r="AZ21" s="90">
        <f t="shared" si="36"/>
        <v>0</v>
      </c>
      <c r="BA21" s="75"/>
      <c r="BB21" s="90">
        <f t="shared" ref="BB21:BB22" si="38">BA21*BB$2</f>
        <v>0</v>
      </c>
      <c r="BC21" s="75"/>
      <c r="BD21" s="90">
        <f t="shared" si="37"/>
        <v>0</v>
      </c>
      <c r="BE21" s="75"/>
      <c r="BF21" s="90">
        <f t="shared" si="35"/>
        <v>0</v>
      </c>
      <c r="BG21" s="75"/>
      <c r="BH21" s="90">
        <f t="shared" si="18"/>
        <v>0</v>
      </c>
      <c r="BI21" s="75"/>
      <c r="BJ21" s="90">
        <f t="shared" si="19"/>
        <v>0</v>
      </c>
      <c r="BK21" s="92">
        <f t="shared" si="33"/>
        <v>1362860</v>
      </c>
      <c r="BL21" s="93">
        <f t="shared" si="21"/>
        <v>1363810</v>
      </c>
      <c r="BM21" s="94">
        <f t="shared" si="22"/>
        <v>-950</v>
      </c>
      <c r="BN21" s="13"/>
      <c r="BO21" s="95">
        <f t="shared" si="23"/>
        <v>0.1327164341</v>
      </c>
      <c r="BP21" s="95">
        <f t="shared" si="24"/>
        <v>0</v>
      </c>
      <c r="BQ21" s="95">
        <f t="shared" si="25"/>
        <v>0.8665869879</v>
      </c>
      <c r="BR21" s="95">
        <f t="shared" si="26"/>
        <v>0</v>
      </c>
      <c r="BS21" s="95">
        <f t="shared" si="27"/>
        <v>0</v>
      </c>
      <c r="BT21" s="95">
        <f t="shared" si="28"/>
        <v>0</v>
      </c>
      <c r="BU21" s="95">
        <f t="shared" si="29"/>
        <v>0</v>
      </c>
      <c r="BV21" s="95">
        <f t="shared" si="30"/>
        <v>0.999303422</v>
      </c>
      <c r="BW21" s="95">
        <f t="shared" si="31"/>
        <v>0.04089388986</v>
      </c>
    </row>
    <row r="22" ht="15.75" customHeight="1">
      <c r="A22" s="168">
        <f>'LUCERO RECOLETA'!A22</f>
        <v>46156</v>
      </c>
      <c r="B22" s="162"/>
      <c r="C22" s="163">
        <v>10.0</v>
      </c>
      <c r="D22" s="165">
        <f t="shared" si="32"/>
        <v>1815</v>
      </c>
      <c r="E22" s="165">
        <f t="shared" si="2"/>
        <v>1824</v>
      </c>
      <c r="F22" s="73"/>
      <c r="G22" s="74"/>
      <c r="H22" s="169">
        <v>542892.56</v>
      </c>
      <c r="I22" s="169">
        <v>114007.44</v>
      </c>
      <c r="J22" s="76"/>
      <c r="K22" s="83">
        <f t="shared" si="3"/>
        <v>656900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6"/>
        <v>0</v>
      </c>
      <c r="V22" s="166"/>
      <c r="W22" s="82">
        <f t="shared" si="7"/>
        <v>0</v>
      </c>
      <c r="X22" s="165"/>
      <c r="Y22" s="165"/>
      <c r="Z22" s="79"/>
      <c r="AA22" s="80">
        <f t="shared" si="8"/>
        <v>0</v>
      </c>
      <c r="AB22" s="166"/>
      <c r="AC22" s="81">
        <f t="shared" si="9"/>
        <v>0</v>
      </c>
      <c r="AD22" s="84">
        <f t="shared" si="10"/>
        <v>656900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-656900</v>
      </c>
      <c r="AQ22" s="178">
        <v>0.0</v>
      </c>
      <c r="AR22" s="96"/>
      <c r="AS22" s="90"/>
      <c r="AT22" s="187">
        <v>656900.0</v>
      </c>
      <c r="AU22" s="75"/>
      <c r="AV22" s="75"/>
      <c r="AW22" s="187">
        <v>0.0</v>
      </c>
      <c r="AX22" s="88"/>
      <c r="AY22" s="75"/>
      <c r="AZ22" s="90">
        <f t="shared" si="36"/>
        <v>0</v>
      </c>
      <c r="BA22" s="75"/>
      <c r="BB22" s="90">
        <f t="shared" si="38"/>
        <v>0</v>
      </c>
      <c r="BC22" s="75"/>
      <c r="BD22" s="90">
        <f t="shared" si="37"/>
        <v>0</v>
      </c>
      <c r="BE22" s="75"/>
      <c r="BF22" s="90">
        <f t="shared" si="35"/>
        <v>0</v>
      </c>
      <c r="BG22" s="75"/>
      <c r="BH22" s="90">
        <f t="shared" si="18"/>
        <v>0</v>
      </c>
      <c r="BI22" s="75"/>
      <c r="BJ22" s="90">
        <f t="shared" si="19"/>
        <v>0</v>
      </c>
      <c r="BK22" s="92">
        <f t="shared" si="33"/>
        <v>656900</v>
      </c>
      <c r="BL22" s="93">
        <f t="shared" si="21"/>
        <v>656900</v>
      </c>
      <c r="BM22" s="94">
        <f t="shared" si="22"/>
        <v>0</v>
      </c>
      <c r="BN22" s="13"/>
      <c r="BO22" s="95">
        <f t="shared" si="23"/>
        <v>0</v>
      </c>
      <c r="BP22" s="95">
        <f t="shared" si="24"/>
        <v>0</v>
      </c>
      <c r="BQ22" s="95">
        <f t="shared" si="25"/>
        <v>1</v>
      </c>
      <c r="BR22" s="95">
        <f t="shared" si="26"/>
        <v>0</v>
      </c>
      <c r="BS22" s="95">
        <f t="shared" si="27"/>
        <v>0</v>
      </c>
      <c r="BT22" s="95">
        <f t="shared" si="28"/>
        <v>0</v>
      </c>
      <c r="BU22" s="95">
        <f t="shared" si="29"/>
        <v>0</v>
      </c>
      <c r="BV22" s="95">
        <f t="shared" si="30"/>
        <v>1</v>
      </c>
      <c r="BW22" s="95">
        <f t="shared" si="31"/>
        <v>0.01969716914</v>
      </c>
    </row>
    <row r="23" ht="15.75" customHeight="1">
      <c r="A23" s="168">
        <f>'LUCERO RECOLETA'!A23</f>
        <v>46157</v>
      </c>
      <c r="B23" s="162"/>
      <c r="C23" s="163">
        <v>12.0</v>
      </c>
      <c r="D23" s="165">
        <f t="shared" si="32"/>
        <v>1825</v>
      </c>
      <c r="E23" s="165">
        <f t="shared" si="2"/>
        <v>1836</v>
      </c>
      <c r="F23" s="73"/>
      <c r="G23" s="74"/>
      <c r="H23" s="169">
        <v>1171719.01</v>
      </c>
      <c r="I23" s="169">
        <v>246060.99</v>
      </c>
      <c r="J23" s="76"/>
      <c r="K23" s="83">
        <f t="shared" si="3"/>
        <v>1417780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6"/>
        <v>0</v>
      </c>
      <c r="V23" s="166"/>
      <c r="W23" s="82">
        <f t="shared" si="7"/>
        <v>0</v>
      </c>
      <c r="X23" s="165"/>
      <c r="Y23" s="165"/>
      <c r="Z23" s="79"/>
      <c r="AA23" s="80">
        <f t="shared" si="8"/>
        <v>0</v>
      </c>
      <c r="AB23" s="166"/>
      <c r="AC23" s="81">
        <f t="shared" si="9"/>
        <v>0</v>
      </c>
      <c r="AD23" s="84">
        <f t="shared" si="10"/>
        <v>1417780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-1419830</v>
      </c>
      <c r="AQ23" s="75">
        <f>200000</f>
        <v>200000</v>
      </c>
      <c r="AR23" s="96"/>
      <c r="AS23" s="90"/>
      <c r="AT23" s="187">
        <v>1219830.0</v>
      </c>
      <c r="AU23" s="75"/>
      <c r="AV23" s="75"/>
      <c r="AW23" s="187">
        <v>0.0</v>
      </c>
      <c r="AX23" s="88"/>
      <c r="AY23" s="75"/>
      <c r="AZ23" s="90">
        <f t="shared" si="36"/>
        <v>0</v>
      </c>
      <c r="BA23" s="75"/>
      <c r="BB23" s="90">
        <f>BA23*1425</f>
        <v>0</v>
      </c>
      <c r="BC23" s="75"/>
      <c r="BD23" s="90">
        <f t="shared" si="37"/>
        <v>0</v>
      </c>
      <c r="BE23" s="75"/>
      <c r="BF23" s="90">
        <f t="shared" si="35"/>
        <v>0</v>
      </c>
      <c r="BG23" s="75"/>
      <c r="BH23" s="90">
        <f t="shared" si="18"/>
        <v>0</v>
      </c>
      <c r="BI23" s="75"/>
      <c r="BJ23" s="90">
        <f t="shared" si="19"/>
        <v>0</v>
      </c>
      <c r="BK23" s="92">
        <f t="shared" si="33"/>
        <v>1419830</v>
      </c>
      <c r="BL23" s="93">
        <f t="shared" si="21"/>
        <v>1417780</v>
      </c>
      <c r="BM23" s="94">
        <f t="shared" si="22"/>
        <v>2050</v>
      </c>
      <c r="BN23" s="13"/>
      <c r="BO23" s="95">
        <f t="shared" si="23"/>
        <v>0.1410656096</v>
      </c>
      <c r="BP23" s="95">
        <f t="shared" si="24"/>
        <v>0</v>
      </c>
      <c r="BQ23" s="95">
        <f t="shared" si="25"/>
        <v>0.8603803129</v>
      </c>
      <c r="BR23" s="95">
        <f t="shared" si="26"/>
        <v>0</v>
      </c>
      <c r="BS23" s="95">
        <f t="shared" si="27"/>
        <v>0</v>
      </c>
      <c r="BT23" s="95">
        <f t="shared" si="28"/>
        <v>0</v>
      </c>
      <c r="BU23" s="95">
        <f t="shared" si="29"/>
        <v>0</v>
      </c>
      <c r="BV23" s="95">
        <f t="shared" si="30"/>
        <v>1.001445922</v>
      </c>
      <c r="BW23" s="95">
        <f t="shared" si="31"/>
        <v>0.04251218217</v>
      </c>
    </row>
    <row r="24" ht="15.75" customHeight="1">
      <c r="A24" s="168">
        <f>'LUCERO RECOLETA'!A24</f>
        <v>46158</v>
      </c>
      <c r="B24" s="162"/>
      <c r="C24" s="163">
        <v>13.0</v>
      </c>
      <c r="D24" s="165">
        <f t="shared" si="32"/>
        <v>1837</v>
      </c>
      <c r="E24" s="165">
        <f t="shared" si="2"/>
        <v>1849</v>
      </c>
      <c r="F24" s="73"/>
      <c r="G24" s="74"/>
      <c r="H24" s="169">
        <v>1266768.57</v>
      </c>
      <c r="I24" s="169">
        <v>266021.43</v>
      </c>
      <c r="J24" s="76"/>
      <c r="K24" s="83">
        <f t="shared" si="3"/>
        <v>1532790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6"/>
        <v>0</v>
      </c>
      <c r="V24" s="166"/>
      <c r="W24" s="82">
        <f t="shared" si="7"/>
        <v>0</v>
      </c>
      <c r="X24" s="165"/>
      <c r="Y24" s="165"/>
      <c r="Z24" s="79"/>
      <c r="AA24" s="80">
        <f t="shared" si="8"/>
        <v>0</v>
      </c>
      <c r="AB24" s="166"/>
      <c r="AC24" s="81">
        <f t="shared" si="9"/>
        <v>0</v>
      </c>
      <c r="AD24" s="84">
        <f t="shared" si="10"/>
        <v>1532790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-1530820</v>
      </c>
      <c r="AQ24" s="75">
        <f>70000+52000</f>
        <v>122000</v>
      </c>
      <c r="AR24" s="96"/>
      <c r="AS24" s="90"/>
      <c r="AT24" s="187">
        <v>1408820.0</v>
      </c>
      <c r="AU24" s="75"/>
      <c r="AV24" s="75"/>
      <c r="AW24" s="90"/>
      <c r="AX24" s="88"/>
      <c r="AY24" s="75"/>
      <c r="AZ24" s="90">
        <f t="shared" si="36"/>
        <v>0</v>
      </c>
      <c r="BA24" s="75"/>
      <c r="BB24" s="90">
        <f>BA24*1395</f>
        <v>0</v>
      </c>
      <c r="BC24" s="75"/>
      <c r="BD24" s="90">
        <f t="shared" si="37"/>
        <v>0</v>
      </c>
      <c r="BE24" s="75"/>
      <c r="BF24" s="90">
        <f t="shared" si="35"/>
        <v>0</v>
      </c>
      <c r="BG24" s="75"/>
      <c r="BH24" s="90">
        <f t="shared" si="18"/>
        <v>0</v>
      </c>
      <c r="BI24" s="75"/>
      <c r="BJ24" s="90">
        <f t="shared" si="19"/>
        <v>0</v>
      </c>
      <c r="BK24" s="92">
        <f t="shared" si="33"/>
        <v>1530820</v>
      </c>
      <c r="BL24" s="93">
        <f t="shared" si="21"/>
        <v>1532790</v>
      </c>
      <c r="BM24" s="94">
        <f t="shared" si="22"/>
        <v>-1970</v>
      </c>
      <c r="BN24" s="14"/>
      <c r="BO24" s="95">
        <f t="shared" si="23"/>
        <v>0.07959342115</v>
      </c>
      <c r="BP24" s="95">
        <f t="shared" si="24"/>
        <v>0</v>
      </c>
      <c r="BQ24" s="95">
        <f t="shared" si="25"/>
        <v>0.9191213408</v>
      </c>
      <c r="BR24" s="95">
        <f t="shared" si="26"/>
        <v>0</v>
      </c>
      <c r="BS24" s="95">
        <f t="shared" si="27"/>
        <v>0</v>
      </c>
      <c r="BT24" s="95">
        <f t="shared" si="28"/>
        <v>0</v>
      </c>
      <c r="BU24" s="95">
        <f t="shared" si="29"/>
        <v>0</v>
      </c>
      <c r="BV24" s="95">
        <f t="shared" si="30"/>
        <v>0.998714762</v>
      </c>
      <c r="BW24" s="95">
        <f t="shared" si="31"/>
        <v>0.04596076098</v>
      </c>
    </row>
    <row r="25" ht="15.75" customHeight="1">
      <c r="A25" s="168">
        <f>'LUCERO RECOLETA'!A25</f>
        <v>46159</v>
      </c>
      <c r="B25" s="162"/>
      <c r="C25" s="176">
        <v>36.0</v>
      </c>
      <c r="D25" s="165">
        <f t="shared" si="32"/>
        <v>1850</v>
      </c>
      <c r="E25" s="165">
        <f t="shared" si="2"/>
        <v>1885</v>
      </c>
      <c r="F25" s="73"/>
      <c r="G25" s="74"/>
      <c r="H25" s="169">
        <v>2624330.53</v>
      </c>
      <c r="I25" s="169">
        <v>551109.47</v>
      </c>
      <c r="J25" s="76"/>
      <c r="K25" s="83">
        <f t="shared" si="3"/>
        <v>3175440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6"/>
        <v>0</v>
      </c>
      <c r="V25" s="166"/>
      <c r="W25" s="82">
        <f t="shared" si="7"/>
        <v>0</v>
      </c>
      <c r="X25" s="165"/>
      <c r="Y25" s="165"/>
      <c r="Z25" s="79"/>
      <c r="AA25" s="80">
        <f t="shared" si="8"/>
        <v>0</v>
      </c>
      <c r="AB25" s="166"/>
      <c r="AC25" s="81">
        <f t="shared" si="9"/>
        <v>0</v>
      </c>
      <c r="AD25" s="84">
        <f t="shared" si="10"/>
        <v>3175440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-3175520</v>
      </c>
      <c r="AQ25" s="75">
        <f>71000+100000+280000</f>
        <v>451000</v>
      </c>
      <c r="AR25" s="97"/>
      <c r="AS25" s="90"/>
      <c r="AT25" s="187">
        <v>2724520.0</v>
      </c>
      <c r="AU25" s="75"/>
      <c r="AV25" s="75"/>
      <c r="AW25" s="187">
        <v>0.0</v>
      </c>
      <c r="AX25" s="88"/>
      <c r="AY25" s="75"/>
      <c r="AZ25" s="90">
        <f t="shared" si="36"/>
        <v>0</v>
      </c>
      <c r="BA25" s="75"/>
      <c r="BB25" s="90">
        <f t="shared" ref="BB25:BB26" si="39">BA25*BB$2</f>
        <v>0</v>
      </c>
      <c r="BC25" s="75"/>
      <c r="BD25" s="90">
        <f t="shared" si="37"/>
        <v>0</v>
      </c>
      <c r="BE25" s="75"/>
      <c r="BF25" s="90">
        <f t="shared" si="35"/>
        <v>0</v>
      </c>
      <c r="BG25" s="75"/>
      <c r="BH25" s="90">
        <f t="shared" si="18"/>
        <v>0</v>
      </c>
      <c r="BI25" s="75"/>
      <c r="BJ25" s="90">
        <f t="shared" si="19"/>
        <v>0</v>
      </c>
      <c r="BK25" s="92">
        <f t="shared" si="33"/>
        <v>3175520</v>
      </c>
      <c r="BL25" s="93">
        <f t="shared" si="21"/>
        <v>3175440</v>
      </c>
      <c r="BM25" s="94">
        <f t="shared" si="22"/>
        <v>80</v>
      </c>
      <c r="BN25" s="13"/>
      <c r="BO25" s="95">
        <f t="shared" si="23"/>
        <v>0.1420275615</v>
      </c>
      <c r="BP25" s="95">
        <f t="shared" si="24"/>
        <v>0</v>
      </c>
      <c r="BQ25" s="95">
        <f t="shared" si="25"/>
        <v>0.8579976318</v>
      </c>
      <c r="BR25" s="95">
        <f t="shared" si="26"/>
        <v>0</v>
      </c>
      <c r="BS25" s="95">
        <f t="shared" si="27"/>
        <v>0</v>
      </c>
      <c r="BT25" s="95">
        <f t="shared" si="28"/>
        <v>0</v>
      </c>
      <c r="BU25" s="95">
        <f t="shared" si="29"/>
        <v>0</v>
      </c>
      <c r="BV25" s="95">
        <f t="shared" si="30"/>
        <v>1.000025193</v>
      </c>
      <c r="BW25" s="95">
        <f t="shared" si="31"/>
        <v>0.09521567786</v>
      </c>
    </row>
    <row r="26" ht="15.75" customHeight="1">
      <c r="A26" s="168">
        <f>'LUCERO RECOLETA'!A26</f>
        <v>46160</v>
      </c>
      <c r="B26" s="162"/>
      <c r="C26" s="163">
        <v>7.0</v>
      </c>
      <c r="D26" s="165">
        <f t="shared" si="32"/>
        <v>1886</v>
      </c>
      <c r="E26" s="165">
        <f t="shared" si="2"/>
        <v>1892</v>
      </c>
      <c r="F26" s="73"/>
      <c r="G26" s="74"/>
      <c r="H26" s="169">
        <v>459429.75</v>
      </c>
      <c r="I26" s="169">
        <v>96480.25</v>
      </c>
      <c r="J26" s="76"/>
      <c r="K26" s="83">
        <f t="shared" si="3"/>
        <v>555910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6"/>
        <v>0</v>
      </c>
      <c r="V26" s="166"/>
      <c r="W26" s="82">
        <f t="shared" si="7"/>
        <v>0</v>
      </c>
      <c r="X26" s="165"/>
      <c r="Y26" s="165"/>
      <c r="Z26" s="79"/>
      <c r="AA26" s="80">
        <f t="shared" si="8"/>
        <v>0</v>
      </c>
      <c r="AB26" s="166"/>
      <c r="AC26" s="81">
        <f t="shared" si="9"/>
        <v>0</v>
      </c>
      <c r="AD26" s="84">
        <f t="shared" si="10"/>
        <v>555910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-555910</v>
      </c>
      <c r="AQ26" s="169">
        <v>0.0</v>
      </c>
      <c r="AR26" s="96"/>
      <c r="AS26" s="90"/>
      <c r="AT26" s="187">
        <v>555910.0</v>
      </c>
      <c r="AU26" s="75"/>
      <c r="AV26" s="75"/>
      <c r="AW26" s="187">
        <v>0.0</v>
      </c>
      <c r="AX26" s="88"/>
      <c r="AY26" s="75"/>
      <c r="AZ26" s="90">
        <f t="shared" si="36"/>
        <v>0</v>
      </c>
      <c r="BA26" s="75"/>
      <c r="BB26" s="90">
        <f t="shared" si="39"/>
        <v>0</v>
      </c>
      <c r="BC26" s="75"/>
      <c r="BD26" s="90">
        <f t="shared" si="37"/>
        <v>0</v>
      </c>
      <c r="BE26" s="75"/>
      <c r="BF26" s="90">
        <f t="shared" si="35"/>
        <v>0</v>
      </c>
      <c r="BG26" s="75"/>
      <c r="BH26" s="90">
        <f t="shared" si="18"/>
        <v>0</v>
      </c>
      <c r="BI26" s="75"/>
      <c r="BJ26" s="90">
        <f t="shared" si="19"/>
        <v>0</v>
      </c>
      <c r="BK26" s="92">
        <f t="shared" si="33"/>
        <v>555910</v>
      </c>
      <c r="BL26" s="93">
        <f t="shared" si="21"/>
        <v>555910</v>
      </c>
      <c r="BM26" s="94">
        <f t="shared" si="22"/>
        <v>0</v>
      </c>
      <c r="BN26" s="14"/>
      <c r="BO26" s="95">
        <f t="shared" si="23"/>
        <v>0</v>
      </c>
      <c r="BP26" s="95">
        <f t="shared" si="24"/>
        <v>0</v>
      </c>
      <c r="BQ26" s="95">
        <f t="shared" si="25"/>
        <v>1</v>
      </c>
      <c r="BR26" s="95">
        <f t="shared" si="26"/>
        <v>0</v>
      </c>
      <c r="BS26" s="95">
        <f t="shared" si="27"/>
        <v>0</v>
      </c>
      <c r="BT26" s="95">
        <f t="shared" si="28"/>
        <v>0</v>
      </c>
      <c r="BU26" s="95">
        <f t="shared" si="29"/>
        <v>0</v>
      </c>
      <c r="BV26" s="95">
        <f t="shared" si="30"/>
        <v>1</v>
      </c>
      <c r="BW26" s="95">
        <f t="shared" si="31"/>
        <v>0.01666898051</v>
      </c>
    </row>
    <row r="27" ht="15.75" customHeight="1">
      <c r="A27" s="168">
        <f>'LUCERO RECOLETA'!A27</f>
        <v>46161</v>
      </c>
      <c r="B27" s="162"/>
      <c r="C27" s="163">
        <v>12.0</v>
      </c>
      <c r="D27" s="165">
        <f t="shared" si="32"/>
        <v>1893</v>
      </c>
      <c r="E27" s="165">
        <f t="shared" si="2"/>
        <v>1904</v>
      </c>
      <c r="F27" s="73"/>
      <c r="G27" s="74"/>
      <c r="H27" s="169">
        <v>942033.05</v>
      </c>
      <c r="I27" s="169">
        <v>197826.95</v>
      </c>
      <c r="J27" s="76"/>
      <c r="K27" s="83">
        <f t="shared" si="3"/>
        <v>1139860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6"/>
        <v>0</v>
      </c>
      <c r="V27" s="166"/>
      <c r="W27" s="82">
        <f t="shared" si="7"/>
        <v>0</v>
      </c>
      <c r="X27" s="165"/>
      <c r="Y27" s="165"/>
      <c r="Z27" s="79"/>
      <c r="AA27" s="80">
        <f t="shared" si="8"/>
        <v>0</v>
      </c>
      <c r="AB27" s="166"/>
      <c r="AC27" s="81">
        <f t="shared" si="9"/>
        <v>0</v>
      </c>
      <c r="AD27" s="84">
        <f t="shared" si="10"/>
        <v>1139860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-1139900</v>
      </c>
      <c r="AQ27" s="75">
        <f>140000+70000</f>
        <v>210000</v>
      </c>
      <c r="AR27" s="96"/>
      <c r="AS27" s="90"/>
      <c r="AT27" s="187">
        <v>709910.0</v>
      </c>
      <c r="AU27" s="75"/>
      <c r="AV27" s="75"/>
      <c r="AW27" s="187">
        <v>219990.0</v>
      </c>
      <c r="AX27" s="88"/>
      <c r="AY27" s="75"/>
      <c r="AZ27" s="90">
        <f t="shared" si="36"/>
        <v>0</v>
      </c>
      <c r="BA27" s="75"/>
      <c r="BB27" s="90">
        <f>BA27*1415</f>
        <v>0</v>
      </c>
      <c r="BC27" s="75"/>
      <c r="BD27" s="90">
        <f t="shared" si="37"/>
        <v>0</v>
      </c>
      <c r="BE27" s="75"/>
      <c r="BF27" s="90">
        <f t="shared" si="35"/>
        <v>0</v>
      </c>
      <c r="BG27" s="75"/>
      <c r="BH27" s="90">
        <f t="shared" si="18"/>
        <v>0</v>
      </c>
      <c r="BI27" s="75"/>
      <c r="BJ27" s="90">
        <f t="shared" si="19"/>
        <v>0</v>
      </c>
      <c r="BK27" s="92">
        <f t="shared" si="33"/>
        <v>1139900</v>
      </c>
      <c r="BL27" s="93">
        <f t="shared" si="21"/>
        <v>1139860</v>
      </c>
      <c r="BM27" s="94">
        <f t="shared" si="22"/>
        <v>40</v>
      </c>
      <c r="BN27" s="14"/>
      <c r="BO27" s="95">
        <f t="shared" si="23"/>
        <v>0.1842331514</v>
      </c>
      <c r="BP27" s="95">
        <f t="shared" si="24"/>
        <v>0</v>
      </c>
      <c r="BQ27" s="95">
        <f t="shared" si="25"/>
        <v>0.6228045549</v>
      </c>
      <c r="BR27" s="95">
        <f t="shared" si="26"/>
        <v>0.1929973856</v>
      </c>
      <c r="BS27" s="95">
        <f t="shared" si="27"/>
        <v>0</v>
      </c>
      <c r="BT27" s="95">
        <f t="shared" si="28"/>
        <v>0</v>
      </c>
      <c r="BU27" s="95">
        <f t="shared" si="29"/>
        <v>0</v>
      </c>
      <c r="BV27" s="95">
        <f t="shared" si="30"/>
        <v>1.000035092</v>
      </c>
      <c r="BW27" s="95">
        <f t="shared" si="31"/>
        <v>0.03417874139</v>
      </c>
    </row>
    <row r="28" ht="15.75" customHeight="1">
      <c r="A28" s="168">
        <f>'LUCERO RECOLETA'!A28</f>
        <v>46162</v>
      </c>
      <c r="B28" s="162"/>
      <c r="C28" s="163">
        <v>5.0</v>
      </c>
      <c r="D28" s="165">
        <f t="shared" si="32"/>
        <v>1905</v>
      </c>
      <c r="E28" s="165">
        <f t="shared" si="2"/>
        <v>1909</v>
      </c>
      <c r="F28" s="73"/>
      <c r="G28" s="74"/>
      <c r="H28" s="169">
        <v>495809.91</v>
      </c>
      <c r="I28" s="169">
        <v>104120.09</v>
      </c>
      <c r="J28" s="76"/>
      <c r="K28" s="83">
        <f t="shared" si="3"/>
        <v>599930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6"/>
        <v>0</v>
      </c>
      <c r="V28" s="166"/>
      <c r="W28" s="82">
        <f t="shared" si="7"/>
        <v>0</v>
      </c>
      <c r="X28" s="165"/>
      <c r="Y28" s="165"/>
      <c r="Z28" s="79"/>
      <c r="AA28" s="80">
        <f t="shared" si="8"/>
        <v>0</v>
      </c>
      <c r="AB28" s="166"/>
      <c r="AC28" s="81">
        <f t="shared" si="9"/>
        <v>0</v>
      </c>
      <c r="AD28" s="84">
        <f t="shared" si="10"/>
        <v>599930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-599750</v>
      </c>
      <c r="AQ28" s="169">
        <v>46000.0</v>
      </c>
      <c r="AR28" s="99"/>
      <c r="AS28" s="90"/>
      <c r="AT28" s="187">
        <v>354950.0</v>
      </c>
      <c r="AU28" s="75"/>
      <c r="AV28" s="75"/>
      <c r="AW28" s="187">
        <v>0.0</v>
      </c>
      <c r="AX28" s="88"/>
      <c r="AY28" s="75"/>
      <c r="AZ28" s="90">
        <f t="shared" si="36"/>
        <v>0</v>
      </c>
      <c r="BA28" s="169">
        <v>140.0</v>
      </c>
      <c r="BB28" s="90">
        <f>BA28*1420</f>
        <v>198800</v>
      </c>
      <c r="BC28" s="75"/>
      <c r="BD28" s="90">
        <f>BC28*1415</f>
        <v>0</v>
      </c>
      <c r="BE28" s="75"/>
      <c r="BF28" s="90">
        <f t="shared" si="35"/>
        <v>0</v>
      </c>
      <c r="BG28" s="75"/>
      <c r="BH28" s="90">
        <f t="shared" si="18"/>
        <v>0</v>
      </c>
      <c r="BI28" s="75"/>
      <c r="BJ28" s="90">
        <f t="shared" si="19"/>
        <v>0</v>
      </c>
      <c r="BK28" s="92">
        <f t="shared" si="33"/>
        <v>599750</v>
      </c>
      <c r="BL28" s="93">
        <f t="shared" si="21"/>
        <v>599930</v>
      </c>
      <c r="BM28" s="94">
        <f t="shared" si="22"/>
        <v>-180</v>
      </c>
      <c r="BN28" s="13"/>
      <c r="BO28" s="95">
        <f t="shared" si="23"/>
        <v>0.07667561215</v>
      </c>
      <c r="BP28" s="95">
        <f t="shared" si="24"/>
        <v>0</v>
      </c>
      <c r="BQ28" s="95">
        <f t="shared" si="25"/>
        <v>0.5916523594</v>
      </c>
      <c r="BR28" s="95">
        <f t="shared" si="26"/>
        <v>0</v>
      </c>
      <c r="BS28" s="95">
        <f t="shared" si="27"/>
        <v>0</v>
      </c>
      <c r="BT28" s="95">
        <f t="shared" si="28"/>
        <v>0.3313719934</v>
      </c>
      <c r="BU28" s="95">
        <f t="shared" si="29"/>
        <v>0</v>
      </c>
      <c r="BV28" s="95">
        <f t="shared" si="30"/>
        <v>0.999699965</v>
      </c>
      <c r="BW28" s="95">
        <f t="shared" si="31"/>
        <v>0.01798892173</v>
      </c>
    </row>
    <row r="29" ht="15.75" customHeight="1">
      <c r="A29" s="168">
        <f>'LUCERO RECOLETA'!A29</f>
        <v>46163</v>
      </c>
      <c r="B29" s="162"/>
      <c r="C29" s="163">
        <v>9.0</v>
      </c>
      <c r="D29" s="165">
        <f t="shared" si="32"/>
        <v>1910</v>
      </c>
      <c r="E29" s="165">
        <f t="shared" si="2"/>
        <v>1918</v>
      </c>
      <c r="F29" s="73"/>
      <c r="G29" s="74"/>
      <c r="H29" s="169">
        <v>720561.98</v>
      </c>
      <c r="I29" s="169">
        <v>151318.02</v>
      </c>
      <c r="J29" s="76"/>
      <c r="K29" s="83">
        <f t="shared" si="3"/>
        <v>871880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6"/>
        <v>0</v>
      </c>
      <c r="V29" s="166"/>
      <c r="W29" s="82">
        <f t="shared" si="7"/>
        <v>0</v>
      </c>
      <c r="X29" s="165"/>
      <c r="Y29" s="165"/>
      <c r="Z29" s="79"/>
      <c r="AA29" s="80">
        <f t="shared" si="8"/>
        <v>0</v>
      </c>
      <c r="AB29" s="166"/>
      <c r="AC29" s="81">
        <f t="shared" si="9"/>
        <v>0</v>
      </c>
      <c r="AD29" s="84">
        <f t="shared" si="10"/>
        <v>871880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-871920</v>
      </c>
      <c r="AQ29" s="75">
        <f>40000+20000</f>
        <v>60000</v>
      </c>
      <c r="AR29" s="99"/>
      <c r="AS29" s="90"/>
      <c r="AT29" s="187">
        <v>811920.0</v>
      </c>
      <c r="AU29" s="75"/>
      <c r="AV29" s="75"/>
      <c r="AW29" s="187">
        <v>0.0</v>
      </c>
      <c r="AX29" s="88"/>
      <c r="AY29" s="75"/>
      <c r="AZ29" s="90">
        <f t="shared" si="36"/>
        <v>0</v>
      </c>
      <c r="BA29" s="75"/>
      <c r="BB29" s="90">
        <f>BA29*1395</f>
        <v>0</v>
      </c>
      <c r="BC29" s="75"/>
      <c r="BD29" s="90">
        <f>BC29*BD$2</f>
        <v>0</v>
      </c>
      <c r="BE29" s="75"/>
      <c r="BF29" s="90">
        <f t="shared" si="35"/>
        <v>0</v>
      </c>
      <c r="BG29" s="75"/>
      <c r="BH29" s="90">
        <f t="shared" si="18"/>
        <v>0</v>
      </c>
      <c r="BI29" s="75"/>
      <c r="BJ29" s="90">
        <f t="shared" si="19"/>
        <v>0</v>
      </c>
      <c r="BK29" s="92">
        <f t="shared" si="33"/>
        <v>871920</v>
      </c>
      <c r="BL29" s="93">
        <f t="shared" si="21"/>
        <v>871880</v>
      </c>
      <c r="BM29" s="94">
        <f t="shared" si="22"/>
        <v>40</v>
      </c>
      <c r="BN29" s="149"/>
      <c r="BO29" s="95">
        <f t="shared" si="23"/>
        <v>0.06881680965</v>
      </c>
      <c r="BP29" s="95">
        <f t="shared" si="24"/>
        <v>0</v>
      </c>
      <c r="BQ29" s="95">
        <f t="shared" si="25"/>
        <v>0.9312290682</v>
      </c>
      <c r="BR29" s="95">
        <f t="shared" si="26"/>
        <v>0</v>
      </c>
      <c r="BS29" s="95">
        <f t="shared" si="27"/>
        <v>0</v>
      </c>
      <c r="BT29" s="95">
        <f t="shared" si="28"/>
        <v>0</v>
      </c>
      <c r="BU29" s="95">
        <f t="shared" si="29"/>
        <v>0</v>
      </c>
      <c r="BV29" s="95">
        <f t="shared" si="30"/>
        <v>1.000045878</v>
      </c>
      <c r="BW29" s="95">
        <f t="shared" si="31"/>
        <v>0.02614335185</v>
      </c>
    </row>
    <row r="30" ht="15.75" customHeight="1">
      <c r="A30" s="168">
        <f>'LUCERO RECOLETA'!A30</f>
        <v>46164</v>
      </c>
      <c r="B30" s="162"/>
      <c r="C30" s="163">
        <v>24.0</v>
      </c>
      <c r="D30" s="165">
        <f t="shared" si="32"/>
        <v>1919</v>
      </c>
      <c r="E30" s="165">
        <f t="shared" si="2"/>
        <v>1942</v>
      </c>
      <c r="F30" s="73"/>
      <c r="G30" s="74"/>
      <c r="H30" s="169">
        <v>1638520.63</v>
      </c>
      <c r="I30" s="169">
        <v>344089.37</v>
      </c>
      <c r="J30" s="76"/>
      <c r="K30" s="83">
        <f t="shared" si="3"/>
        <v>1982610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6"/>
        <v>0</v>
      </c>
      <c r="V30" s="166"/>
      <c r="W30" s="82">
        <f t="shared" si="7"/>
        <v>0</v>
      </c>
      <c r="X30" s="165"/>
      <c r="Y30" s="165"/>
      <c r="Z30" s="79"/>
      <c r="AA30" s="80">
        <f t="shared" si="8"/>
        <v>0</v>
      </c>
      <c r="AB30" s="166"/>
      <c r="AC30" s="81">
        <f t="shared" si="9"/>
        <v>0</v>
      </c>
      <c r="AD30" s="84">
        <f t="shared" si="10"/>
        <v>1982610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-1982640</v>
      </c>
      <c r="AQ30" s="75">
        <f>100000+40000</f>
        <v>140000</v>
      </c>
      <c r="AR30" s="99"/>
      <c r="AS30" s="90"/>
      <c r="AT30" s="187">
        <v>1842640.0</v>
      </c>
      <c r="AU30" s="75"/>
      <c r="AV30" s="75"/>
      <c r="AW30" s="187">
        <v>0.0</v>
      </c>
      <c r="AX30" s="88"/>
      <c r="AY30" s="75"/>
      <c r="AZ30" s="90">
        <f t="shared" si="36"/>
        <v>0</v>
      </c>
      <c r="BA30" s="75"/>
      <c r="BB30" s="90">
        <f t="shared" ref="BB30:BB31" si="40">BA30*1415</f>
        <v>0</v>
      </c>
      <c r="BC30" s="75"/>
      <c r="BD30" s="90">
        <f>BC30*1415</f>
        <v>0</v>
      </c>
      <c r="BE30" s="75"/>
      <c r="BF30" s="90">
        <f t="shared" si="35"/>
        <v>0</v>
      </c>
      <c r="BG30" s="75"/>
      <c r="BH30" s="90">
        <f t="shared" si="18"/>
        <v>0</v>
      </c>
      <c r="BI30" s="75"/>
      <c r="BJ30" s="90">
        <f t="shared" si="19"/>
        <v>0</v>
      </c>
      <c r="BK30" s="92">
        <f t="shared" si="33"/>
        <v>1982640</v>
      </c>
      <c r="BL30" s="93">
        <f t="shared" si="21"/>
        <v>1982610</v>
      </c>
      <c r="BM30" s="94">
        <f t="shared" si="22"/>
        <v>30</v>
      </c>
      <c r="BN30" s="13"/>
      <c r="BO30" s="95">
        <f t="shared" si="23"/>
        <v>0.07061398863</v>
      </c>
      <c r="BP30" s="95">
        <f t="shared" si="24"/>
        <v>0</v>
      </c>
      <c r="BQ30" s="95">
        <f t="shared" si="25"/>
        <v>0.9294011429</v>
      </c>
      <c r="BR30" s="95">
        <f t="shared" si="26"/>
        <v>0</v>
      </c>
      <c r="BS30" s="95">
        <f t="shared" si="27"/>
        <v>0</v>
      </c>
      <c r="BT30" s="95">
        <f t="shared" si="28"/>
        <v>0</v>
      </c>
      <c r="BU30" s="95">
        <f t="shared" si="29"/>
        <v>0</v>
      </c>
      <c r="BV30" s="95">
        <f t="shared" si="30"/>
        <v>1.000015132</v>
      </c>
      <c r="BW30" s="95">
        <f t="shared" si="31"/>
        <v>0.05944862919</v>
      </c>
    </row>
    <row r="31" ht="15.75" customHeight="1">
      <c r="A31" s="168">
        <f>'LUCERO RECOLETA'!A31</f>
        <v>46165</v>
      </c>
      <c r="B31" s="162"/>
      <c r="C31" s="163">
        <v>11.0</v>
      </c>
      <c r="D31" s="165">
        <f t="shared" si="32"/>
        <v>1943</v>
      </c>
      <c r="E31" s="165">
        <f t="shared" si="2"/>
        <v>1953</v>
      </c>
      <c r="F31" s="73"/>
      <c r="G31" s="74"/>
      <c r="H31" s="169">
        <v>798206.6</v>
      </c>
      <c r="I31" s="169">
        <v>167623.4</v>
      </c>
      <c r="J31" s="76"/>
      <c r="K31" s="83">
        <f t="shared" si="3"/>
        <v>965830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6"/>
        <v>0</v>
      </c>
      <c r="V31" s="166"/>
      <c r="W31" s="82">
        <f t="shared" si="7"/>
        <v>0</v>
      </c>
      <c r="X31" s="165"/>
      <c r="Y31" s="165"/>
      <c r="Z31" s="79"/>
      <c r="AA31" s="80">
        <f t="shared" si="8"/>
        <v>0</v>
      </c>
      <c r="AB31" s="166"/>
      <c r="AC31" s="81">
        <f t="shared" si="9"/>
        <v>0</v>
      </c>
      <c r="AD31" s="84">
        <f t="shared" si="10"/>
        <v>965830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-965840</v>
      </c>
      <c r="AQ31" s="169">
        <v>5000.0</v>
      </c>
      <c r="AR31" s="96"/>
      <c r="AS31" s="90"/>
      <c r="AT31" s="187">
        <v>960840.0</v>
      </c>
      <c r="AU31" s="75"/>
      <c r="AV31" s="75"/>
      <c r="AW31" s="187">
        <v>0.0</v>
      </c>
      <c r="AX31" s="88"/>
      <c r="AY31" s="75"/>
      <c r="AZ31" s="90">
        <f t="shared" si="36"/>
        <v>0</v>
      </c>
      <c r="BA31" s="75"/>
      <c r="BB31" s="90">
        <f t="shared" si="40"/>
        <v>0</v>
      </c>
      <c r="BC31" s="75"/>
      <c r="BD31" s="90">
        <f t="shared" ref="BD31:BD33" si="41">BC31*BD$2</f>
        <v>0</v>
      </c>
      <c r="BE31" s="75"/>
      <c r="BF31" s="90">
        <f t="shared" si="35"/>
        <v>0</v>
      </c>
      <c r="BG31" s="75"/>
      <c r="BH31" s="90">
        <f t="shared" si="18"/>
        <v>0</v>
      </c>
      <c r="BI31" s="75"/>
      <c r="BJ31" s="90">
        <f t="shared" si="19"/>
        <v>0</v>
      </c>
      <c r="BK31" s="92">
        <f t="shared" si="33"/>
        <v>965840</v>
      </c>
      <c r="BL31" s="93">
        <f t="shared" si="21"/>
        <v>965830</v>
      </c>
      <c r="BM31" s="94">
        <f t="shared" si="22"/>
        <v>10</v>
      </c>
      <c r="BN31" s="13"/>
      <c r="BO31" s="95">
        <f t="shared" si="23"/>
        <v>0.005176894485</v>
      </c>
      <c r="BP31" s="95">
        <f t="shared" si="24"/>
        <v>0</v>
      </c>
      <c r="BQ31" s="95">
        <f t="shared" si="25"/>
        <v>0.9948334593</v>
      </c>
      <c r="BR31" s="95">
        <f t="shared" si="26"/>
        <v>0</v>
      </c>
      <c r="BS31" s="95">
        <f t="shared" si="27"/>
        <v>0</v>
      </c>
      <c r="BT31" s="95">
        <f t="shared" si="28"/>
        <v>0</v>
      </c>
      <c r="BU31" s="95">
        <f t="shared" si="29"/>
        <v>0</v>
      </c>
      <c r="BV31" s="95">
        <f t="shared" si="30"/>
        <v>1.000010354</v>
      </c>
      <c r="BW31" s="95">
        <f t="shared" si="31"/>
        <v>0.02896044584</v>
      </c>
    </row>
    <row r="32" ht="15.75" customHeight="1">
      <c r="A32" s="168">
        <f>'LUCERO RECOLETA'!A32</f>
        <v>46166</v>
      </c>
      <c r="B32" s="162"/>
      <c r="C32" s="163">
        <v>17.0</v>
      </c>
      <c r="D32" s="165">
        <f t="shared" si="32"/>
        <v>1954</v>
      </c>
      <c r="E32" s="165">
        <f t="shared" si="2"/>
        <v>1970</v>
      </c>
      <c r="F32" s="73"/>
      <c r="G32" s="74"/>
      <c r="H32" s="169">
        <v>1404752.06</v>
      </c>
      <c r="I32" s="169">
        <v>294997.94</v>
      </c>
      <c r="J32" s="76"/>
      <c r="K32" s="83">
        <f t="shared" si="3"/>
        <v>1699750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6"/>
        <v>0</v>
      </c>
      <c r="V32" s="166"/>
      <c r="W32" s="82">
        <f t="shared" si="7"/>
        <v>0</v>
      </c>
      <c r="X32" s="165"/>
      <c r="Y32" s="165"/>
      <c r="Z32" s="79"/>
      <c r="AA32" s="80">
        <f t="shared" si="8"/>
        <v>0</v>
      </c>
      <c r="AB32" s="166"/>
      <c r="AC32" s="81">
        <f t="shared" si="9"/>
        <v>0</v>
      </c>
      <c r="AD32" s="84">
        <f t="shared" si="10"/>
        <v>1699750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-1699760</v>
      </c>
      <c r="AQ32" s="75">
        <f>60000+40000</f>
        <v>100000</v>
      </c>
      <c r="AR32" s="96"/>
      <c r="AS32" s="90"/>
      <c r="AT32" s="187">
        <v>1419790.0</v>
      </c>
      <c r="AU32" s="75"/>
      <c r="AV32" s="75"/>
      <c r="AW32" s="187">
        <v>179970.0</v>
      </c>
      <c r="AX32" s="88"/>
      <c r="AY32" s="75"/>
      <c r="AZ32" s="90">
        <f t="shared" si="36"/>
        <v>0</v>
      </c>
      <c r="BA32" s="75"/>
      <c r="BB32" s="90">
        <f t="shared" ref="BB32:BB33" si="42">BA32*BB$2</f>
        <v>0</v>
      </c>
      <c r="BC32" s="75"/>
      <c r="BD32" s="90">
        <f t="shared" si="41"/>
        <v>0</v>
      </c>
      <c r="BE32" s="75"/>
      <c r="BF32" s="90">
        <f t="shared" si="35"/>
        <v>0</v>
      </c>
      <c r="BG32" s="75"/>
      <c r="BH32" s="90">
        <f t="shared" si="18"/>
        <v>0</v>
      </c>
      <c r="BI32" s="75"/>
      <c r="BJ32" s="90">
        <f t="shared" si="19"/>
        <v>0</v>
      </c>
      <c r="BK32" s="92">
        <f t="shared" si="33"/>
        <v>1699760</v>
      </c>
      <c r="BL32" s="93">
        <f t="shared" si="21"/>
        <v>1699750</v>
      </c>
      <c r="BM32" s="94">
        <f t="shared" si="22"/>
        <v>10</v>
      </c>
      <c r="BN32" s="13"/>
      <c r="BO32" s="95">
        <f t="shared" si="23"/>
        <v>0.0588321812</v>
      </c>
      <c r="BP32" s="95">
        <f t="shared" si="24"/>
        <v>0</v>
      </c>
      <c r="BQ32" s="95">
        <f t="shared" si="25"/>
        <v>0.8352934255</v>
      </c>
      <c r="BR32" s="95">
        <f t="shared" si="26"/>
        <v>0.1058802765</v>
      </c>
      <c r="BS32" s="95">
        <f t="shared" si="27"/>
        <v>0</v>
      </c>
      <c r="BT32" s="95">
        <f t="shared" si="28"/>
        <v>0</v>
      </c>
      <c r="BU32" s="95">
        <f t="shared" si="29"/>
        <v>0</v>
      </c>
      <c r="BV32" s="95">
        <f t="shared" si="30"/>
        <v>1.000005883</v>
      </c>
      <c r="BW32" s="95">
        <f t="shared" si="31"/>
        <v>0.05096706234</v>
      </c>
    </row>
    <row r="33" ht="15.75" customHeight="1">
      <c r="A33" s="168">
        <f>'LUCERO RECOLETA'!A33</f>
        <v>46167</v>
      </c>
      <c r="B33" s="162"/>
      <c r="C33" s="176">
        <v>9.0</v>
      </c>
      <c r="D33" s="165">
        <f t="shared" si="32"/>
        <v>1971</v>
      </c>
      <c r="E33" s="165">
        <f t="shared" si="2"/>
        <v>1979</v>
      </c>
      <c r="F33" s="73"/>
      <c r="G33" s="74"/>
      <c r="H33" s="169">
        <v>352826.45</v>
      </c>
      <c r="I33" s="169">
        <v>74093.55</v>
      </c>
      <c r="J33" s="76"/>
      <c r="K33" s="83">
        <f t="shared" si="3"/>
        <v>426920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6"/>
        <v>0</v>
      </c>
      <c r="V33" s="166"/>
      <c r="W33" s="82">
        <f t="shared" si="7"/>
        <v>0</v>
      </c>
      <c r="X33" s="165"/>
      <c r="Y33" s="165"/>
      <c r="Z33" s="79"/>
      <c r="AA33" s="80">
        <f t="shared" si="8"/>
        <v>0</v>
      </c>
      <c r="AB33" s="166"/>
      <c r="AC33" s="81">
        <f t="shared" si="9"/>
        <v>0</v>
      </c>
      <c r="AD33" s="84">
        <f t="shared" si="10"/>
        <v>426920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-426940</v>
      </c>
      <c r="AQ33" s="169">
        <v>20000.0</v>
      </c>
      <c r="AR33" s="96"/>
      <c r="AS33" s="90"/>
      <c r="AT33" s="187">
        <v>406940.0</v>
      </c>
      <c r="AU33" s="75"/>
      <c r="AV33" s="75"/>
      <c r="AW33" s="90">
        <v>0.0</v>
      </c>
      <c r="AX33" s="88"/>
      <c r="AY33" s="75"/>
      <c r="AZ33" s="90">
        <f t="shared" si="36"/>
        <v>0</v>
      </c>
      <c r="BA33" s="75"/>
      <c r="BB33" s="90">
        <f t="shared" si="42"/>
        <v>0</v>
      </c>
      <c r="BC33" s="75"/>
      <c r="BD33" s="90">
        <f t="shared" si="41"/>
        <v>0</v>
      </c>
      <c r="BE33" s="75"/>
      <c r="BF33" s="90">
        <f t="shared" si="35"/>
        <v>0</v>
      </c>
      <c r="BG33" s="75"/>
      <c r="BH33" s="90">
        <f t="shared" si="18"/>
        <v>0</v>
      </c>
      <c r="BI33" s="75"/>
      <c r="BJ33" s="90">
        <f t="shared" si="19"/>
        <v>0</v>
      </c>
      <c r="BK33" s="92">
        <f t="shared" si="33"/>
        <v>426940</v>
      </c>
      <c r="BL33" s="93">
        <f t="shared" si="21"/>
        <v>426920</v>
      </c>
      <c r="BM33" s="94">
        <f t="shared" si="22"/>
        <v>20</v>
      </c>
      <c r="BN33" s="13"/>
      <c r="BO33" s="95">
        <f t="shared" si="23"/>
        <v>0.04684718448</v>
      </c>
      <c r="BP33" s="95">
        <f t="shared" si="24"/>
        <v>0</v>
      </c>
      <c r="BQ33" s="95">
        <f t="shared" si="25"/>
        <v>0.9531996627</v>
      </c>
      <c r="BR33" s="95">
        <f t="shared" si="26"/>
        <v>0</v>
      </c>
      <c r="BS33" s="95">
        <f t="shared" si="27"/>
        <v>0</v>
      </c>
      <c r="BT33" s="95">
        <f t="shared" si="28"/>
        <v>0</v>
      </c>
      <c r="BU33" s="95">
        <f t="shared" si="29"/>
        <v>0</v>
      </c>
      <c r="BV33" s="95">
        <f t="shared" si="30"/>
        <v>1.000046847</v>
      </c>
      <c r="BW33" s="95">
        <f t="shared" si="31"/>
        <v>0.01280121092</v>
      </c>
    </row>
    <row r="34" ht="15.75" customHeight="1">
      <c r="A34" s="168">
        <f>'LUCERO RECOLETA'!A34</f>
        <v>46168</v>
      </c>
      <c r="B34" s="162"/>
      <c r="C34" s="176">
        <v>6.0</v>
      </c>
      <c r="D34" s="165">
        <f t="shared" si="32"/>
        <v>1980</v>
      </c>
      <c r="E34" s="165">
        <f t="shared" si="2"/>
        <v>1985</v>
      </c>
      <c r="F34" s="73"/>
      <c r="G34" s="74"/>
      <c r="H34" s="169">
        <v>257785.12</v>
      </c>
      <c r="I34" s="169">
        <v>54134.88</v>
      </c>
      <c r="J34" s="76"/>
      <c r="K34" s="83">
        <f t="shared" si="3"/>
        <v>311920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6"/>
        <v>0</v>
      </c>
      <c r="V34" s="166"/>
      <c r="W34" s="82">
        <f t="shared" si="7"/>
        <v>0</v>
      </c>
      <c r="X34" s="165"/>
      <c r="Y34" s="165"/>
      <c r="Z34" s="79"/>
      <c r="AA34" s="80">
        <f t="shared" si="8"/>
        <v>0</v>
      </c>
      <c r="AB34" s="166"/>
      <c r="AC34" s="81">
        <f t="shared" si="9"/>
        <v>0</v>
      </c>
      <c r="AD34" s="84">
        <f t="shared" si="10"/>
        <v>311920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-311940</v>
      </c>
      <c r="AQ34" s="178">
        <v>36000.0</v>
      </c>
      <c r="AR34" s="96"/>
      <c r="AS34" s="90"/>
      <c r="AT34" s="187">
        <v>275940.0</v>
      </c>
      <c r="AU34" s="75"/>
      <c r="AV34" s="75"/>
      <c r="AW34" s="90">
        <v>0.0</v>
      </c>
      <c r="AX34" s="88"/>
      <c r="AY34" s="75"/>
      <c r="AZ34" s="90">
        <f t="shared" ref="AZ34:AZ40" si="43">AY34*AZ$3</f>
        <v>0</v>
      </c>
      <c r="BA34" s="75"/>
      <c r="BB34" s="90">
        <f>BA34*1410</f>
        <v>0</v>
      </c>
      <c r="BC34" s="75"/>
      <c r="BD34" s="90">
        <f t="shared" ref="BD34:BD40" si="44">BC34*BD$3</f>
        <v>0</v>
      </c>
      <c r="BE34" s="75"/>
      <c r="BF34" s="90">
        <f t="shared" ref="BF34:BF40" si="45">BE34*BF$3</f>
        <v>0</v>
      </c>
      <c r="BG34" s="75"/>
      <c r="BH34" s="90">
        <f t="shared" ref="BH34:BH40" si="46">BG34*BH$3</f>
        <v>0</v>
      </c>
      <c r="BI34" s="75"/>
      <c r="BJ34" s="90">
        <f t="shared" ref="BJ34:BJ40" si="47">BI34*BJ$3</f>
        <v>0</v>
      </c>
      <c r="BK34" s="92">
        <f t="shared" si="33"/>
        <v>311940</v>
      </c>
      <c r="BL34" s="93">
        <f t="shared" si="21"/>
        <v>311920</v>
      </c>
      <c r="BM34" s="94">
        <f t="shared" si="22"/>
        <v>20</v>
      </c>
      <c r="BN34" s="14"/>
      <c r="BO34" s="95">
        <f t="shared" si="23"/>
        <v>0.1154142088</v>
      </c>
      <c r="BP34" s="95">
        <f t="shared" si="24"/>
        <v>0</v>
      </c>
      <c r="BQ34" s="95">
        <f t="shared" si="25"/>
        <v>0.8846499102</v>
      </c>
      <c r="BR34" s="95">
        <f t="shared" si="26"/>
        <v>0</v>
      </c>
      <c r="BS34" s="95">
        <f t="shared" si="27"/>
        <v>0</v>
      </c>
      <c r="BT34" s="95">
        <f t="shared" si="28"/>
        <v>0</v>
      </c>
      <c r="BU34" s="95">
        <f t="shared" si="29"/>
        <v>0</v>
      </c>
      <c r="BV34" s="95">
        <f t="shared" si="30"/>
        <v>1.000064119</v>
      </c>
      <c r="BW34" s="95">
        <f t="shared" si="31"/>
        <v>0.009352931952</v>
      </c>
    </row>
    <row r="35" ht="15.75" customHeight="1">
      <c r="A35" s="168">
        <f>'LUCERO RECOLETA'!A35</f>
        <v>46169</v>
      </c>
      <c r="B35" s="162"/>
      <c r="C35" s="163">
        <v>8.0</v>
      </c>
      <c r="D35" s="165">
        <f t="shared" si="32"/>
        <v>1986</v>
      </c>
      <c r="E35" s="165">
        <f t="shared" si="2"/>
        <v>1993</v>
      </c>
      <c r="F35" s="73"/>
      <c r="G35" s="74"/>
      <c r="H35" s="169">
        <v>837082.63</v>
      </c>
      <c r="I35" s="169">
        <v>175787.37</v>
      </c>
      <c r="J35" s="76"/>
      <c r="K35" s="83">
        <f t="shared" si="3"/>
        <v>1012870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6"/>
        <v>0</v>
      </c>
      <c r="V35" s="166"/>
      <c r="W35" s="82">
        <f t="shared" si="7"/>
        <v>0</v>
      </c>
      <c r="X35" s="165"/>
      <c r="Y35" s="165"/>
      <c r="Z35" s="79"/>
      <c r="AA35" s="80">
        <f t="shared" si="8"/>
        <v>0</v>
      </c>
      <c r="AB35" s="166"/>
      <c r="AC35" s="81">
        <f t="shared" si="9"/>
        <v>0</v>
      </c>
      <c r="AD35" s="84">
        <f t="shared" si="10"/>
        <v>1012870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-1012870</v>
      </c>
      <c r="AQ35" s="178">
        <v>0.0</v>
      </c>
      <c r="AR35" s="96"/>
      <c r="AS35" s="90"/>
      <c r="AT35" s="187">
        <v>1012870.0</v>
      </c>
      <c r="AU35" s="75"/>
      <c r="AV35" s="75"/>
      <c r="AW35" s="90">
        <v>0.0</v>
      </c>
      <c r="AX35" s="88"/>
      <c r="AY35" s="75"/>
      <c r="AZ35" s="90">
        <f t="shared" si="43"/>
        <v>0</v>
      </c>
      <c r="BA35" s="75"/>
      <c r="BB35" s="90">
        <f>BA35*1460</f>
        <v>0</v>
      </c>
      <c r="BC35" s="75"/>
      <c r="BD35" s="90">
        <f t="shared" si="44"/>
        <v>0</v>
      </c>
      <c r="BE35" s="75"/>
      <c r="BF35" s="90">
        <f t="shared" si="45"/>
        <v>0</v>
      </c>
      <c r="BG35" s="75"/>
      <c r="BH35" s="90">
        <f t="shared" si="46"/>
        <v>0</v>
      </c>
      <c r="BI35" s="75"/>
      <c r="BJ35" s="90">
        <f t="shared" si="47"/>
        <v>0</v>
      </c>
      <c r="BK35" s="92">
        <f t="shared" si="33"/>
        <v>1012870</v>
      </c>
      <c r="BL35" s="93">
        <f t="shared" si="21"/>
        <v>1012870</v>
      </c>
      <c r="BM35" s="94">
        <f t="shared" si="22"/>
        <v>0</v>
      </c>
      <c r="BN35" s="13"/>
      <c r="BO35" s="95">
        <f t="shared" si="23"/>
        <v>0</v>
      </c>
      <c r="BP35" s="95">
        <f t="shared" si="24"/>
        <v>0</v>
      </c>
      <c r="BQ35" s="95">
        <f t="shared" si="25"/>
        <v>1</v>
      </c>
      <c r="BR35" s="95">
        <f t="shared" si="26"/>
        <v>0</v>
      </c>
      <c r="BS35" s="95">
        <f t="shared" si="27"/>
        <v>0</v>
      </c>
      <c r="BT35" s="95">
        <f t="shared" si="28"/>
        <v>0</v>
      </c>
      <c r="BU35" s="95">
        <f t="shared" si="29"/>
        <v>0</v>
      </c>
      <c r="BV35" s="95">
        <f t="shared" si="30"/>
        <v>1</v>
      </c>
      <c r="BW35" s="95">
        <f t="shared" si="31"/>
        <v>0.03037094186</v>
      </c>
    </row>
    <row r="36" ht="15.75" customHeight="1">
      <c r="A36" s="168">
        <f>'LUCERO RECOLETA'!A36</f>
        <v>46170</v>
      </c>
      <c r="B36" s="162"/>
      <c r="C36" s="163">
        <v>4.0</v>
      </c>
      <c r="D36" s="165">
        <f t="shared" si="32"/>
        <v>1994</v>
      </c>
      <c r="E36" s="165">
        <f t="shared" si="2"/>
        <v>1997</v>
      </c>
      <c r="F36" s="73"/>
      <c r="G36" s="74"/>
      <c r="H36" s="169">
        <v>512297.52</v>
      </c>
      <c r="I36" s="169">
        <v>107582.48</v>
      </c>
      <c r="J36" s="76"/>
      <c r="K36" s="83">
        <f t="shared" si="3"/>
        <v>619880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6"/>
        <v>0</v>
      </c>
      <c r="V36" s="166"/>
      <c r="W36" s="82">
        <f t="shared" si="7"/>
        <v>0</v>
      </c>
      <c r="X36" s="165"/>
      <c r="Y36" s="165"/>
      <c r="Z36" s="79"/>
      <c r="AA36" s="80">
        <f t="shared" si="8"/>
        <v>0</v>
      </c>
      <c r="AB36" s="166"/>
      <c r="AC36" s="81">
        <f t="shared" si="9"/>
        <v>0</v>
      </c>
      <c r="AD36" s="84">
        <f t="shared" si="10"/>
        <v>619880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-619880</v>
      </c>
      <c r="AQ36" s="178">
        <v>0.0</v>
      </c>
      <c r="AR36" s="96"/>
      <c r="AS36" s="90"/>
      <c r="AT36" s="187">
        <v>619880.0</v>
      </c>
      <c r="AU36" s="75"/>
      <c r="AV36" s="75"/>
      <c r="AW36" s="90">
        <v>0.0</v>
      </c>
      <c r="AX36" s="88"/>
      <c r="AY36" s="75"/>
      <c r="AZ36" s="90">
        <f t="shared" si="43"/>
        <v>0</v>
      </c>
      <c r="BA36" s="75"/>
      <c r="BB36" s="90">
        <f>BA36*BB$3</f>
        <v>0</v>
      </c>
      <c r="BC36" s="75"/>
      <c r="BD36" s="90">
        <f t="shared" si="44"/>
        <v>0</v>
      </c>
      <c r="BE36" s="75"/>
      <c r="BF36" s="90">
        <f t="shared" si="45"/>
        <v>0</v>
      </c>
      <c r="BG36" s="75"/>
      <c r="BH36" s="90">
        <f t="shared" si="46"/>
        <v>0</v>
      </c>
      <c r="BI36" s="75"/>
      <c r="BJ36" s="90">
        <f t="shared" si="47"/>
        <v>0</v>
      </c>
      <c r="BK36" s="92">
        <f t="shared" si="33"/>
        <v>619880</v>
      </c>
      <c r="BL36" s="93">
        <f t="shared" si="21"/>
        <v>619880</v>
      </c>
      <c r="BM36" s="94">
        <f t="shared" si="22"/>
        <v>0</v>
      </c>
      <c r="BN36" s="13"/>
      <c r="BO36" s="95">
        <f t="shared" si="23"/>
        <v>0</v>
      </c>
      <c r="BP36" s="95">
        <f t="shared" si="24"/>
        <v>0</v>
      </c>
      <c r="BQ36" s="95">
        <f t="shared" si="25"/>
        <v>1</v>
      </c>
      <c r="BR36" s="95">
        <f t="shared" si="26"/>
        <v>0</v>
      </c>
      <c r="BS36" s="95">
        <f t="shared" si="27"/>
        <v>0</v>
      </c>
      <c r="BT36" s="95">
        <f t="shared" si="28"/>
        <v>0</v>
      </c>
      <c r="BU36" s="95">
        <f t="shared" si="29"/>
        <v>0</v>
      </c>
      <c r="BV36" s="95">
        <f t="shared" si="30"/>
        <v>1</v>
      </c>
      <c r="BW36" s="95">
        <f t="shared" si="31"/>
        <v>0.01858712317</v>
      </c>
    </row>
    <row r="37" ht="15.75" customHeight="1">
      <c r="A37" s="168">
        <f>'LUCERO RECOLETA'!A37</f>
        <v>46171</v>
      </c>
      <c r="B37" s="162"/>
      <c r="C37" s="163">
        <v>13.0</v>
      </c>
      <c r="D37" s="165">
        <f t="shared" si="32"/>
        <v>1998</v>
      </c>
      <c r="E37" s="165">
        <f t="shared" si="2"/>
        <v>2010</v>
      </c>
      <c r="F37" s="73"/>
      <c r="G37" s="74"/>
      <c r="H37" s="169">
        <v>1702347.1</v>
      </c>
      <c r="I37" s="169">
        <v>357492.9</v>
      </c>
      <c r="J37" s="76"/>
      <c r="K37" s="83">
        <f t="shared" si="3"/>
        <v>2059840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6"/>
        <v>0</v>
      </c>
      <c r="V37" s="166"/>
      <c r="W37" s="82">
        <f t="shared" si="7"/>
        <v>0</v>
      </c>
      <c r="X37" s="165"/>
      <c r="Y37" s="165"/>
      <c r="Z37" s="79"/>
      <c r="AA37" s="80">
        <f t="shared" si="8"/>
        <v>0</v>
      </c>
      <c r="AB37" s="166"/>
      <c r="AC37" s="81">
        <f t="shared" si="9"/>
        <v>0</v>
      </c>
      <c r="AD37" s="84">
        <f t="shared" si="10"/>
        <v>2059840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-2059860</v>
      </c>
      <c r="AQ37" s="98">
        <f>100000+35000</f>
        <v>135000</v>
      </c>
      <c r="AR37" s="96"/>
      <c r="AS37" s="90"/>
      <c r="AT37" s="187">
        <v>1924860.0</v>
      </c>
      <c r="AU37" s="75"/>
      <c r="AV37" s="75"/>
      <c r="AW37" s="90">
        <v>0.0</v>
      </c>
      <c r="AX37" s="88"/>
      <c r="AY37" s="75"/>
      <c r="AZ37" s="90">
        <f t="shared" si="43"/>
        <v>0</v>
      </c>
      <c r="BA37" s="75"/>
      <c r="BB37" s="90">
        <f>BA37*1410</f>
        <v>0</v>
      </c>
      <c r="BC37" s="75"/>
      <c r="BD37" s="90">
        <f t="shared" si="44"/>
        <v>0</v>
      </c>
      <c r="BE37" s="75"/>
      <c r="BF37" s="90">
        <f t="shared" si="45"/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3"/>
        <v>2059860</v>
      </c>
      <c r="BL37" s="93">
        <f t="shared" si="21"/>
        <v>2059840</v>
      </c>
      <c r="BM37" s="94">
        <f t="shared" si="22"/>
        <v>20</v>
      </c>
      <c r="BN37" s="13"/>
      <c r="BO37" s="95">
        <f t="shared" si="23"/>
        <v>0.065539071</v>
      </c>
      <c r="BP37" s="95">
        <f t="shared" si="24"/>
        <v>0</v>
      </c>
      <c r="BQ37" s="95">
        <f t="shared" si="25"/>
        <v>0.9344706385</v>
      </c>
      <c r="BR37" s="95">
        <f t="shared" si="26"/>
        <v>0</v>
      </c>
      <c r="BS37" s="95">
        <f t="shared" si="27"/>
        <v>0</v>
      </c>
      <c r="BT37" s="95">
        <f t="shared" si="28"/>
        <v>0</v>
      </c>
      <c r="BU37" s="95">
        <f t="shared" si="29"/>
        <v>0</v>
      </c>
      <c r="BV37" s="95">
        <f t="shared" si="30"/>
        <v>1.000009709</v>
      </c>
      <c r="BW37" s="95">
        <f t="shared" si="31"/>
        <v>0.0617643734</v>
      </c>
    </row>
    <row r="38" ht="15.75" customHeight="1">
      <c r="A38" s="168">
        <f>'LUCERO RECOLETA'!A38</f>
        <v>46172</v>
      </c>
      <c r="B38" s="162"/>
      <c r="C38" s="163">
        <v>8.0</v>
      </c>
      <c r="D38" s="165">
        <f t="shared" si="32"/>
        <v>2011</v>
      </c>
      <c r="E38" s="165">
        <f t="shared" si="2"/>
        <v>2018</v>
      </c>
      <c r="F38" s="73"/>
      <c r="G38" s="74"/>
      <c r="H38" s="169">
        <v>891619.82</v>
      </c>
      <c r="I38" s="169">
        <v>187240.18</v>
      </c>
      <c r="J38" s="76"/>
      <c r="K38" s="83">
        <f t="shared" si="3"/>
        <v>1078860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6"/>
        <v>0</v>
      </c>
      <c r="V38" s="166"/>
      <c r="W38" s="82">
        <f t="shared" si="7"/>
        <v>0</v>
      </c>
      <c r="X38" s="165"/>
      <c r="Y38" s="165"/>
      <c r="Z38" s="175"/>
      <c r="AA38" s="80">
        <f t="shared" si="8"/>
        <v>0</v>
      </c>
      <c r="AB38" s="166"/>
      <c r="AC38" s="81">
        <f t="shared" si="9"/>
        <v>0</v>
      </c>
      <c r="AD38" s="84">
        <f t="shared" si="10"/>
        <v>1078860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-1078900</v>
      </c>
      <c r="AQ38" s="178">
        <v>45000.0</v>
      </c>
      <c r="AR38" s="96"/>
      <c r="AS38" s="90" t="str">
        <f>AG38</f>
        <v/>
      </c>
      <c r="AT38" s="187">
        <v>1033900.0</v>
      </c>
      <c r="AU38" s="75"/>
      <c r="AV38" s="75"/>
      <c r="AW38" s="90">
        <v>0.0</v>
      </c>
      <c r="AX38" s="88"/>
      <c r="AY38" s="75"/>
      <c r="AZ38" s="90">
        <f t="shared" si="43"/>
        <v>0</v>
      </c>
      <c r="BA38" s="75"/>
      <c r="BB38" s="90">
        <f>BA38*BB$3</f>
        <v>0</v>
      </c>
      <c r="BC38" s="75"/>
      <c r="BD38" s="90">
        <f t="shared" si="44"/>
        <v>0</v>
      </c>
      <c r="BE38" s="75"/>
      <c r="BF38" s="90">
        <f t="shared" si="45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3"/>
        <v>1078900</v>
      </c>
      <c r="BL38" s="93">
        <f t="shared" si="21"/>
        <v>1078860</v>
      </c>
      <c r="BM38" s="94">
        <f t="shared" si="22"/>
        <v>40</v>
      </c>
      <c r="BN38" s="14"/>
      <c r="BO38" s="95">
        <f t="shared" si="23"/>
        <v>0.04171069462</v>
      </c>
      <c r="BP38" s="95">
        <f t="shared" si="24"/>
        <v>0</v>
      </c>
      <c r="BQ38" s="95">
        <f t="shared" si="25"/>
        <v>0.9583263816</v>
      </c>
      <c r="BR38" s="95">
        <f t="shared" si="26"/>
        <v>0</v>
      </c>
      <c r="BS38" s="95">
        <f t="shared" si="27"/>
        <v>0</v>
      </c>
      <c r="BT38" s="95">
        <f t="shared" si="28"/>
        <v>0</v>
      </c>
      <c r="BU38" s="95">
        <f t="shared" si="29"/>
        <v>0</v>
      </c>
      <c r="BV38" s="95">
        <f t="shared" si="30"/>
        <v>1.000037076</v>
      </c>
      <c r="BW38" s="95">
        <f t="shared" si="31"/>
        <v>0.03234965429</v>
      </c>
    </row>
    <row r="39" ht="15.75" customHeight="1">
      <c r="A39" s="168">
        <f>'LUCERO RECOLETA'!A39</f>
        <v>46173</v>
      </c>
      <c r="B39" s="162"/>
      <c r="C39" s="163">
        <v>11.0</v>
      </c>
      <c r="D39" s="165">
        <f t="shared" si="32"/>
        <v>2019</v>
      </c>
      <c r="E39" s="165">
        <f t="shared" si="2"/>
        <v>2029</v>
      </c>
      <c r="F39" s="73"/>
      <c r="G39" s="74"/>
      <c r="H39" s="169">
        <v>637909.08</v>
      </c>
      <c r="I39" s="169">
        <v>133960.92</v>
      </c>
      <c r="J39" s="76"/>
      <c r="K39" s="83">
        <f t="shared" si="3"/>
        <v>771870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6"/>
        <v>0</v>
      </c>
      <c r="V39" s="166"/>
      <c r="W39" s="82">
        <f t="shared" si="7"/>
        <v>0</v>
      </c>
      <c r="X39" s="165"/>
      <c r="Y39" s="165"/>
      <c r="Z39" s="79"/>
      <c r="AA39" s="80">
        <f t="shared" si="8"/>
        <v>0</v>
      </c>
      <c r="AB39" s="166"/>
      <c r="AC39" s="81">
        <f t="shared" si="9"/>
        <v>0</v>
      </c>
      <c r="AD39" s="84">
        <f t="shared" si="10"/>
        <v>771870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60000.0</v>
      </c>
      <c r="AR39" s="96"/>
      <c r="AS39" s="90"/>
      <c r="AT39" s="187">
        <v>715880.0</v>
      </c>
      <c r="AU39" s="75"/>
      <c r="AV39" s="75"/>
      <c r="AW39" s="90">
        <v>0.0</v>
      </c>
      <c r="AX39" s="88"/>
      <c r="AY39" s="75"/>
      <c r="AZ39" s="90">
        <f t="shared" si="43"/>
        <v>0</v>
      </c>
      <c r="BA39" s="75"/>
      <c r="BB39" s="90">
        <f>BA39*1415</f>
        <v>0</v>
      </c>
      <c r="BC39" s="75"/>
      <c r="BD39" s="90">
        <f t="shared" si="44"/>
        <v>0</v>
      </c>
      <c r="BE39" s="75"/>
      <c r="BF39" s="90">
        <f t="shared" si="45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3"/>
        <v>775880</v>
      </c>
      <c r="BL39" s="93">
        <f t="shared" si="21"/>
        <v>771870</v>
      </c>
      <c r="BM39" s="94">
        <f t="shared" si="22"/>
        <v>4010</v>
      </c>
      <c r="BN39" s="14"/>
      <c r="BO39" s="95">
        <f t="shared" si="23"/>
        <v>0.07773329706</v>
      </c>
      <c r="BP39" s="95">
        <f t="shared" si="24"/>
        <v>0</v>
      </c>
      <c r="BQ39" s="95">
        <f t="shared" si="25"/>
        <v>0.9274618783</v>
      </c>
      <c r="BR39" s="95">
        <f t="shared" si="26"/>
        <v>0</v>
      </c>
      <c r="BS39" s="95">
        <f t="shared" si="27"/>
        <v>0</v>
      </c>
      <c r="BT39" s="95">
        <f t="shared" si="28"/>
        <v>0</v>
      </c>
      <c r="BU39" s="95">
        <f t="shared" si="29"/>
        <v>0</v>
      </c>
      <c r="BV39" s="95">
        <f t="shared" si="30"/>
        <v>1.005195175</v>
      </c>
      <c r="BW39" s="95">
        <f t="shared" si="31"/>
        <v>0.02314454856</v>
      </c>
    </row>
    <row r="40" ht="15.75" customHeight="1">
      <c r="A40" s="72"/>
      <c r="B40" s="73"/>
      <c r="C40" s="73"/>
      <c r="D40" s="165">
        <f t="shared" si="32"/>
        <v>2030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6"/>
        <v>0</v>
      </c>
      <c r="V40" s="166"/>
      <c r="W40" s="82"/>
      <c r="X40" s="165">
        <v>0.0</v>
      </c>
      <c r="Y40" s="165"/>
      <c r="Z40" s="79"/>
      <c r="AA40" s="80">
        <f t="shared" si="8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3"/>
        <v>0</v>
      </c>
      <c r="BA40" s="75"/>
      <c r="BB40" s="90">
        <f>BA40*BB$3</f>
        <v>0</v>
      </c>
      <c r="BC40" s="75"/>
      <c r="BD40" s="90">
        <f t="shared" si="44"/>
        <v>0</v>
      </c>
      <c r="BE40" s="75"/>
      <c r="BF40" s="90">
        <f t="shared" si="45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3"/>
        <v>0</v>
      </c>
      <c r="BL40" s="93"/>
      <c r="BM40" s="94">
        <f t="shared" si="22"/>
        <v>0</v>
      </c>
      <c r="BN40" s="14"/>
      <c r="BO40" s="95">
        <f t="shared" si="23"/>
        <v>0</v>
      </c>
      <c r="BP40" s="95">
        <f t="shared" si="24"/>
        <v>0</v>
      </c>
      <c r="BQ40" s="95">
        <f t="shared" si="25"/>
        <v>0</v>
      </c>
      <c r="BR40" s="95">
        <f t="shared" si="26"/>
        <v>0</v>
      </c>
      <c r="BS40" s="95">
        <f t="shared" si="27"/>
        <v>0</v>
      </c>
      <c r="BT40" s="95">
        <f t="shared" si="28"/>
        <v>0</v>
      </c>
      <c r="BU40" s="95">
        <f t="shared" si="29"/>
        <v>0</v>
      </c>
      <c r="BV40" s="95">
        <f t="shared" si="30"/>
        <v>0</v>
      </c>
      <c r="BW40" s="95">
        <f t="shared" si="31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337</v>
      </c>
      <c r="D41" s="105">
        <f>MIN(D9:D40)</f>
        <v>1693</v>
      </c>
      <c r="E41" s="105">
        <f>MAX(E9:E40)</f>
        <v>2029</v>
      </c>
      <c r="F41" s="106">
        <f t="shared" ref="F41:I41" si="48">SUM(F9:F40)</f>
        <v>0</v>
      </c>
      <c r="G41" s="106">
        <f t="shared" si="48"/>
        <v>0</v>
      </c>
      <c r="H41" s="77">
        <f t="shared" si="48"/>
        <v>27561958.39</v>
      </c>
      <c r="I41" s="77">
        <f t="shared" si="48"/>
        <v>5788011.61</v>
      </c>
      <c r="J41" s="77"/>
      <c r="K41" s="77">
        <f>SUM(K9:K40)</f>
        <v>33349970</v>
      </c>
      <c r="L41" s="107">
        <f>MIN(L9:L40)</f>
        <v>0</v>
      </c>
      <c r="M41" s="107">
        <f>MAX(M9:M40)</f>
        <v>0</v>
      </c>
      <c r="N41" s="83">
        <f t="shared" ref="N41:O41" si="49">SUM(N9:N40)</f>
        <v>0</v>
      </c>
      <c r="O41" s="83">
        <f t="shared" si="49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0">SUM(T9:T40)</f>
        <v>0</v>
      </c>
      <c r="U41" s="82">
        <f t="shared" si="50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1">SUM(Z9:Z40)</f>
        <v>0</v>
      </c>
      <c r="AA41" s="83">
        <f t="shared" si="51"/>
        <v>0</v>
      </c>
      <c r="AB41" s="83"/>
      <c r="AC41" s="83">
        <f t="shared" ref="AC41:AD41" si="52">SUM(AC9:AC40)</f>
        <v>0</v>
      </c>
      <c r="AD41" s="84">
        <f t="shared" si="52"/>
        <v>33349970</v>
      </c>
      <c r="AE41" s="109">
        <f t="shared" ref="AE41:AP41" si="53">SUM(AE9:AE38)</f>
        <v>0</v>
      </c>
      <c r="AF41" s="109">
        <f t="shared" si="53"/>
        <v>0</v>
      </c>
      <c r="AG41" s="109">
        <f t="shared" si="53"/>
        <v>0</v>
      </c>
      <c r="AH41" s="109">
        <f t="shared" si="53"/>
        <v>0</v>
      </c>
      <c r="AI41" s="109">
        <f t="shared" si="53"/>
        <v>0</v>
      </c>
      <c r="AJ41" s="110">
        <f t="shared" si="53"/>
        <v>0</v>
      </c>
      <c r="AK41" s="109">
        <f t="shared" si="53"/>
        <v>0</v>
      </c>
      <c r="AL41" s="110">
        <f t="shared" si="53"/>
        <v>0</v>
      </c>
      <c r="AM41" s="109">
        <f t="shared" si="53"/>
        <v>0</v>
      </c>
      <c r="AN41" s="109">
        <f t="shared" si="53"/>
        <v>0</v>
      </c>
      <c r="AO41" s="111">
        <f t="shared" si="53"/>
        <v>0</v>
      </c>
      <c r="AP41" s="112">
        <f t="shared" si="53"/>
        <v>-32579950</v>
      </c>
      <c r="AQ41" s="112">
        <f t="shared" ref="AQ41:BM41" si="54">SUM(AQ9:AQ40)</f>
        <v>2561000</v>
      </c>
      <c r="AR41" s="112">
        <f t="shared" si="54"/>
        <v>0</v>
      </c>
      <c r="AS41" s="112">
        <f t="shared" si="54"/>
        <v>0</v>
      </c>
      <c r="AT41" s="112">
        <f t="shared" si="54"/>
        <v>29409050</v>
      </c>
      <c r="AU41" s="112">
        <f t="shared" si="54"/>
        <v>0</v>
      </c>
      <c r="AV41" s="112">
        <f t="shared" si="54"/>
        <v>0</v>
      </c>
      <c r="AW41" s="112">
        <f t="shared" si="54"/>
        <v>463930</v>
      </c>
      <c r="AX41" s="112">
        <f t="shared" si="54"/>
        <v>0</v>
      </c>
      <c r="AY41" s="112">
        <f t="shared" si="54"/>
        <v>200</v>
      </c>
      <c r="AZ41" s="112">
        <f t="shared" si="54"/>
        <v>58000</v>
      </c>
      <c r="BA41" s="112">
        <f t="shared" si="54"/>
        <v>530</v>
      </c>
      <c r="BB41" s="112">
        <f t="shared" si="54"/>
        <v>750650</v>
      </c>
      <c r="BC41" s="112">
        <f t="shared" si="54"/>
        <v>80</v>
      </c>
      <c r="BD41" s="112">
        <f t="shared" si="54"/>
        <v>113200</v>
      </c>
      <c r="BE41" s="112">
        <f t="shared" si="54"/>
        <v>0</v>
      </c>
      <c r="BF41" s="112">
        <f t="shared" si="54"/>
        <v>0</v>
      </c>
      <c r="BG41" s="112">
        <f t="shared" si="54"/>
        <v>0</v>
      </c>
      <c r="BH41" s="112">
        <f t="shared" si="54"/>
        <v>0</v>
      </c>
      <c r="BI41" s="112">
        <f t="shared" si="54"/>
        <v>0</v>
      </c>
      <c r="BJ41" s="112">
        <f t="shared" si="54"/>
        <v>0</v>
      </c>
      <c r="BK41" s="112">
        <f t="shared" si="54"/>
        <v>33355830</v>
      </c>
      <c r="BL41" s="112">
        <f t="shared" si="54"/>
        <v>33349970</v>
      </c>
      <c r="BM41" s="112">
        <f t="shared" si="54"/>
        <v>5860</v>
      </c>
      <c r="BN41" s="14"/>
      <c r="BO41" s="95">
        <f>IF(AD41=0,0,(AQ41+AR41)/AD41)</f>
        <v>0.07679167328</v>
      </c>
      <c r="BP41" s="95">
        <f>IF(AD41=0,0,(AU41)/AD41)</f>
        <v>0</v>
      </c>
      <c r="BQ41" s="95">
        <f t="shared" si="25"/>
        <v>0.881831378</v>
      </c>
      <c r="BR41" s="95">
        <f t="shared" ref="BR41:BS41" si="55">IF($AD$41=0,0,(AW41)/$AD$41)</f>
        <v>0.01391095704</v>
      </c>
      <c r="BS41" s="95">
        <f t="shared" si="55"/>
        <v>0</v>
      </c>
      <c r="BT41" s="95">
        <f>IF($AD$41=0,0,(BB41+BD41+BF41)/AD41)</f>
        <v>0.02590257203</v>
      </c>
      <c r="BU41" s="95">
        <f>IF($AD$41=0,0,BJ41/AD41)</f>
        <v>0</v>
      </c>
      <c r="BV41" s="95">
        <f t="shared" si="30"/>
        <v>0.9984365803</v>
      </c>
      <c r="BW41" s="95">
        <f t="shared" si="31"/>
        <v>1</v>
      </c>
    </row>
    <row r="42" ht="14.25" customHeight="1">
      <c r="A42" s="181"/>
      <c r="B42" s="7" t="s">
        <v>75</v>
      </c>
      <c r="C42" s="14"/>
      <c r="D42" s="182">
        <v>1005.0</v>
      </c>
      <c r="E42" s="14"/>
      <c r="F42" s="14"/>
      <c r="G42" s="14"/>
      <c r="H42" s="14"/>
      <c r="I42" s="14"/>
      <c r="J42" s="14"/>
      <c r="K42" s="14"/>
      <c r="L42" s="182"/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688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AD41-Q41</f>
        <v>33349970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33349970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6">AQ41</f>
        <v>2561000</v>
      </c>
      <c r="AR47" s="136">
        <f t="shared" si="56"/>
        <v>0</v>
      </c>
      <c r="AS47" s="136">
        <f t="shared" ref="AS47:AU47" si="57">AU41</f>
        <v>0</v>
      </c>
      <c r="AT47" s="136">
        <f t="shared" si="57"/>
        <v>0</v>
      </c>
      <c r="AU47" s="136">
        <f t="shared" si="57"/>
        <v>463930</v>
      </c>
      <c r="AV47" s="136">
        <f>AZ41</f>
        <v>58000</v>
      </c>
      <c r="AW47" s="136">
        <f>BD41+BF41+BH41+BB41</f>
        <v>863850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8">AQ47/$AD$41</f>
        <v>0.07679167328</v>
      </c>
      <c r="AR48" s="113">
        <f t="shared" si="58"/>
        <v>0</v>
      </c>
      <c r="AS48" s="113">
        <f t="shared" si="58"/>
        <v>0</v>
      </c>
      <c r="AT48" s="113">
        <f t="shared" si="58"/>
        <v>0</v>
      </c>
      <c r="AU48" s="113">
        <f t="shared" si="58"/>
        <v>0.01391095704</v>
      </c>
      <c r="AV48" s="113">
        <f t="shared" si="58"/>
        <v>0.001739131999</v>
      </c>
      <c r="AW48" s="113">
        <f t="shared" si="58"/>
        <v>0.02590257203</v>
      </c>
      <c r="AX48" s="113">
        <f t="shared" si="58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6"/>
      <c r="R246" s="7"/>
      <c r="S246" s="8"/>
      <c r="T246" s="9"/>
      <c r="U246" s="13"/>
      <c r="V246" s="13"/>
      <c r="W246" s="13"/>
      <c r="X246" s="13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25"/>
      <c r="AK246" s="13"/>
      <c r="AL246" s="13"/>
      <c r="AM246" s="13"/>
      <c r="AN246" s="14"/>
      <c r="AO246" s="14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6"/>
      <c r="R247" s="7"/>
      <c r="S247" s="8"/>
      <c r="T247" s="9"/>
      <c r="U247" s="13"/>
      <c r="V247" s="13"/>
      <c r="W247" s="13"/>
      <c r="X247" s="13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25"/>
      <c r="AK247" s="13"/>
      <c r="AL247" s="13"/>
      <c r="AM247" s="13"/>
      <c r="AN247" s="14"/>
      <c r="AO247" s="14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25"/>
      <c r="AK248" s="13"/>
      <c r="AL248" s="13"/>
      <c r="AM248" s="13"/>
      <c r="AN248" s="14"/>
      <c r="AO248" s="14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/>
      <c r="BP248" s="14"/>
      <c r="BQ248" s="13"/>
      <c r="BR248" s="14"/>
      <c r="BS248" s="14"/>
      <c r="BT248" s="14"/>
      <c r="BU248" s="14"/>
      <c r="BV248" s="14"/>
      <c r="BW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25"/>
      <c r="AK249" s="13"/>
      <c r="AL249" s="13"/>
      <c r="AM249" s="13"/>
      <c r="AN249" s="14"/>
      <c r="AO249" s="14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/>
      <c r="BP249" s="14"/>
      <c r="BQ249" s="13"/>
      <c r="BR249" s="14"/>
      <c r="BS249" s="14"/>
      <c r="BT249" s="14"/>
      <c r="BU249" s="14"/>
      <c r="BV249" s="14"/>
      <c r="BW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25"/>
      <c r="AK250" s="13"/>
      <c r="AL250" s="13"/>
      <c r="AM250" s="13"/>
      <c r="AN250" s="14"/>
      <c r="AO250" s="14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/>
      <c r="BP250" s="14"/>
      <c r="BQ250" s="13"/>
      <c r="BR250" s="14"/>
      <c r="BS250" s="14"/>
      <c r="BT250" s="14"/>
      <c r="BU250" s="14"/>
      <c r="BV250" s="14"/>
      <c r="BW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25"/>
      <c r="AK251" s="13"/>
      <c r="AL251" s="13"/>
      <c r="AM251" s="13"/>
      <c r="AN251" s="14"/>
      <c r="AO251" s="14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/>
      <c r="BP251" s="14"/>
      <c r="BQ251" s="13"/>
      <c r="BR251" s="14"/>
      <c r="BS251" s="14"/>
      <c r="BT251" s="14"/>
      <c r="BU251" s="14"/>
      <c r="BV251" s="14"/>
      <c r="BW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N39:BP39 BO41:BP41 BQ9:BQ41 BR39:BV39 BR41:BV41 BW39:BW41">
    <cfRule type="cellIs" dxfId="0" priority="8" operator="greaterThan">
      <formula>0</formula>
    </cfRule>
  </conditionalFormatting>
  <conditionalFormatting sqref="AP9:AP40 BM9:BM40 BN39:BP39 BO41:BP41 BQ9:BQ41 BR39:BV39 BR41:BV41 BW39:BW41">
    <cfRule type="cellIs" dxfId="1" priority="9" operator="lessThan">
      <formula>0</formula>
    </cfRule>
  </conditionalFormatting>
  <conditionalFormatting sqref="AP9:AP40 BM9:BM40 BN10:BN28 BN30:BN38 BO9:BW41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9.43"/>
    <col customWidth="1" min="8" max="8" width="11.86"/>
    <col customWidth="1" min="9" max="9" width="10.71"/>
    <col customWidth="1" min="10" max="10" width="9.29"/>
    <col customWidth="1" min="11" max="11" width="13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80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7">
        <v>633.0</v>
      </c>
      <c r="E9" s="165">
        <f t="shared" ref="E9:E40" si="2">IF(C9="","",C9+D9-1)</f>
        <v>632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6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194"/>
      <c r="AR9" s="195"/>
      <c r="AS9" s="196"/>
      <c r="AT9" s="197">
        <v>0.0</v>
      </c>
      <c r="AU9" s="198"/>
      <c r="AV9" s="198"/>
      <c r="AW9" s="197">
        <v>0.0</v>
      </c>
      <c r="AX9" s="195"/>
      <c r="AY9" s="198"/>
      <c r="AZ9" s="197">
        <f t="shared" ref="AZ9:AZ33" si="16">AY9*AZ$2</f>
        <v>0</v>
      </c>
      <c r="BA9" s="198"/>
      <c r="BB9" s="197">
        <f t="shared" ref="BB9:BB10" si="17">BA9*BB$2</f>
        <v>0</v>
      </c>
      <c r="BC9" s="198"/>
      <c r="BD9" s="197">
        <f t="shared" ref="BD9:BD33" si="18">BC9*BD$2</f>
        <v>0</v>
      </c>
      <c r="BE9" s="198"/>
      <c r="BF9" s="197">
        <f t="shared" ref="BF9:BF33" si="19">BE9*BF$2</f>
        <v>0</v>
      </c>
      <c r="BG9" s="198"/>
      <c r="BH9" s="197">
        <f t="shared" ref="BH9:BH33" si="20">BG9*BH$2</f>
        <v>0</v>
      </c>
      <c r="BI9" s="198"/>
      <c r="BJ9" s="197">
        <f t="shared" ref="BJ9:BJ33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68">
        <f>'LUCERO RECOLETA'!A10</f>
        <v>46144</v>
      </c>
      <c r="B10" s="162"/>
      <c r="C10" s="163">
        <v>3.0</v>
      </c>
      <c r="D10" s="165">
        <f t="shared" ref="D10:D40" si="34">E9+1</f>
        <v>633</v>
      </c>
      <c r="E10" s="165">
        <f t="shared" si="2"/>
        <v>635</v>
      </c>
      <c r="F10" s="73"/>
      <c r="G10" s="74"/>
      <c r="H10" s="169">
        <v>268570.25</v>
      </c>
      <c r="I10" s="169">
        <v>56399.75</v>
      </c>
      <c r="J10" s="76"/>
      <c r="K10" s="83">
        <f t="shared" si="3"/>
        <v>324970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f t="shared" si="8"/>
        <v>0</v>
      </c>
      <c r="AB10" s="166"/>
      <c r="AC10" s="81">
        <f t="shared" si="9"/>
        <v>0</v>
      </c>
      <c r="AD10" s="84">
        <f t="shared" si="10"/>
        <v>324970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-324970</v>
      </c>
      <c r="AQ10" s="169">
        <v>0.0</v>
      </c>
      <c r="AR10" s="96"/>
      <c r="AS10" s="90"/>
      <c r="AT10" s="187">
        <v>324970.0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324970</v>
      </c>
      <c r="BL10" s="93">
        <f t="shared" si="23"/>
        <v>324970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</v>
      </c>
      <c r="BW10" s="95">
        <f t="shared" si="33"/>
        <v>0.07744701539</v>
      </c>
    </row>
    <row r="11" ht="15.75" customHeight="1">
      <c r="A11" s="168">
        <f>'LUCERO RECOLETA'!A11</f>
        <v>46145</v>
      </c>
      <c r="B11" s="162"/>
      <c r="C11" s="163">
        <v>6.0</v>
      </c>
      <c r="D11" s="165">
        <f t="shared" si="34"/>
        <v>636</v>
      </c>
      <c r="E11" s="165">
        <f t="shared" si="2"/>
        <v>641</v>
      </c>
      <c r="F11" s="73"/>
      <c r="G11" s="74"/>
      <c r="H11" s="169">
        <v>358586.75</v>
      </c>
      <c r="I11" s="169">
        <v>75303.25</v>
      </c>
      <c r="J11" s="76"/>
      <c r="K11" s="83">
        <f t="shared" si="3"/>
        <v>433890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si="8"/>
        <v>0</v>
      </c>
      <c r="AB11" s="166"/>
      <c r="AC11" s="81">
        <f t="shared" si="9"/>
        <v>0</v>
      </c>
      <c r="AD11" s="84">
        <f t="shared" si="10"/>
        <v>433890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-438900</v>
      </c>
      <c r="AQ11" s="169">
        <v>40000.0</v>
      </c>
      <c r="AR11" s="96"/>
      <c r="AS11" s="90"/>
      <c r="AT11" s="187">
        <v>257400.0</v>
      </c>
      <c r="AU11" s="75"/>
      <c r="AV11" s="75"/>
      <c r="AW11" s="90">
        <v>0.0</v>
      </c>
      <c r="AX11" s="88"/>
      <c r="AY11" s="75"/>
      <c r="AZ11" s="90">
        <f t="shared" si="16"/>
        <v>0</v>
      </c>
      <c r="BA11" s="169">
        <v>100.0</v>
      </c>
      <c r="BB11" s="90">
        <f>BA11*1415</f>
        <v>141500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438900</v>
      </c>
      <c r="BL11" s="93">
        <f t="shared" si="23"/>
        <v>433890</v>
      </c>
      <c r="BM11" s="94">
        <f t="shared" si="24"/>
        <v>5010</v>
      </c>
      <c r="BN11" s="13"/>
      <c r="BO11" s="95">
        <f t="shared" si="25"/>
        <v>0.09218926456</v>
      </c>
      <c r="BP11" s="95">
        <f t="shared" si="26"/>
        <v>0</v>
      </c>
      <c r="BQ11" s="95">
        <f t="shared" si="27"/>
        <v>0.5932379174</v>
      </c>
      <c r="BR11" s="95">
        <f t="shared" si="28"/>
        <v>0</v>
      </c>
      <c r="BS11" s="95">
        <f t="shared" si="29"/>
        <v>0</v>
      </c>
      <c r="BT11" s="95">
        <f t="shared" si="30"/>
        <v>0.3261195234</v>
      </c>
      <c r="BU11" s="95">
        <f t="shared" si="31"/>
        <v>0</v>
      </c>
      <c r="BV11" s="95">
        <f t="shared" si="32"/>
        <v>1.011546705</v>
      </c>
      <c r="BW11" s="95">
        <f t="shared" si="33"/>
        <v>0.1034048851</v>
      </c>
    </row>
    <row r="12" ht="15.75" customHeight="1">
      <c r="A12" s="168">
        <f>'LUCERO RECOLETA'!A12</f>
        <v>46146</v>
      </c>
      <c r="B12" s="162"/>
      <c r="C12" s="163">
        <v>1.0</v>
      </c>
      <c r="D12" s="165">
        <f t="shared" si="34"/>
        <v>642</v>
      </c>
      <c r="E12" s="165">
        <f t="shared" si="2"/>
        <v>642</v>
      </c>
      <c r="F12" s="73"/>
      <c r="G12" s="74"/>
      <c r="H12" s="169">
        <v>404950.41</v>
      </c>
      <c r="I12" s="169">
        <v>85039.59</v>
      </c>
      <c r="J12" s="76"/>
      <c r="K12" s="83">
        <f t="shared" si="3"/>
        <v>489990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8"/>
        <v>0</v>
      </c>
      <c r="AB12" s="166"/>
      <c r="AC12" s="81">
        <f t="shared" si="9"/>
        <v>0</v>
      </c>
      <c r="AD12" s="84">
        <f t="shared" si="10"/>
        <v>489990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-489990</v>
      </c>
      <c r="AQ12" s="169">
        <v>0.0</v>
      </c>
      <c r="AR12" s="96"/>
      <c r="AS12" s="90"/>
      <c r="AT12" s="187">
        <v>489990.0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14" si="36">BA12*BB$2</f>
        <v>0</v>
      </c>
      <c r="BC12" s="75"/>
      <c r="BD12" s="90">
        <f t="shared" si="18"/>
        <v>0</v>
      </c>
      <c r="BE12" s="75"/>
      <c r="BF12" s="90">
        <f t="shared" si="19"/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489990</v>
      </c>
      <c r="BL12" s="93">
        <f t="shared" si="23"/>
        <v>489990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</v>
      </c>
      <c r="BW12" s="95">
        <f t="shared" si="33"/>
        <v>0.1167746656</v>
      </c>
    </row>
    <row r="13" ht="15.75" customHeight="1">
      <c r="A13" s="168">
        <f>'LUCERO RECOLETA'!A13</f>
        <v>46147</v>
      </c>
      <c r="B13" s="162"/>
      <c r="C13" s="163">
        <v>4.0</v>
      </c>
      <c r="D13" s="165">
        <f t="shared" si="34"/>
        <v>643</v>
      </c>
      <c r="E13" s="165">
        <f t="shared" si="2"/>
        <v>646</v>
      </c>
      <c r="F13" s="73"/>
      <c r="G13" s="74"/>
      <c r="H13" s="169">
        <v>361909.1</v>
      </c>
      <c r="I13" s="169">
        <v>76000.9</v>
      </c>
      <c r="J13" s="76"/>
      <c r="K13" s="83">
        <f t="shared" si="3"/>
        <v>437910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8"/>
        <v>0</v>
      </c>
      <c r="AB13" s="166"/>
      <c r="AC13" s="81">
        <f t="shared" si="9"/>
        <v>0</v>
      </c>
      <c r="AD13" s="84">
        <f t="shared" si="10"/>
        <v>437910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-431960</v>
      </c>
      <c r="AQ13" s="75">
        <f>76000+14000</f>
        <v>90000</v>
      </c>
      <c r="AR13" s="96"/>
      <c r="AS13" s="90"/>
      <c r="AT13" s="187">
        <v>341960.0</v>
      </c>
      <c r="AU13" s="75"/>
      <c r="AV13" s="75"/>
      <c r="AW13" s="90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 t="shared" si="18"/>
        <v>0</v>
      </c>
      <c r="BE13" s="75"/>
      <c r="BF13" s="90">
        <f t="shared" si="19"/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431960</v>
      </c>
      <c r="BL13" s="93">
        <f t="shared" si="23"/>
        <v>437910</v>
      </c>
      <c r="BM13" s="94">
        <f t="shared" si="24"/>
        <v>-5950</v>
      </c>
      <c r="BN13" s="13"/>
      <c r="BO13" s="95">
        <f t="shared" si="25"/>
        <v>0.2055216825</v>
      </c>
      <c r="BP13" s="95">
        <f t="shared" si="26"/>
        <v>0</v>
      </c>
      <c r="BQ13" s="95">
        <f t="shared" si="27"/>
        <v>0.7808910507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0.9864127332</v>
      </c>
      <c r="BW13" s="95">
        <f t="shared" si="33"/>
        <v>0.1043629335</v>
      </c>
    </row>
    <row r="14" ht="15.75" customHeight="1">
      <c r="A14" s="168">
        <f>'LUCERO RECOLETA'!A14</f>
        <v>46148</v>
      </c>
      <c r="B14" s="162"/>
      <c r="C14" s="163">
        <v>3.0</v>
      </c>
      <c r="D14" s="165">
        <f t="shared" si="34"/>
        <v>647</v>
      </c>
      <c r="E14" s="165">
        <f t="shared" si="2"/>
        <v>649</v>
      </c>
      <c r="F14" s="73"/>
      <c r="G14" s="74"/>
      <c r="H14" s="169">
        <v>196661.15</v>
      </c>
      <c r="I14" s="169">
        <v>41298.85</v>
      </c>
      <c r="J14" s="76"/>
      <c r="K14" s="83">
        <f t="shared" si="3"/>
        <v>237960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8"/>
        <v>0</v>
      </c>
      <c r="AB14" s="166"/>
      <c r="AC14" s="81">
        <f t="shared" si="9"/>
        <v>0</v>
      </c>
      <c r="AD14" s="84">
        <f t="shared" si="10"/>
        <v>237960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-237960</v>
      </c>
      <c r="AQ14" s="169">
        <v>0.0</v>
      </c>
      <c r="AR14" s="96"/>
      <c r="AS14" s="90"/>
      <c r="AT14" s="187">
        <v>237960.0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 t="shared" si="18"/>
        <v>0</v>
      </c>
      <c r="BE14" s="75"/>
      <c r="BF14" s="90">
        <f t="shared" si="1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237960</v>
      </c>
      <c r="BL14" s="93">
        <f t="shared" si="23"/>
        <v>237960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0.05671074802</v>
      </c>
    </row>
    <row r="15" ht="15.75" customHeight="1">
      <c r="A15" s="168">
        <f>'LUCERO RECOLETA'!A15</f>
        <v>46149</v>
      </c>
      <c r="B15" s="162"/>
      <c r="C15" s="163">
        <v>5.0</v>
      </c>
      <c r="D15" s="165">
        <f t="shared" si="34"/>
        <v>650</v>
      </c>
      <c r="E15" s="165">
        <f t="shared" si="2"/>
        <v>654</v>
      </c>
      <c r="F15" s="73"/>
      <c r="G15" s="74"/>
      <c r="H15" s="169">
        <v>452826.44</v>
      </c>
      <c r="I15" s="169">
        <v>95093.56</v>
      </c>
      <c r="J15" s="76"/>
      <c r="K15" s="83">
        <f t="shared" si="3"/>
        <v>547920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f t="shared" si="8"/>
        <v>0</v>
      </c>
      <c r="AB15" s="166"/>
      <c r="AC15" s="81">
        <f t="shared" si="9"/>
        <v>0</v>
      </c>
      <c r="AD15" s="84">
        <f t="shared" si="10"/>
        <v>547920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-547970</v>
      </c>
      <c r="AQ15" s="75">
        <f>160000+48000</f>
        <v>208000</v>
      </c>
      <c r="AR15" s="96"/>
      <c r="AS15" s="90"/>
      <c r="AT15" s="187">
        <v>339970.0</v>
      </c>
      <c r="AU15" s="75"/>
      <c r="AV15" s="75"/>
      <c r="AW15" s="90">
        <v>0.0</v>
      </c>
      <c r="AX15" s="88"/>
      <c r="AY15" s="75"/>
      <c r="AZ15" s="90">
        <f t="shared" si="16"/>
        <v>0</v>
      </c>
      <c r="BA15" s="169"/>
      <c r="BB15" s="90">
        <f t="shared" ref="BB15:BB16" si="37">BA15*1415</f>
        <v>0</v>
      </c>
      <c r="BC15" s="75"/>
      <c r="BD15" s="90">
        <f t="shared" si="18"/>
        <v>0</v>
      </c>
      <c r="BE15" s="75"/>
      <c r="BF15" s="90">
        <f t="shared" si="1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547970</v>
      </c>
      <c r="BL15" s="93">
        <f t="shared" si="23"/>
        <v>547920</v>
      </c>
      <c r="BM15" s="94">
        <f t="shared" si="24"/>
        <v>50</v>
      </c>
      <c r="BN15" s="13"/>
      <c r="BO15" s="95">
        <f t="shared" si="25"/>
        <v>0.3796174624</v>
      </c>
      <c r="BP15" s="95">
        <f t="shared" si="26"/>
        <v>0</v>
      </c>
      <c r="BQ15" s="95">
        <f t="shared" si="27"/>
        <v>0.6204737918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1.000091254</v>
      </c>
      <c r="BW15" s="95">
        <f t="shared" si="33"/>
        <v>0.1305805726</v>
      </c>
    </row>
    <row r="16" ht="15.75" customHeight="1">
      <c r="A16" s="168">
        <f>'LUCERO RECOLETA'!A16</f>
        <v>46150</v>
      </c>
      <c r="B16" s="162"/>
      <c r="C16" s="163">
        <v>2.0</v>
      </c>
      <c r="D16" s="165">
        <f t="shared" si="34"/>
        <v>655</v>
      </c>
      <c r="E16" s="165">
        <f t="shared" si="2"/>
        <v>656</v>
      </c>
      <c r="F16" s="73"/>
      <c r="G16" s="74"/>
      <c r="H16" s="169">
        <v>260289.25</v>
      </c>
      <c r="I16" s="169">
        <v>54660.75</v>
      </c>
      <c r="J16" s="76"/>
      <c r="K16" s="83">
        <f t="shared" si="3"/>
        <v>314950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6"/>
        <v>0</v>
      </c>
      <c r="V16" s="166"/>
      <c r="W16" s="82">
        <f t="shared" si="7"/>
        <v>0</v>
      </c>
      <c r="X16" s="165"/>
      <c r="Y16" s="165"/>
      <c r="Z16" s="79"/>
      <c r="AA16" s="80">
        <f t="shared" si="8"/>
        <v>0</v>
      </c>
      <c r="AB16" s="166"/>
      <c r="AC16" s="81">
        <f t="shared" si="9"/>
        <v>0</v>
      </c>
      <c r="AD16" s="84">
        <f t="shared" si="10"/>
        <v>314950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-317230</v>
      </c>
      <c r="AQ16" s="169">
        <v>0.0</v>
      </c>
      <c r="AR16" s="96"/>
      <c r="AS16" s="90"/>
      <c r="AT16" s="187">
        <v>104980.0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169">
        <v>150.0</v>
      </c>
      <c r="BB16" s="90">
        <f t="shared" si="37"/>
        <v>212250</v>
      </c>
      <c r="BC16" s="75"/>
      <c r="BD16" s="90">
        <f t="shared" si="18"/>
        <v>0</v>
      </c>
      <c r="BE16" s="75"/>
      <c r="BF16" s="90">
        <f t="shared" si="19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317230</v>
      </c>
      <c r="BL16" s="93">
        <f t="shared" si="23"/>
        <v>314950</v>
      </c>
      <c r="BM16" s="94">
        <f t="shared" si="24"/>
        <v>2280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0.3333227496</v>
      </c>
      <c r="BR16" s="95">
        <f t="shared" si="28"/>
        <v>0</v>
      </c>
      <c r="BS16" s="95">
        <f t="shared" si="29"/>
        <v>0</v>
      </c>
      <c r="BT16" s="95">
        <f t="shared" si="30"/>
        <v>0.6739164947</v>
      </c>
      <c r="BU16" s="95">
        <f t="shared" si="31"/>
        <v>0</v>
      </c>
      <c r="BV16" s="95">
        <f t="shared" si="32"/>
        <v>1.007239244</v>
      </c>
      <c r="BW16" s="95">
        <f t="shared" si="33"/>
        <v>0.07505904391</v>
      </c>
    </row>
    <row r="17" ht="15.75" customHeight="1">
      <c r="A17" s="168">
        <f>'LUCERO RECOLETA'!A17</f>
        <v>46151</v>
      </c>
      <c r="B17" s="162"/>
      <c r="C17" s="163">
        <v>1.0</v>
      </c>
      <c r="D17" s="165">
        <f t="shared" si="34"/>
        <v>657</v>
      </c>
      <c r="E17" s="165">
        <f t="shared" si="2"/>
        <v>657</v>
      </c>
      <c r="F17" s="73"/>
      <c r="G17" s="74"/>
      <c r="H17" s="169">
        <v>107429.75</v>
      </c>
      <c r="I17" s="169">
        <v>22560.25</v>
      </c>
      <c r="J17" s="76"/>
      <c r="K17" s="83">
        <f t="shared" si="3"/>
        <v>129990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6"/>
        <v>0</v>
      </c>
      <c r="V17" s="166"/>
      <c r="W17" s="82">
        <f t="shared" si="7"/>
        <v>0</v>
      </c>
      <c r="X17" s="165"/>
      <c r="Y17" s="165"/>
      <c r="Z17" s="79"/>
      <c r="AA17" s="80">
        <f t="shared" si="8"/>
        <v>0</v>
      </c>
      <c r="AB17" s="166"/>
      <c r="AC17" s="81">
        <f t="shared" si="9"/>
        <v>0</v>
      </c>
      <c r="AD17" s="84">
        <f t="shared" si="10"/>
        <v>129990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-129990</v>
      </c>
      <c r="AQ17" s="169">
        <v>0.0</v>
      </c>
      <c r="AR17" s="96"/>
      <c r="AS17" s="90"/>
      <c r="AT17" s="187">
        <v>129990.0</v>
      </c>
      <c r="AU17" s="75"/>
      <c r="AV17" s="75"/>
      <c r="AW17" s="90">
        <v>0.0</v>
      </c>
      <c r="AX17" s="88"/>
      <c r="AY17" s="75"/>
      <c r="AZ17" s="90">
        <f t="shared" si="16"/>
        <v>0</v>
      </c>
      <c r="BA17" s="75"/>
      <c r="BB17" s="90">
        <f t="shared" ref="BB17:BB24" si="38">BA17*BB$2</f>
        <v>0</v>
      </c>
      <c r="BC17" s="75"/>
      <c r="BD17" s="90">
        <f t="shared" si="18"/>
        <v>0</v>
      </c>
      <c r="BE17" s="75"/>
      <c r="BF17" s="90">
        <f t="shared" si="19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129990</v>
      </c>
      <c r="BL17" s="93">
        <f t="shared" si="23"/>
        <v>129990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0.0309792828</v>
      </c>
    </row>
    <row r="18" ht="15.75" customHeight="1">
      <c r="A18" s="168">
        <f>'LUCERO RECOLETA'!A18</f>
        <v>46152</v>
      </c>
      <c r="B18" s="162"/>
      <c r="C18" s="163">
        <v>4.0</v>
      </c>
      <c r="D18" s="165">
        <f t="shared" si="34"/>
        <v>658</v>
      </c>
      <c r="E18" s="165">
        <f t="shared" si="2"/>
        <v>661</v>
      </c>
      <c r="F18" s="73"/>
      <c r="G18" s="74"/>
      <c r="H18" s="169">
        <v>392520.65</v>
      </c>
      <c r="I18" s="169">
        <v>82429.35</v>
      </c>
      <c r="J18" s="76"/>
      <c r="K18" s="83">
        <f t="shared" si="3"/>
        <v>474950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6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474950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-474950</v>
      </c>
      <c r="AQ18" s="169">
        <v>0.0</v>
      </c>
      <c r="AR18" s="96"/>
      <c r="AS18" s="90"/>
      <c r="AT18" s="187">
        <v>474950.0</v>
      </c>
      <c r="AU18" s="75"/>
      <c r="AV18" s="75"/>
      <c r="AW18" s="90">
        <v>0.0</v>
      </c>
      <c r="AX18" s="88"/>
      <c r="AY18" s="75"/>
      <c r="AZ18" s="90">
        <f t="shared" si="16"/>
        <v>0</v>
      </c>
      <c r="BA18" s="75"/>
      <c r="BB18" s="90">
        <f t="shared" si="38"/>
        <v>0</v>
      </c>
      <c r="BC18" s="75"/>
      <c r="BD18" s="90">
        <f t="shared" si="18"/>
        <v>0</v>
      </c>
      <c r="BE18" s="75"/>
      <c r="BF18" s="90">
        <f t="shared" si="19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474950</v>
      </c>
      <c r="BL18" s="93">
        <f t="shared" si="23"/>
        <v>474950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0.1131903251</v>
      </c>
    </row>
    <row r="19" ht="15.75" customHeight="1">
      <c r="A19" s="168">
        <f>'LUCERO RECOLETA'!A19</f>
        <v>46153</v>
      </c>
      <c r="B19" s="162"/>
      <c r="C19" s="163">
        <v>0.0</v>
      </c>
      <c r="D19" s="165">
        <f t="shared" si="34"/>
        <v>662</v>
      </c>
      <c r="E19" s="165">
        <f t="shared" si="2"/>
        <v>661</v>
      </c>
      <c r="F19" s="73"/>
      <c r="G19" s="74"/>
      <c r="H19" s="199"/>
      <c r="I19" s="199"/>
      <c r="J19" s="200"/>
      <c r="K19" s="201">
        <f t="shared" si="3"/>
        <v>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6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0</v>
      </c>
      <c r="AQ19" s="98"/>
      <c r="AR19" s="96"/>
      <c r="AS19" s="90"/>
      <c r="AT19" s="187">
        <v>0.0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8"/>
        <v>0</v>
      </c>
      <c r="BC19" s="75"/>
      <c r="BD19" s="90">
        <f t="shared" si="18"/>
        <v>0</v>
      </c>
      <c r="BE19" s="75"/>
      <c r="BF19" s="90">
        <f t="shared" si="19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0</v>
      </c>
      <c r="BL19" s="93">
        <f t="shared" si="23"/>
        <v>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0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</v>
      </c>
      <c r="BW19" s="95">
        <f t="shared" si="33"/>
        <v>0</v>
      </c>
    </row>
    <row r="20" ht="15.75" customHeight="1">
      <c r="A20" s="168">
        <f>'LUCERO RECOLETA'!A20</f>
        <v>46154</v>
      </c>
      <c r="B20" s="162"/>
      <c r="C20" s="163">
        <v>0.0</v>
      </c>
      <c r="D20" s="165">
        <f t="shared" si="34"/>
        <v>662</v>
      </c>
      <c r="E20" s="165">
        <f t="shared" si="2"/>
        <v>661</v>
      </c>
      <c r="F20" s="73"/>
      <c r="G20" s="74"/>
      <c r="H20" s="199"/>
      <c r="I20" s="199"/>
      <c r="J20" s="200"/>
      <c r="K20" s="201">
        <f t="shared" si="3"/>
        <v>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6"/>
        <v>0</v>
      </c>
      <c r="V20" s="166"/>
      <c r="W20" s="82">
        <f t="shared" si="7"/>
        <v>0</v>
      </c>
      <c r="X20" s="165"/>
      <c r="Y20" s="165"/>
      <c r="Z20" s="79"/>
      <c r="AA20" s="80">
        <f t="shared" si="8"/>
        <v>0</v>
      </c>
      <c r="AB20" s="166"/>
      <c r="AC20" s="81">
        <f t="shared" si="9"/>
        <v>0</v>
      </c>
      <c r="AD20" s="84">
        <f t="shared" si="10"/>
        <v>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0</v>
      </c>
      <c r="AQ20" s="98"/>
      <c r="AR20" s="96"/>
      <c r="AS20" s="90"/>
      <c r="AT20" s="187">
        <v>0.0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8"/>
        <v>0</v>
      </c>
      <c r="BC20" s="75"/>
      <c r="BD20" s="90">
        <f t="shared" si="18"/>
        <v>0</v>
      </c>
      <c r="BE20" s="75"/>
      <c r="BF20" s="90">
        <f t="shared" si="19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0</v>
      </c>
      <c r="BL20" s="93">
        <f t="shared" si="23"/>
        <v>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0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0</v>
      </c>
      <c r="BW20" s="95">
        <f t="shared" si="33"/>
        <v>0</v>
      </c>
    </row>
    <row r="21" ht="15.75" customHeight="1">
      <c r="A21" s="168">
        <f>'LUCERO RECOLETA'!A21</f>
        <v>46155</v>
      </c>
      <c r="B21" s="162"/>
      <c r="C21" s="163">
        <v>0.0</v>
      </c>
      <c r="D21" s="165">
        <f t="shared" si="34"/>
        <v>662</v>
      </c>
      <c r="E21" s="165">
        <f t="shared" si="2"/>
        <v>661</v>
      </c>
      <c r="F21" s="73"/>
      <c r="G21" s="74"/>
      <c r="H21" s="199"/>
      <c r="I21" s="199"/>
      <c r="J21" s="200"/>
      <c r="K21" s="201">
        <f t="shared" si="3"/>
        <v>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6"/>
        <v>0</v>
      </c>
      <c r="V21" s="166"/>
      <c r="W21" s="82">
        <f t="shared" si="7"/>
        <v>0</v>
      </c>
      <c r="X21" s="165"/>
      <c r="Y21" s="165"/>
      <c r="Z21" s="79"/>
      <c r="AA21" s="80">
        <f t="shared" si="8"/>
        <v>0</v>
      </c>
      <c r="AB21" s="166"/>
      <c r="AC21" s="81">
        <f t="shared" si="9"/>
        <v>0</v>
      </c>
      <c r="AD21" s="84">
        <f t="shared" si="10"/>
        <v>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0</v>
      </c>
      <c r="AQ21" s="98"/>
      <c r="AR21" s="96"/>
      <c r="AS21" s="90"/>
      <c r="AT21" s="187">
        <v>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38"/>
        <v>0</v>
      </c>
      <c r="BC21" s="75"/>
      <c r="BD21" s="90">
        <f t="shared" si="18"/>
        <v>0</v>
      </c>
      <c r="BE21" s="75"/>
      <c r="BF21" s="90">
        <f t="shared" si="19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0</v>
      </c>
      <c r="BL21" s="93">
        <f t="shared" si="23"/>
        <v>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0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0</v>
      </c>
      <c r="BW21" s="95">
        <f t="shared" si="33"/>
        <v>0</v>
      </c>
    </row>
    <row r="22" ht="15.75" customHeight="1">
      <c r="A22" s="168">
        <f>'LUCERO RECOLETA'!A22</f>
        <v>46156</v>
      </c>
      <c r="B22" s="162"/>
      <c r="C22" s="163">
        <v>0.0</v>
      </c>
      <c r="D22" s="165">
        <f t="shared" si="34"/>
        <v>662</v>
      </c>
      <c r="E22" s="165">
        <f t="shared" si="2"/>
        <v>661</v>
      </c>
      <c r="F22" s="73"/>
      <c r="G22" s="74"/>
      <c r="H22" s="199"/>
      <c r="I22" s="199"/>
      <c r="J22" s="200"/>
      <c r="K22" s="201">
        <f t="shared" si="3"/>
        <v>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6"/>
        <v>0</v>
      </c>
      <c r="V22" s="166"/>
      <c r="W22" s="82">
        <f t="shared" si="7"/>
        <v>0</v>
      </c>
      <c r="X22" s="165"/>
      <c r="Y22" s="165"/>
      <c r="Z22" s="79"/>
      <c r="AA22" s="80">
        <f t="shared" si="8"/>
        <v>0</v>
      </c>
      <c r="AB22" s="166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98"/>
      <c r="AR22" s="96"/>
      <c r="AS22" s="90"/>
      <c r="AT22" s="187">
        <v>0.0</v>
      </c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38"/>
        <v>0</v>
      </c>
      <c r="BC22" s="75"/>
      <c r="BD22" s="90">
        <f t="shared" si="18"/>
        <v>0</v>
      </c>
      <c r="BE22" s="75"/>
      <c r="BF22" s="90">
        <f t="shared" si="19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0</v>
      </c>
      <c r="BL22" s="93">
        <f t="shared" si="23"/>
        <v>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0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0</v>
      </c>
      <c r="BW22" s="95">
        <f t="shared" si="33"/>
        <v>0</v>
      </c>
    </row>
    <row r="23" ht="15.75" customHeight="1">
      <c r="A23" s="168">
        <f>'LUCERO RECOLETA'!A23</f>
        <v>46157</v>
      </c>
      <c r="B23" s="162"/>
      <c r="C23" s="163">
        <v>0.0</v>
      </c>
      <c r="D23" s="165">
        <f t="shared" si="34"/>
        <v>662</v>
      </c>
      <c r="E23" s="165">
        <f t="shared" si="2"/>
        <v>661</v>
      </c>
      <c r="F23" s="73"/>
      <c r="G23" s="74"/>
      <c r="H23" s="199"/>
      <c r="I23" s="199"/>
      <c r="J23" s="200"/>
      <c r="K23" s="201">
        <f t="shared" si="3"/>
        <v>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6"/>
        <v>0</v>
      </c>
      <c r="V23" s="166"/>
      <c r="W23" s="82">
        <f t="shared" si="7"/>
        <v>0</v>
      </c>
      <c r="X23" s="165"/>
      <c r="Y23" s="165"/>
      <c r="Z23" s="79"/>
      <c r="AA23" s="80">
        <f t="shared" si="8"/>
        <v>0</v>
      </c>
      <c r="AB23" s="166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98"/>
      <c r="AR23" s="96"/>
      <c r="AS23" s="90"/>
      <c r="AT23" s="187">
        <v>0.0</v>
      </c>
      <c r="AU23" s="75"/>
      <c r="AV23" s="75"/>
      <c r="AW23" s="90">
        <v>0.0</v>
      </c>
      <c r="AX23" s="88"/>
      <c r="AY23" s="75"/>
      <c r="AZ23" s="90">
        <f t="shared" si="16"/>
        <v>0</v>
      </c>
      <c r="BA23" s="75"/>
      <c r="BB23" s="90">
        <f t="shared" si="38"/>
        <v>0</v>
      </c>
      <c r="BC23" s="75"/>
      <c r="BD23" s="90">
        <f t="shared" si="18"/>
        <v>0</v>
      </c>
      <c r="BE23" s="75"/>
      <c r="BF23" s="90">
        <f t="shared" si="19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0</v>
      </c>
      <c r="BL23" s="93">
        <f t="shared" si="23"/>
        <v>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0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0</v>
      </c>
      <c r="BW23" s="95">
        <f t="shared" si="33"/>
        <v>0</v>
      </c>
    </row>
    <row r="24" ht="15.75" customHeight="1">
      <c r="A24" s="168">
        <f>'LUCERO RECOLETA'!A24</f>
        <v>46158</v>
      </c>
      <c r="B24" s="162"/>
      <c r="C24" s="163">
        <v>0.0</v>
      </c>
      <c r="D24" s="165">
        <f t="shared" si="34"/>
        <v>662</v>
      </c>
      <c r="E24" s="165">
        <f t="shared" si="2"/>
        <v>661</v>
      </c>
      <c r="F24" s="73"/>
      <c r="G24" s="74"/>
      <c r="H24" s="199"/>
      <c r="I24" s="199"/>
      <c r="J24" s="200"/>
      <c r="K24" s="201">
        <f t="shared" si="3"/>
        <v>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6"/>
        <v>0</v>
      </c>
      <c r="V24" s="166"/>
      <c r="W24" s="82">
        <f t="shared" si="7"/>
        <v>0</v>
      </c>
      <c r="X24" s="165"/>
      <c r="Y24" s="165"/>
      <c r="Z24" s="79"/>
      <c r="AA24" s="80">
        <f t="shared" si="8"/>
        <v>0</v>
      </c>
      <c r="AB24" s="166"/>
      <c r="AC24" s="81">
        <f t="shared" si="9"/>
        <v>0</v>
      </c>
      <c r="AD24" s="84">
        <f t="shared" si="10"/>
        <v>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0</v>
      </c>
      <c r="AQ24" s="98"/>
      <c r="AR24" s="96"/>
      <c r="AS24" s="90"/>
      <c r="AT24" s="187">
        <v>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si="38"/>
        <v>0</v>
      </c>
      <c r="BC24" s="75"/>
      <c r="BD24" s="90">
        <f t="shared" si="18"/>
        <v>0</v>
      </c>
      <c r="BE24" s="75"/>
      <c r="BF24" s="90">
        <f t="shared" si="19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0</v>
      </c>
      <c r="BL24" s="93">
        <f t="shared" si="23"/>
        <v>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0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</v>
      </c>
      <c r="BW24" s="95">
        <f t="shared" si="33"/>
        <v>0</v>
      </c>
    </row>
    <row r="25" ht="15.75" customHeight="1">
      <c r="A25" s="168">
        <f>'LUCERO RECOLETA'!A25</f>
        <v>46159</v>
      </c>
      <c r="B25" s="162"/>
      <c r="C25" s="163">
        <v>0.0</v>
      </c>
      <c r="D25" s="165">
        <f t="shared" si="34"/>
        <v>662</v>
      </c>
      <c r="E25" s="165">
        <f t="shared" si="2"/>
        <v>661</v>
      </c>
      <c r="F25" s="73"/>
      <c r="G25" s="74"/>
      <c r="H25" s="199"/>
      <c r="I25" s="199"/>
      <c r="J25" s="200"/>
      <c r="K25" s="201">
        <f t="shared" si="3"/>
        <v>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6"/>
        <v>0</v>
      </c>
      <c r="V25" s="166"/>
      <c r="W25" s="82">
        <f t="shared" si="7"/>
        <v>0</v>
      </c>
      <c r="X25" s="165"/>
      <c r="Y25" s="165"/>
      <c r="Z25" s="79"/>
      <c r="AA25" s="80">
        <f t="shared" si="8"/>
        <v>0</v>
      </c>
      <c r="AB25" s="166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98"/>
      <c r="AR25" s="97"/>
      <c r="AS25" s="90"/>
      <c r="AT25" s="187">
        <v>0.0</v>
      </c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>BA25*1415</f>
        <v>0</v>
      </c>
      <c r="BC25" s="75"/>
      <c r="BD25" s="90">
        <f t="shared" si="18"/>
        <v>0</v>
      </c>
      <c r="BE25" s="75"/>
      <c r="BF25" s="90">
        <f t="shared" si="19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0</v>
      </c>
      <c r="BL25" s="93">
        <f t="shared" si="23"/>
        <v>0</v>
      </c>
      <c r="BM25" s="94">
        <f t="shared" si="24"/>
        <v>0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0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0</v>
      </c>
      <c r="BW25" s="95">
        <f t="shared" si="33"/>
        <v>0</v>
      </c>
    </row>
    <row r="26" ht="15.75" customHeight="1">
      <c r="A26" s="168">
        <f>'LUCERO RECOLETA'!A26</f>
        <v>46160</v>
      </c>
      <c r="B26" s="162"/>
      <c r="C26" s="163">
        <v>0.0</v>
      </c>
      <c r="D26" s="165">
        <f t="shared" si="34"/>
        <v>662</v>
      </c>
      <c r="E26" s="165">
        <f t="shared" si="2"/>
        <v>661</v>
      </c>
      <c r="F26" s="73"/>
      <c r="G26" s="74"/>
      <c r="H26" s="199"/>
      <c r="I26" s="199"/>
      <c r="J26" s="200"/>
      <c r="K26" s="201">
        <f t="shared" si="3"/>
        <v>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6"/>
        <v>0</v>
      </c>
      <c r="V26" s="166"/>
      <c r="W26" s="82">
        <f t="shared" si="7"/>
        <v>0</v>
      </c>
      <c r="X26" s="165"/>
      <c r="Y26" s="165"/>
      <c r="Z26" s="79"/>
      <c r="AA26" s="80">
        <f t="shared" si="8"/>
        <v>0</v>
      </c>
      <c r="AB26" s="166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98"/>
      <c r="AR26" s="96"/>
      <c r="AS26" s="90"/>
      <c r="AT26" s="187">
        <v>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ref="BB26:BB27" si="39">BA26*BB$2</f>
        <v>0</v>
      </c>
      <c r="BC26" s="75"/>
      <c r="BD26" s="90">
        <f t="shared" si="18"/>
        <v>0</v>
      </c>
      <c r="BE26" s="75"/>
      <c r="BF26" s="90">
        <f t="shared" si="19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0</v>
      </c>
      <c r="BL26" s="93">
        <f t="shared" si="23"/>
        <v>0</v>
      </c>
      <c r="BM26" s="94">
        <f t="shared" si="24"/>
        <v>0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0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</v>
      </c>
      <c r="BW26" s="95">
        <f t="shared" si="33"/>
        <v>0</v>
      </c>
    </row>
    <row r="27" ht="15.75" customHeight="1">
      <c r="A27" s="168">
        <f>'LUCERO RECOLETA'!A27</f>
        <v>46161</v>
      </c>
      <c r="B27" s="162"/>
      <c r="C27" s="163">
        <v>0.0</v>
      </c>
      <c r="D27" s="165">
        <f t="shared" si="34"/>
        <v>662</v>
      </c>
      <c r="E27" s="165">
        <f t="shared" si="2"/>
        <v>661</v>
      </c>
      <c r="F27" s="73"/>
      <c r="G27" s="74"/>
      <c r="H27" s="199"/>
      <c r="I27" s="199"/>
      <c r="J27" s="200"/>
      <c r="K27" s="201">
        <f t="shared" si="3"/>
        <v>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6"/>
        <v>0</v>
      </c>
      <c r="V27" s="166"/>
      <c r="W27" s="82">
        <f t="shared" si="7"/>
        <v>0</v>
      </c>
      <c r="X27" s="165"/>
      <c r="Y27" s="165"/>
      <c r="Z27" s="79"/>
      <c r="AA27" s="80">
        <f t="shared" si="8"/>
        <v>0</v>
      </c>
      <c r="AB27" s="166"/>
      <c r="AC27" s="81">
        <f t="shared" si="9"/>
        <v>0</v>
      </c>
      <c r="AD27" s="84">
        <f t="shared" si="10"/>
        <v>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0</v>
      </c>
      <c r="AQ27" s="98"/>
      <c r="AR27" s="96"/>
      <c r="AS27" s="90"/>
      <c r="AT27" s="187">
        <v>0.0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si="39"/>
        <v>0</v>
      </c>
      <c r="BC27" s="75"/>
      <c r="BD27" s="90">
        <f t="shared" si="18"/>
        <v>0</v>
      </c>
      <c r="BE27" s="75"/>
      <c r="BF27" s="90">
        <f t="shared" si="19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0</v>
      </c>
      <c r="BL27" s="93">
        <f t="shared" si="23"/>
        <v>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0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0</v>
      </c>
      <c r="BW27" s="95">
        <f t="shared" si="33"/>
        <v>0</v>
      </c>
    </row>
    <row r="28" ht="15.75" customHeight="1">
      <c r="A28" s="168">
        <f>'LUCERO RECOLETA'!A28</f>
        <v>46162</v>
      </c>
      <c r="B28" s="162"/>
      <c r="C28" s="163">
        <v>0.0</v>
      </c>
      <c r="D28" s="165">
        <f t="shared" si="34"/>
        <v>662</v>
      </c>
      <c r="E28" s="165">
        <f t="shared" si="2"/>
        <v>661</v>
      </c>
      <c r="F28" s="73"/>
      <c r="G28" s="74"/>
      <c r="H28" s="199"/>
      <c r="I28" s="199"/>
      <c r="J28" s="200"/>
      <c r="K28" s="201">
        <f t="shared" si="3"/>
        <v>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6"/>
        <v>0</v>
      </c>
      <c r="V28" s="166"/>
      <c r="W28" s="82">
        <f t="shared" si="7"/>
        <v>0</v>
      </c>
      <c r="X28" s="165"/>
      <c r="Y28" s="165"/>
      <c r="Z28" s="79"/>
      <c r="AA28" s="80">
        <f t="shared" si="8"/>
        <v>0</v>
      </c>
      <c r="AB28" s="166"/>
      <c r="AC28" s="81">
        <f t="shared" si="9"/>
        <v>0</v>
      </c>
      <c r="AD28" s="84">
        <f t="shared" si="10"/>
        <v>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0</v>
      </c>
      <c r="AQ28" s="98"/>
      <c r="AR28" s="99"/>
      <c r="AS28" s="90"/>
      <c r="AT28" s="187">
        <v>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>BA28*1415</f>
        <v>0</v>
      </c>
      <c r="BC28" s="75"/>
      <c r="BD28" s="90">
        <f t="shared" si="18"/>
        <v>0</v>
      </c>
      <c r="BE28" s="75"/>
      <c r="BF28" s="90">
        <f t="shared" si="19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0</v>
      </c>
      <c r="BL28" s="93">
        <f t="shared" si="23"/>
        <v>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0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</v>
      </c>
      <c r="BW28" s="95">
        <f t="shared" si="33"/>
        <v>0</v>
      </c>
    </row>
    <row r="29" ht="15.75" customHeight="1">
      <c r="A29" s="168">
        <f>'LUCERO RECOLETA'!A29</f>
        <v>46163</v>
      </c>
      <c r="B29" s="162"/>
      <c r="C29" s="163">
        <v>0.0</v>
      </c>
      <c r="D29" s="165">
        <f t="shared" si="34"/>
        <v>662</v>
      </c>
      <c r="E29" s="165">
        <f t="shared" si="2"/>
        <v>661</v>
      </c>
      <c r="F29" s="73"/>
      <c r="G29" s="74"/>
      <c r="H29" s="199"/>
      <c r="I29" s="199"/>
      <c r="J29" s="200"/>
      <c r="K29" s="201">
        <f t="shared" si="3"/>
        <v>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6"/>
        <v>0</v>
      </c>
      <c r="V29" s="166"/>
      <c r="W29" s="82">
        <f t="shared" si="7"/>
        <v>0</v>
      </c>
      <c r="X29" s="165"/>
      <c r="Y29" s="165"/>
      <c r="Z29" s="79"/>
      <c r="AA29" s="80">
        <f t="shared" si="8"/>
        <v>0</v>
      </c>
      <c r="AB29" s="166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98"/>
      <c r="AR29" s="99"/>
      <c r="AS29" s="90"/>
      <c r="AT29" s="187">
        <v>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ref="BB29:BB32" si="40">BA29*BB$2</f>
        <v>0</v>
      </c>
      <c r="BC29" s="75"/>
      <c r="BD29" s="90">
        <f t="shared" si="18"/>
        <v>0</v>
      </c>
      <c r="BE29" s="75"/>
      <c r="BF29" s="90">
        <f t="shared" si="19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0</v>
      </c>
      <c r="BL29" s="93">
        <f t="shared" si="23"/>
        <v>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</v>
      </c>
      <c r="BW29" s="95">
        <f t="shared" si="33"/>
        <v>0</v>
      </c>
    </row>
    <row r="30" ht="15.75" customHeight="1">
      <c r="A30" s="168">
        <f>'LUCERO RECOLETA'!A30</f>
        <v>46164</v>
      </c>
      <c r="B30" s="162"/>
      <c r="C30" s="163">
        <v>0.0</v>
      </c>
      <c r="D30" s="165">
        <f t="shared" si="34"/>
        <v>662</v>
      </c>
      <c r="E30" s="165">
        <f t="shared" si="2"/>
        <v>661</v>
      </c>
      <c r="F30" s="73"/>
      <c r="G30" s="74"/>
      <c r="H30" s="199"/>
      <c r="I30" s="199"/>
      <c r="J30" s="200"/>
      <c r="K30" s="201">
        <f t="shared" si="3"/>
        <v>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6"/>
        <v>0</v>
      </c>
      <c r="V30" s="166"/>
      <c r="W30" s="82">
        <f t="shared" si="7"/>
        <v>0</v>
      </c>
      <c r="X30" s="165"/>
      <c r="Y30" s="165"/>
      <c r="Z30" s="79"/>
      <c r="AA30" s="80">
        <f t="shared" si="8"/>
        <v>0</v>
      </c>
      <c r="AB30" s="166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98"/>
      <c r="AR30" s="99"/>
      <c r="AS30" s="90"/>
      <c r="AT30" s="187">
        <v>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40"/>
        <v>0</v>
      </c>
      <c r="BC30" s="75"/>
      <c r="BD30" s="90">
        <f t="shared" si="18"/>
        <v>0</v>
      </c>
      <c r="BE30" s="75"/>
      <c r="BF30" s="90">
        <f t="shared" si="19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0</v>
      </c>
      <c r="BL30" s="93">
        <f t="shared" si="23"/>
        <v>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0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</v>
      </c>
      <c r="BW30" s="95">
        <f t="shared" si="33"/>
        <v>0</v>
      </c>
    </row>
    <row r="31" ht="15.75" customHeight="1">
      <c r="A31" s="168">
        <f>'LUCERO RECOLETA'!A31</f>
        <v>46165</v>
      </c>
      <c r="B31" s="162"/>
      <c r="C31" s="163">
        <v>0.0</v>
      </c>
      <c r="D31" s="165">
        <f t="shared" si="34"/>
        <v>662</v>
      </c>
      <c r="E31" s="165">
        <f t="shared" si="2"/>
        <v>661</v>
      </c>
      <c r="F31" s="73"/>
      <c r="G31" s="74"/>
      <c r="H31" s="75"/>
      <c r="I31" s="75"/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6"/>
        <v>0</v>
      </c>
      <c r="V31" s="166"/>
      <c r="W31" s="82">
        <f t="shared" si="7"/>
        <v>0</v>
      </c>
      <c r="X31" s="165"/>
      <c r="Y31" s="165"/>
      <c r="Z31" s="79"/>
      <c r="AA31" s="80">
        <f t="shared" si="8"/>
        <v>0</v>
      </c>
      <c r="AB31" s="166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169">
        <v>0.0</v>
      </c>
      <c r="AR31" s="96"/>
      <c r="AS31" s="90"/>
      <c r="AT31" s="187">
        <v>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si="40"/>
        <v>0</v>
      </c>
      <c r="BC31" s="75"/>
      <c r="BD31" s="90">
        <f t="shared" si="18"/>
        <v>0</v>
      </c>
      <c r="BE31" s="75"/>
      <c r="BF31" s="90">
        <f t="shared" si="19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0</v>
      </c>
      <c r="BL31" s="93">
        <f t="shared" si="23"/>
        <v>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0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</v>
      </c>
      <c r="BW31" s="95">
        <f t="shared" si="33"/>
        <v>0</v>
      </c>
    </row>
    <row r="32" ht="15.75" customHeight="1">
      <c r="A32" s="168">
        <f>'LUCERO RECOLETA'!A32</f>
        <v>46166</v>
      </c>
      <c r="B32" s="162"/>
      <c r="C32" s="163">
        <v>1.0</v>
      </c>
      <c r="D32" s="165">
        <f t="shared" si="34"/>
        <v>662</v>
      </c>
      <c r="E32" s="165">
        <f t="shared" si="2"/>
        <v>662</v>
      </c>
      <c r="F32" s="73"/>
      <c r="G32" s="74"/>
      <c r="H32" s="169">
        <v>24628.1</v>
      </c>
      <c r="I32" s="169">
        <v>5171.9</v>
      </c>
      <c r="J32" s="76"/>
      <c r="K32" s="83">
        <f t="shared" si="3"/>
        <v>29800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6"/>
        <v>0</v>
      </c>
      <c r="V32" s="166"/>
      <c r="W32" s="82">
        <f t="shared" si="7"/>
        <v>0</v>
      </c>
      <c r="X32" s="165"/>
      <c r="Y32" s="165"/>
      <c r="Z32" s="79"/>
      <c r="AA32" s="80">
        <f t="shared" si="8"/>
        <v>0</v>
      </c>
      <c r="AB32" s="166"/>
      <c r="AC32" s="81">
        <f t="shared" si="9"/>
        <v>0</v>
      </c>
      <c r="AD32" s="84">
        <f t="shared" si="10"/>
        <v>29800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-28000</v>
      </c>
      <c r="AQ32" s="169">
        <v>28000.0</v>
      </c>
      <c r="AR32" s="96"/>
      <c r="AS32" s="90"/>
      <c r="AT32" s="187">
        <v>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si="40"/>
        <v>0</v>
      </c>
      <c r="BC32" s="75"/>
      <c r="BD32" s="90">
        <f t="shared" si="18"/>
        <v>0</v>
      </c>
      <c r="BE32" s="75"/>
      <c r="BF32" s="90">
        <f t="shared" si="19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28000</v>
      </c>
      <c r="BL32" s="93">
        <f t="shared" si="23"/>
        <v>29800</v>
      </c>
      <c r="BM32" s="94">
        <f t="shared" si="24"/>
        <v>-1800</v>
      </c>
      <c r="BN32" s="13"/>
      <c r="BO32" s="95">
        <f t="shared" si="25"/>
        <v>0.9395973154</v>
      </c>
      <c r="BP32" s="95">
        <f t="shared" si="26"/>
        <v>0</v>
      </c>
      <c r="BQ32" s="95">
        <f t="shared" si="27"/>
        <v>0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0.9395973154</v>
      </c>
      <c r="BW32" s="95">
        <f t="shared" si="33"/>
        <v>0.00710195113</v>
      </c>
    </row>
    <row r="33" ht="15.75" customHeight="1">
      <c r="A33" s="168">
        <f>'LUCERO RECOLETA'!A33</f>
        <v>46167</v>
      </c>
      <c r="B33" s="162"/>
      <c r="C33" s="176">
        <v>2.0</v>
      </c>
      <c r="D33" s="165">
        <f t="shared" si="34"/>
        <v>663</v>
      </c>
      <c r="E33" s="165">
        <f t="shared" si="2"/>
        <v>664</v>
      </c>
      <c r="F33" s="73"/>
      <c r="G33" s="74"/>
      <c r="H33" s="169">
        <v>110661.16</v>
      </c>
      <c r="I33" s="169">
        <v>23238.84</v>
      </c>
      <c r="J33" s="76"/>
      <c r="K33" s="83">
        <f t="shared" si="3"/>
        <v>133900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6"/>
        <v>0</v>
      </c>
      <c r="V33" s="166"/>
      <c r="W33" s="82">
        <f t="shared" si="7"/>
        <v>0</v>
      </c>
      <c r="X33" s="165"/>
      <c r="Y33" s="165"/>
      <c r="Z33" s="79"/>
      <c r="AA33" s="80">
        <f t="shared" si="8"/>
        <v>0</v>
      </c>
      <c r="AB33" s="166"/>
      <c r="AC33" s="81">
        <f t="shared" si="9"/>
        <v>0</v>
      </c>
      <c r="AD33" s="84">
        <f t="shared" si="10"/>
        <v>133900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-133900</v>
      </c>
      <c r="AQ33" s="169">
        <v>35000.0</v>
      </c>
      <c r="AR33" s="96"/>
      <c r="AS33" s="90"/>
      <c r="AT33" s="187">
        <v>98900.0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 t="shared" ref="BB33:BB34" si="41">BA33*1420</f>
        <v>0</v>
      </c>
      <c r="BC33" s="75"/>
      <c r="BD33" s="90">
        <f t="shared" si="18"/>
        <v>0</v>
      </c>
      <c r="BE33" s="75"/>
      <c r="BF33" s="90">
        <f t="shared" si="19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133900</v>
      </c>
      <c r="BL33" s="93">
        <f t="shared" si="23"/>
        <v>133900</v>
      </c>
      <c r="BM33" s="94">
        <f t="shared" si="24"/>
        <v>0</v>
      </c>
      <c r="BN33" s="13"/>
      <c r="BO33" s="95">
        <f t="shared" si="25"/>
        <v>0.2613890963</v>
      </c>
      <c r="BP33" s="95">
        <f t="shared" si="26"/>
        <v>0</v>
      </c>
      <c r="BQ33" s="95">
        <f t="shared" si="27"/>
        <v>0.7386109037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</v>
      </c>
      <c r="BW33" s="95">
        <f t="shared" si="33"/>
        <v>0.03191111598</v>
      </c>
    </row>
    <row r="34" ht="15.75" customHeight="1">
      <c r="A34" s="168">
        <f>'LUCERO RECOLETA'!A34</f>
        <v>46168</v>
      </c>
      <c r="B34" s="162"/>
      <c r="C34" s="176">
        <v>1.0</v>
      </c>
      <c r="D34" s="165">
        <f t="shared" si="34"/>
        <v>665</v>
      </c>
      <c r="E34" s="165">
        <f t="shared" si="2"/>
        <v>665</v>
      </c>
      <c r="F34" s="73"/>
      <c r="G34" s="74"/>
      <c r="H34" s="169">
        <v>147107.44</v>
      </c>
      <c r="I34" s="169">
        <v>30892.56</v>
      </c>
      <c r="J34" s="76"/>
      <c r="K34" s="83">
        <f t="shared" si="3"/>
        <v>178000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6"/>
        <v>0</v>
      </c>
      <c r="V34" s="166"/>
      <c r="W34" s="82">
        <f t="shared" si="7"/>
        <v>0</v>
      </c>
      <c r="X34" s="165"/>
      <c r="Y34" s="165"/>
      <c r="Z34" s="79"/>
      <c r="AA34" s="80">
        <f t="shared" si="8"/>
        <v>0</v>
      </c>
      <c r="AB34" s="166"/>
      <c r="AC34" s="81">
        <f t="shared" si="9"/>
        <v>0</v>
      </c>
      <c r="AD34" s="84">
        <f t="shared" si="10"/>
        <v>178000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-178000</v>
      </c>
      <c r="AQ34" s="178">
        <v>0.0</v>
      </c>
      <c r="AR34" s="96"/>
      <c r="AS34" s="90"/>
      <c r="AT34" s="187">
        <v>178000.0</v>
      </c>
      <c r="AU34" s="75"/>
      <c r="AV34" s="75"/>
      <c r="AW34" s="90">
        <v>0.0</v>
      </c>
      <c r="AX34" s="88"/>
      <c r="AY34" s="75"/>
      <c r="AZ34" s="90">
        <f t="shared" ref="AZ34:AZ40" si="42">AY34*AZ$3</f>
        <v>0</v>
      </c>
      <c r="BA34" s="75"/>
      <c r="BB34" s="90">
        <f t="shared" si="41"/>
        <v>0</v>
      </c>
      <c r="BC34" s="75"/>
      <c r="BD34" s="90">
        <f t="shared" ref="BD34:BD40" si="43">BC34*BD$3</f>
        <v>0</v>
      </c>
      <c r="BE34" s="75"/>
      <c r="BF34" s="90">
        <f t="shared" ref="BF34:BF40" si="44">BE34*BF$3</f>
        <v>0</v>
      </c>
      <c r="BG34" s="75"/>
      <c r="BH34" s="90">
        <f t="shared" ref="BH34:BH40" si="45">BG34*BH$3</f>
        <v>0</v>
      </c>
      <c r="BI34" s="75"/>
      <c r="BJ34" s="90">
        <f>BI34*BJ$3</f>
        <v>0</v>
      </c>
      <c r="BK34" s="92">
        <f t="shared" si="35"/>
        <v>178000</v>
      </c>
      <c r="BL34" s="93">
        <f t="shared" si="23"/>
        <v>178000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0.04242105037</v>
      </c>
    </row>
    <row r="35" ht="15.75" customHeight="1">
      <c r="A35" s="168">
        <f>'LUCERO RECOLETA'!A35</f>
        <v>46169</v>
      </c>
      <c r="B35" s="162"/>
      <c r="C35" s="176">
        <v>1.0</v>
      </c>
      <c r="D35" s="165">
        <f t="shared" si="34"/>
        <v>666</v>
      </c>
      <c r="E35" s="165">
        <f t="shared" si="2"/>
        <v>666</v>
      </c>
      <c r="F35" s="73"/>
      <c r="G35" s="74"/>
      <c r="H35" s="169">
        <v>12314.05</v>
      </c>
      <c r="I35" s="169">
        <v>2585.95</v>
      </c>
      <c r="J35" s="76"/>
      <c r="K35" s="83">
        <f t="shared" si="3"/>
        <v>14900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6"/>
        <v>0</v>
      </c>
      <c r="V35" s="166"/>
      <c r="W35" s="82">
        <f t="shared" si="7"/>
        <v>0</v>
      </c>
      <c r="X35" s="165"/>
      <c r="Y35" s="165"/>
      <c r="Z35" s="79"/>
      <c r="AA35" s="80">
        <f t="shared" si="8"/>
        <v>0</v>
      </c>
      <c r="AB35" s="166"/>
      <c r="AC35" s="81">
        <f t="shared" si="9"/>
        <v>0</v>
      </c>
      <c r="AD35" s="84">
        <f t="shared" si="10"/>
        <v>14900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-14900</v>
      </c>
      <c r="AQ35" s="178">
        <v>0.0</v>
      </c>
      <c r="AR35" s="96"/>
      <c r="AS35" s="90"/>
      <c r="AT35" s="187">
        <v>14900.0</v>
      </c>
      <c r="AU35" s="75"/>
      <c r="AV35" s="75"/>
      <c r="AW35" s="90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>BI35*1645</f>
        <v>0</v>
      </c>
      <c r="BK35" s="92">
        <f t="shared" si="35"/>
        <v>14900</v>
      </c>
      <c r="BL35" s="93">
        <f t="shared" si="23"/>
        <v>14900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1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</v>
      </c>
      <c r="BW35" s="95">
        <f t="shared" si="33"/>
        <v>0.003550975565</v>
      </c>
    </row>
    <row r="36" ht="15.75" customHeight="1">
      <c r="A36" s="168">
        <f>'LUCERO RECOLETA'!A36</f>
        <v>46170</v>
      </c>
      <c r="B36" s="162"/>
      <c r="C36" s="163">
        <v>0.0</v>
      </c>
      <c r="D36" s="165">
        <f t="shared" si="34"/>
        <v>667</v>
      </c>
      <c r="E36" s="165">
        <f t="shared" si="2"/>
        <v>666</v>
      </c>
      <c r="F36" s="73"/>
      <c r="G36" s="74"/>
      <c r="H36" s="75"/>
      <c r="I36" s="75"/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6"/>
        <v>0</v>
      </c>
      <c r="V36" s="166"/>
      <c r="W36" s="82">
        <f t="shared" si="7"/>
        <v>0</v>
      </c>
      <c r="X36" s="165"/>
      <c r="Y36" s="165"/>
      <c r="Z36" s="79"/>
      <c r="AA36" s="80">
        <f t="shared" si="8"/>
        <v>0</v>
      </c>
      <c r="AB36" s="166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178">
        <v>0.0</v>
      </c>
      <c r="AR36" s="96"/>
      <c r="AS36" s="90"/>
      <c r="AT36" s="187">
        <v>0.0</v>
      </c>
      <c r="AU36" s="75"/>
      <c r="AV36" s="75"/>
      <c r="AW36" s="90">
        <v>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ref="BJ36:BJ40" si="46">BI36*BJ$3</f>
        <v>0</v>
      </c>
      <c r="BK36" s="92">
        <f t="shared" si="35"/>
        <v>0</v>
      </c>
      <c r="BL36" s="93">
        <f t="shared" si="23"/>
        <v>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0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0</v>
      </c>
      <c r="BW36" s="95">
        <f t="shared" si="33"/>
        <v>0</v>
      </c>
    </row>
    <row r="37" ht="15.75" customHeight="1">
      <c r="A37" s="168">
        <f>'LUCERO RECOLETA'!A37</f>
        <v>46171</v>
      </c>
      <c r="B37" s="162"/>
      <c r="C37" s="163">
        <v>1.0</v>
      </c>
      <c r="D37" s="165">
        <f t="shared" si="34"/>
        <v>667</v>
      </c>
      <c r="E37" s="165">
        <f t="shared" si="2"/>
        <v>667</v>
      </c>
      <c r="F37" s="73"/>
      <c r="G37" s="74"/>
      <c r="H37" s="169">
        <v>90082.65</v>
      </c>
      <c r="I37" s="169">
        <v>18917.35</v>
      </c>
      <c r="J37" s="76"/>
      <c r="K37" s="83">
        <f t="shared" si="3"/>
        <v>109000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6"/>
        <v>0</v>
      </c>
      <c r="V37" s="166"/>
      <c r="W37" s="82">
        <f t="shared" si="7"/>
        <v>0</v>
      </c>
      <c r="X37" s="165"/>
      <c r="Y37" s="165"/>
      <c r="Z37" s="79"/>
      <c r="AA37" s="80">
        <f t="shared" si="8"/>
        <v>0</v>
      </c>
      <c r="AB37" s="166"/>
      <c r="AC37" s="81">
        <f t="shared" si="9"/>
        <v>0</v>
      </c>
      <c r="AD37" s="84">
        <f t="shared" si="10"/>
        <v>109000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-109000</v>
      </c>
      <c r="AQ37" s="178">
        <v>0.0</v>
      </c>
      <c r="AR37" s="96"/>
      <c r="AS37" s="90"/>
      <c r="AT37" s="187">
        <v>109000.0</v>
      </c>
      <c r="AU37" s="75"/>
      <c r="AV37" s="75"/>
      <c r="AW37" s="90">
        <v>0.0</v>
      </c>
      <c r="AX37" s="88"/>
      <c r="AY37" s="75"/>
      <c r="AZ37" s="90">
        <f t="shared" si="42"/>
        <v>0</v>
      </c>
      <c r="BA37" s="75"/>
      <c r="BB37" s="90">
        <f>BA37*1400</f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5"/>
        <v>109000</v>
      </c>
      <c r="BL37" s="93">
        <f t="shared" si="23"/>
        <v>109000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1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</v>
      </c>
      <c r="BW37" s="95">
        <f t="shared" si="33"/>
        <v>0.02597693534</v>
      </c>
    </row>
    <row r="38" ht="15.75" customHeight="1">
      <c r="A38" s="168">
        <f>'LUCERO RECOLETA'!A38</f>
        <v>46172</v>
      </c>
      <c r="B38" s="162"/>
      <c r="C38" s="163">
        <v>3.0</v>
      </c>
      <c r="D38" s="165">
        <f t="shared" si="34"/>
        <v>668</v>
      </c>
      <c r="E38" s="165">
        <f t="shared" si="2"/>
        <v>670</v>
      </c>
      <c r="F38" s="73"/>
      <c r="G38" s="74"/>
      <c r="H38" s="169">
        <v>71900.83</v>
      </c>
      <c r="I38" s="169">
        <v>15099.17</v>
      </c>
      <c r="J38" s="76"/>
      <c r="K38" s="83">
        <f t="shared" si="3"/>
        <v>87000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6"/>
        <v>0</v>
      </c>
      <c r="V38" s="166"/>
      <c r="W38" s="82">
        <f t="shared" si="7"/>
        <v>0</v>
      </c>
      <c r="X38" s="165"/>
      <c r="Y38" s="165"/>
      <c r="Z38" s="79"/>
      <c r="AA38" s="80">
        <f t="shared" si="8"/>
        <v>0</v>
      </c>
      <c r="AB38" s="166"/>
      <c r="AC38" s="81">
        <f t="shared" si="9"/>
        <v>0</v>
      </c>
      <c r="AD38" s="84">
        <f t="shared" si="10"/>
        <v>87000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-87000</v>
      </c>
      <c r="AQ38" s="178">
        <v>0.0</v>
      </c>
      <c r="AR38" s="96"/>
      <c r="AS38" s="90" t="str">
        <f>AG38</f>
        <v/>
      </c>
      <c r="AT38" s="187">
        <v>48000.0</v>
      </c>
      <c r="AU38" s="75"/>
      <c r="AV38" s="75"/>
      <c r="AW38" s="187">
        <v>39000.0</v>
      </c>
      <c r="AX38" s="88"/>
      <c r="AY38" s="75"/>
      <c r="AZ38" s="90">
        <f t="shared" si="42"/>
        <v>0</v>
      </c>
      <c r="BA38" s="75"/>
      <c r="BB38" s="90">
        <f>BA38*BB$3</f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5"/>
        <v>87000</v>
      </c>
      <c r="BL38" s="93">
        <f t="shared" si="23"/>
        <v>87000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0.5517241379</v>
      </c>
      <c r="BR38" s="95">
        <f t="shared" si="28"/>
        <v>0.4482758621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0.02073388417</v>
      </c>
    </row>
    <row r="39" ht="15.75" customHeight="1">
      <c r="A39" s="168">
        <f>'LUCERO RECOLETA'!A39</f>
        <v>46173</v>
      </c>
      <c r="B39" s="162"/>
      <c r="C39" s="163">
        <v>4.0</v>
      </c>
      <c r="D39" s="165">
        <f t="shared" si="34"/>
        <v>671</v>
      </c>
      <c r="E39" s="165">
        <f t="shared" si="2"/>
        <v>674</v>
      </c>
      <c r="F39" s="73"/>
      <c r="G39" s="74"/>
      <c r="H39" s="169">
        <v>207355.38</v>
      </c>
      <c r="I39" s="169">
        <v>43544.62</v>
      </c>
      <c r="J39" s="76"/>
      <c r="K39" s="83">
        <f t="shared" si="3"/>
        <v>250900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6"/>
        <v>0</v>
      </c>
      <c r="V39" s="166"/>
      <c r="W39" s="82">
        <f t="shared" si="7"/>
        <v>0</v>
      </c>
      <c r="X39" s="165"/>
      <c r="Y39" s="165"/>
      <c r="Z39" s="79"/>
      <c r="AA39" s="80">
        <f t="shared" si="8"/>
        <v>0</v>
      </c>
      <c r="AB39" s="166"/>
      <c r="AC39" s="81">
        <f t="shared" si="9"/>
        <v>0</v>
      </c>
      <c r="AD39" s="84">
        <f t="shared" si="10"/>
        <v>250900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60000.0</v>
      </c>
      <c r="AR39" s="96"/>
      <c r="AS39" s="90"/>
      <c r="AT39" s="187">
        <v>168500.0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169">
        <v>20.0</v>
      </c>
      <c r="BB39" s="90">
        <f>BA39*1425</f>
        <v>28500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5"/>
        <v>257000</v>
      </c>
      <c r="BL39" s="93">
        <f t="shared" si="23"/>
        <v>250900</v>
      </c>
      <c r="BM39" s="94">
        <f t="shared" si="24"/>
        <v>6100</v>
      </c>
      <c r="BN39" s="14"/>
      <c r="BO39" s="95">
        <f t="shared" si="25"/>
        <v>0.2391390992</v>
      </c>
      <c r="BP39" s="95">
        <f t="shared" si="26"/>
        <v>0</v>
      </c>
      <c r="BQ39" s="95">
        <f t="shared" si="27"/>
        <v>0.6715823037</v>
      </c>
      <c r="BR39" s="95">
        <f t="shared" si="28"/>
        <v>0</v>
      </c>
      <c r="BS39" s="95">
        <f t="shared" si="29"/>
        <v>0</v>
      </c>
      <c r="BT39" s="95">
        <f t="shared" si="30"/>
        <v>0.1135910721</v>
      </c>
      <c r="BU39" s="95">
        <f t="shared" si="31"/>
        <v>0</v>
      </c>
      <c r="BV39" s="95">
        <f t="shared" si="32"/>
        <v>1.024312475</v>
      </c>
      <c r="BW39" s="95">
        <f t="shared" si="33"/>
        <v>0.05979461539</v>
      </c>
    </row>
    <row r="40" ht="15.75" customHeight="1">
      <c r="A40" s="72"/>
      <c r="B40" s="73"/>
      <c r="C40" s="73"/>
      <c r="D40" s="165">
        <f t="shared" si="34"/>
        <v>675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6"/>
        <v>0</v>
      </c>
      <c r="V40" s="166"/>
      <c r="W40" s="82"/>
      <c r="X40" s="165">
        <v>0.0</v>
      </c>
      <c r="Y40" s="165"/>
      <c r="Z40" s="79"/>
      <c r="AA40" s="80">
        <f t="shared" si="8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>BA40*BB$3</f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42</v>
      </c>
      <c r="D41" s="105">
        <f>MIN(D9:D40)</f>
        <v>633</v>
      </c>
      <c r="E41" s="105">
        <f>MAX(E9:E40)</f>
        <v>674</v>
      </c>
      <c r="F41" s="106">
        <f t="shared" ref="F41:I41" si="47">SUM(F9:F40)</f>
        <v>0</v>
      </c>
      <c r="G41" s="106">
        <f t="shared" si="47"/>
        <v>0</v>
      </c>
      <c r="H41" s="77">
        <f t="shared" si="47"/>
        <v>3467793.36</v>
      </c>
      <c r="I41" s="77">
        <f t="shared" si="47"/>
        <v>728236.64</v>
      </c>
      <c r="J41" s="77"/>
      <c r="K41" s="77">
        <f>SUM(K9:K40)</f>
        <v>4196030</v>
      </c>
      <c r="L41" s="107">
        <f>MIN(L9:L40)</f>
        <v>0</v>
      </c>
      <c r="M41" s="107">
        <f>MAX(M9:M40)</f>
        <v>0</v>
      </c>
      <c r="N41" s="83">
        <f t="shared" ref="N41:O41" si="48">SUM(N9:N40)</f>
        <v>0</v>
      </c>
      <c r="O41" s="83">
        <f t="shared" si="48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9">SUM(T9:T40)</f>
        <v>0</v>
      </c>
      <c r="U41" s="82">
        <f t="shared" si="49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0">SUM(Z9:Z40)</f>
        <v>0</v>
      </c>
      <c r="AA41" s="83">
        <f t="shared" si="50"/>
        <v>0</v>
      </c>
      <c r="AB41" s="83"/>
      <c r="AC41" s="83">
        <f t="shared" ref="AC41:AD41" si="51">SUM(AC9:AC40)</f>
        <v>0</v>
      </c>
      <c r="AD41" s="84">
        <f t="shared" si="51"/>
        <v>4196030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-3944720</v>
      </c>
      <c r="AQ41" s="112">
        <f t="shared" ref="AQ41:BM41" si="53">SUM(AQ9:AQ40)</f>
        <v>461000</v>
      </c>
      <c r="AR41" s="112">
        <f t="shared" si="53"/>
        <v>0</v>
      </c>
      <c r="AS41" s="112">
        <f t="shared" si="53"/>
        <v>0</v>
      </c>
      <c r="AT41" s="112">
        <f t="shared" si="53"/>
        <v>3319470</v>
      </c>
      <c r="AU41" s="112">
        <f t="shared" si="53"/>
        <v>0</v>
      </c>
      <c r="AV41" s="112">
        <f t="shared" si="53"/>
        <v>0</v>
      </c>
      <c r="AW41" s="112">
        <f t="shared" si="53"/>
        <v>39000</v>
      </c>
      <c r="AX41" s="112">
        <f t="shared" si="53"/>
        <v>0</v>
      </c>
      <c r="AY41" s="112">
        <f t="shared" si="53"/>
        <v>0</v>
      </c>
      <c r="AZ41" s="112">
        <f t="shared" si="53"/>
        <v>0</v>
      </c>
      <c r="BA41" s="112">
        <f t="shared" si="53"/>
        <v>270</v>
      </c>
      <c r="BB41" s="112">
        <f t="shared" si="53"/>
        <v>382250</v>
      </c>
      <c r="BC41" s="112">
        <f t="shared" si="53"/>
        <v>0</v>
      </c>
      <c r="BD41" s="112">
        <f t="shared" si="53"/>
        <v>0</v>
      </c>
      <c r="BE41" s="112">
        <f t="shared" si="53"/>
        <v>0</v>
      </c>
      <c r="BF41" s="112">
        <f t="shared" si="53"/>
        <v>0</v>
      </c>
      <c r="BG41" s="112">
        <f t="shared" si="53"/>
        <v>0</v>
      </c>
      <c r="BH41" s="112">
        <f t="shared" si="53"/>
        <v>0</v>
      </c>
      <c r="BI41" s="112">
        <f t="shared" si="53"/>
        <v>0</v>
      </c>
      <c r="BJ41" s="112">
        <f t="shared" si="53"/>
        <v>0</v>
      </c>
      <c r="BK41" s="112">
        <f t="shared" si="53"/>
        <v>4201720</v>
      </c>
      <c r="BL41" s="112">
        <f t="shared" si="53"/>
        <v>4196030</v>
      </c>
      <c r="BM41" s="112">
        <f t="shared" si="53"/>
        <v>5690</v>
      </c>
      <c r="BN41" s="14"/>
      <c r="BO41" s="95">
        <f t="shared" si="25"/>
        <v>0.1098657541</v>
      </c>
      <c r="BP41" s="95">
        <f t="shared" si="26"/>
        <v>0</v>
      </c>
      <c r="BQ41" s="95">
        <f t="shared" si="27"/>
        <v>0.7910977758</v>
      </c>
      <c r="BR41" s="95">
        <f t="shared" si="28"/>
        <v>0.009294499801</v>
      </c>
      <c r="BS41" s="95">
        <f t="shared" si="29"/>
        <v>0</v>
      </c>
      <c r="BT41" s="95">
        <f t="shared" si="30"/>
        <v>0.09109801408</v>
      </c>
      <c r="BU41" s="95">
        <f t="shared" si="31"/>
        <v>0</v>
      </c>
      <c r="BV41" s="95">
        <f t="shared" si="32"/>
        <v>1.001356044</v>
      </c>
      <c r="BW41" s="95">
        <f t="shared" si="33"/>
        <v>1</v>
      </c>
    </row>
    <row r="42" ht="14.25" customHeight="1">
      <c r="A42" s="181"/>
      <c r="B42" s="7"/>
      <c r="C42" s="14"/>
      <c r="D42" s="182">
        <v>383.0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250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4196030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461000</v>
      </c>
      <c r="AR47" s="136">
        <f t="shared" si="54"/>
        <v>0</v>
      </c>
      <c r="AS47" s="136">
        <f t="shared" ref="AS47:AU47" si="55">AU41</f>
        <v>0</v>
      </c>
      <c r="AT47" s="136">
        <f t="shared" si="55"/>
        <v>0</v>
      </c>
      <c r="AU47" s="136">
        <f t="shared" si="55"/>
        <v>39000</v>
      </c>
      <c r="AV47" s="136">
        <f>AZ41</f>
        <v>0</v>
      </c>
      <c r="AW47" s="136">
        <f>BD41+BF41+BH41+BB41</f>
        <v>382250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0.1098657541</v>
      </c>
      <c r="AR48" s="113">
        <f t="shared" si="56"/>
        <v>0</v>
      </c>
      <c r="AS48" s="113">
        <f t="shared" si="56"/>
        <v>0</v>
      </c>
      <c r="AT48" s="113">
        <f t="shared" si="56"/>
        <v>0</v>
      </c>
      <c r="AU48" s="113">
        <f t="shared" si="56"/>
        <v>0.009294499801</v>
      </c>
      <c r="AV48" s="113">
        <f t="shared" si="56"/>
        <v>0</v>
      </c>
      <c r="AW48" s="113">
        <f t="shared" si="56"/>
        <v>0.09109801408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2.0"/>
    <col customWidth="1" min="11" max="11" width="15.29"/>
    <col customWidth="1" min="12" max="17" width="10.71"/>
    <col customWidth="1" min="18" max="19" width="8.43"/>
    <col customWidth="1" min="20" max="20" width="12.43"/>
    <col customWidth="1" min="21" max="21" width="10.71"/>
    <col customWidth="1" min="22" max="22" width="12.29"/>
    <col customWidth="1" min="23" max="23" width="10.0"/>
    <col customWidth="1" min="24" max="25" width="8.43"/>
    <col customWidth="1" min="26" max="29" width="11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82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2" t="s">
        <v>83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202">
        <v>0.0</v>
      </c>
      <c r="D9" s="167">
        <v>226.0</v>
      </c>
      <c r="E9" s="165">
        <f t="shared" ref="E9:E40" si="2">IF(C9="","",C9+D9-1)</f>
        <v>225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38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14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 t="shared" ref="AA9:AA27" si="8">Z9*21%</f>
        <v>0</v>
      </c>
      <c r="AB9" s="166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/>
      <c r="AT9" s="90">
        <v>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68">
        <f>'LUCERO RECOLETA'!A10</f>
        <v>46144</v>
      </c>
      <c r="B10" s="162"/>
      <c r="C10" s="163">
        <v>0.0</v>
      </c>
      <c r="D10" s="165">
        <f t="shared" ref="D10:D27" si="34">E9+1</f>
        <v>226</v>
      </c>
      <c r="E10" s="165">
        <f t="shared" si="2"/>
        <v>225</v>
      </c>
      <c r="F10" s="73"/>
      <c r="G10" s="74"/>
      <c r="H10" s="75"/>
      <c r="I10" s="75"/>
      <c r="J10" s="76"/>
      <c r="K10" s="83">
        <f t="shared" si="3"/>
        <v>0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f t="shared" si="8"/>
        <v>0</v>
      </c>
      <c r="AB10" s="166"/>
      <c r="AC10" s="81">
        <f t="shared" si="9"/>
        <v>0</v>
      </c>
      <c r="AD10" s="84">
        <f t="shared" si="10"/>
        <v>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0</v>
      </c>
      <c r="AQ10" s="98"/>
      <c r="AR10" s="88"/>
      <c r="AS10" s="89"/>
      <c r="AT10" s="187">
        <v>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0</v>
      </c>
      <c r="BL10" s="93">
        <f t="shared" si="23"/>
        <v>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0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0</v>
      </c>
      <c r="BW10" s="95">
        <f t="shared" si="33"/>
        <v>0</v>
      </c>
    </row>
    <row r="11" ht="15.75" customHeight="1">
      <c r="A11" s="168">
        <f>'LUCERO RECOLETA'!A11</f>
        <v>46145</v>
      </c>
      <c r="B11" s="162"/>
      <c r="C11" s="163">
        <v>0.0</v>
      </c>
      <c r="D11" s="165">
        <f t="shared" si="34"/>
        <v>226</v>
      </c>
      <c r="E11" s="165">
        <f t="shared" si="2"/>
        <v>225</v>
      </c>
      <c r="F11" s="73"/>
      <c r="G11" s="74"/>
      <c r="H11" s="75"/>
      <c r="I11" s="75"/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si="8"/>
        <v>0</v>
      </c>
      <c r="AB11" s="166"/>
      <c r="AC11" s="81">
        <f t="shared" si="9"/>
        <v>0</v>
      </c>
      <c r="AD11" s="84">
        <f t="shared" si="10"/>
        <v>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0</v>
      </c>
      <c r="AQ11" s="98"/>
      <c r="AR11" s="88"/>
      <c r="AS11" s="89"/>
      <c r="AT11" s="90"/>
      <c r="AU11" s="75"/>
      <c r="AV11" s="75"/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0</v>
      </c>
      <c r="BL11" s="93">
        <f t="shared" si="23"/>
        <v>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0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0</v>
      </c>
      <c r="BW11" s="95">
        <f t="shared" si="33"/>
        <v>0</v>
      </c>
    </row>
    <row r="12" ht="15.75" customHeight="1">
      <c r="A12" s="168">
        <f>'LUCERO RECOLETA'!A12</f>
        <v>46146</v>
      </c>
      <c r="B12" s="162"/>
      <c r="C12" s="163">
        <v>0.0</v>
      </c>
      <c r="D12" s="165">
        <f t="shared" si="34"/>
        <v>226</v>
      </c>
      <c r="E12" s="165">
        <f t="shared" si="2"/>
        <v>225</v>
      </c>
      <c r="F12" s="73"/>
      <c r="G12" s="74"/>
      <c r="H12" s="75"/>
      <c r="I12" s="75"/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8"/>
        <v>0</v>
      </c>
      <c r="AB12" s="166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170">
        <v>0.0</v>
      </c>
      <c r="AR12" s="88"/>
      <c r="AS12" s="89"/>
      <c r="AT12" s="187">
        <v>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31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0</v>
      </c>
      <c r="BL12" s="93">
        <f t="shared" si="23"/>
        <v>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0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0</v>
      </c>
      <c r="BW12" s="95">
        <f t="shared" si="33"/>
        <v>0</v>
      </c>
    </row>
    <row r="13" ht="15.75" customHeight="1">
      <c r="A13" s="168">
        <f>'LUCERO RECOLETA'!A13</f>
        <v>46147</v>
      </c>
      <c r="B13" s="162"/>
      <c r="C13" s="163">
        <v>2.0</v>
      </c>
      <c r="D13" s="165">
        <f t="shared" si="34"/>
        <v>226</v>
      </c>
      <c r="E13" s="165">
        <f t="shared" si="2"/>
        <v>227</v>
      </c>
      <c r="F13" s="73"/>
      <c r="G13" s="74"/>
      <c r="H13" s="169">
        <v>28909.09</v>
      </c>
      <c r="I13" s="169">
        <v>6070.91</v>
      </c>
      <c r="J13" s="76"/>
      <c r="K13" s="83">
        <f t="shared" si="3"/>
        <v>34980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8"/>
        <v>0</v>
      </c>
      <c r="AB13" s="166"/>
      <c r="AC13" s="81">
        <f t="shared" si="9"/>
        <v>0</v>
      </c>
      <c r="AD13" s="84">
        <f t="shared" si="10"/>
        <v>34980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-34980</v>
      </c>
      <c r="AQ13" s="170">
        <v>0.0</v>
      </c>
      <c r="AR13" s="96"/>
      <c r="AS13" s="90"/>
      <c r="AT13" s="187">
        <v>34980.0</v>
      </c>
      <c r="AU13" s="75"/>
      <c r="AV13" s="75"/>
      <c r="AW13" s="90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34980</v>
      </c>
      <c r="BL13" s="93">
        <f t="shared" si="23"/>
        <v>34980</v>
      </c>
      <c r="BM13" s="94">
        <f t="shared" si="24"/>
        <v>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1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</v>
      </c>
      <c r="BW13" s="95">
        <f t="shared" si="33"/>
        <v>0.01778210305</v>
      </c>
    </row>
    <row r="14" ht="15.75" customHeight="1">
      <c r="A14" s="168">
        <f>'LUCERO RECOLETA'!A14</f>
        <v>46148</v>
      </c>
      <c r="B14" s="162"/>
      <c r="C14" s="163">
        <v>4.0</v>
      </c>
      <c r="D14" s="165">
        <f t="shared" si="34"/>
        <v>228</v>
      </c>
      <c r="E14" s="165">
        <f t="shared" si="2"/>
        <v>231</v>
      </c>
      <c r="F14" s="73"/>
      <c r="G14" s="74"/>
      <c r="H14" s="169">
        <v>183429.75</v>
      </c>
      <c r="I14" s="169">
        <v>38520.25</v>
      </c>
      <c r="J14" s="76"/>
      <c r="K14" s="83">
        <f t="shared" si="3"/>
        <v>221950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8"/>
        <v>0</v>
      </c>
      <c r="AB14" s="166"/>
      <c r="AC14" s="81">
        <f t="shared" si="9"/>
        <v>0</v>
      </c>
      <c r="AD14" s="84">
        <f t="shared" si="10"/>
        <v>221950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-221950</v>
      </c>
      <c r="AQ14" s="170">
        <v>0.0</v>
      </c>
      <c r="AR14" s="96"/>
      <c r="AS14" s="90"/>
      <c r="AT14" s="187">
        <v>221950.0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221950</v>
      </c>
      <c r="BL14" s="93">
        <f t="shared" si="23"/>
        <v>221950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0.1128284097</v>
      </c>
    </row>
    <row r="15" ht="15.75" customHeight="1">
      <c r="A15" s="168">
        <f>'LUCERO RECOLETA'!A15</f>
        <v>46149</v>
      </c>
      <c r="B15" s="162"/>
      <c r="C15" s="163">
        <v>1.0</v>
      </c>
      <c r="D15" s="165">
        <f t="shared" si="34"/>
        <v>232</v>
      </c>
      <c r="E15" s="165">
        <f t="shared" si="2"/>
        <v>232</v>
      </c>
      <c r="F15" s="73"/>
      <c r="G15" s="74"/>
      <c r="H15" s="169">
        <v>111553.72</v>
      </c>
      <c r="I15" s="169">
        <v>23426.28</v>
      </c>
      <c r="J15" s="76"/>
      <c r="K15" s="83">
        <f t="shared" si="3"/>
        <v>134980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71">
        <v>4.0</v>
      </c>
      <c r="S15" s="171">
        <v>4.0</v>
      </c>
      <c r="T15" s="172">
        <v>49571.82</v>
      </c>
      <c r="U15" s="173">
        <v>10410.08</v>
      </c>
      <c r="V15" s="166"/>
      <c r="W15" s="82">
        <f t="shared" si="7"/>
        <v>59981.9</v>
      </c>
      <c r="X15" s="165"/>
      <c r="Y15" s="165"/>
      <c r="Z15" s="79"/>
      <c r="AA15" s="80">
        <f t="shared" si="8"/>
        <v>0</v>
      </c>
      <c r="AB15" s="166"/>
      <c r="AC15" s="81">
        <f t="shared" si="9"/>
        <v>0</v>
      </c>
      <c r="AD15" s="84">
        <f t="shared" si="10"/>
        <v>194961.9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-194960</v>
      </c>
      <c r="AQ15" s="170">
        <v>0.0</v>
      </c>
      <c r="AR15" s="96"/>
      <c r="AS15" s="90"/>
      <c r="AT15" s="187">
        <v>194960.0</v>
      </c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194960</v>
      </c>
      <c r="BL15" s="93">
        <f t="shared" si="23"/>
        <v>194961.9</v>
      </c>
      <c r="BM15" s="94">
        <f t="shared" si="24"/>
        <v>-1.9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0.9999902545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0.9999902545</v>
      </c>
      <c r="BW15" s="95">
        <f t="shared" si="33"/>
        <v>0.09910899362</v>
      </c>
    </row>
    <row r="16" ht="15.75" customHeight="1">
      <c r="A16" s="168">
        <f>'LUCERO RECOLETA'!A16</f>
        <v>46150</v>
      </c>
      <c r="B16" s="162"/>
      <c r="C16" s="163">
        <v>0.0</v>
      </c>
      <c r="D16" s="165">
        <f t="shared" si="34"/>
        <v>233</v>
      </c>
      <c r="E16" s="165">
        <f t="shared" si="2"/>
        <v>232</v>
      </c>
      <c r="F16" s="73"/>
      <c r="G16" s="74"/>
      <c r="H16" s="75"/>
      <c r="I16" s="75"/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ref="U16:U38" si="39">T16*21%</f>
        <v>0</v>
      </c>
      <c r="V16" s="166"/>
      <c r="W16" s="82">
        <f t="shared" si="7"/>
        <v>0</v>
      </c>
      <c r="X16" s="165"/>
      <c r="Y16" s="165"/>
      <c r="Z16" s="79"/>
      <c r="AA16" s="80">
        <f t="shared" si="8"/>
        <v>0</v>
      </c>
      <c r="AB16" s="166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0</v>
      </c>
      <c r="AQ16" s="170">
        <v>0.0</v>
      </c>
      <c r="AR16" s="96"/>
      <c r="AS16" s="90"/>
      <c r="AT16" s="187">
        <v>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0</v>
      </c>
      <c r="BL16" s="93">
        <f t="shared" si="23"/>
        <v>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0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0</v>
      </c>
      <c r="BW16" s="95">
        <f t="shared" si="33"/>
        <v>0</v>
      </c>
    </row>
    <row r="17" ht="15.75" customHeight="1">
      <c r="A17" s="168">
        <f>'LUCERO RECOLETA'!A17</f>
        <v>46151</v>
      </c>
      <c r="B17" s="162"/>
      <c r="C17" s="176">
        <v>0.0</v>
      </c>
      <c r="D17" s="165">
        <f t="shared" si="34"/>
        <v>233</v>
      </c>
      <c r="E17" s="165">
        <f t="shared" si="2"/>
        <v>232</v>
      </c>
      <c r="F17" s="73"/>
      <c r="G17" s="74"/>
      <c r="H17" s="75"/>
      <c r="I17" s="75"/>
      <c r="J17" s="76"/>
      <c r="K17" s="83">
        <f t="shared" si="3"/>
        <v>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39"/>
        <v>0</v>
      </c>
      <c r="V17" s="166"/>
      <c r="W17" s="82">
        <f t="shared" si="7"/>
        <v>0</v>
      </c>
      <c r="X17" s="165"/>
      <c r="Y17" s="165"/>
      <c r="Z17" s="79"/>
      <c r="AA17" s="80">
        <f t="shared" si="8"/>
        <v>0</v>
      </c>
      <c r="AB17" s="166"/>
      <c r="AC17" s="81">
        <f t="shared" si="9"/>
        <v>0</v>
      </c>
      <c r="AD17" s="84">
        <f t="shared" si="10"/>
        <v>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0</v>
      </c>
      <c r="AQ17" s="98"/>
      <c r="AR17" s="96"/>
      <c r="AS17" s="90"/>
      <c r="AT17" s="187">
        <v>0.0</v>
      </c>
      <c r="AU17" s="75"/>
      <c r="AV17" s="75"/>
      <c r="AW17" s="90">
        <v>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0</v>
      </c>
      <c r="BL17" s="93">
        <f t="shared" si="23"/>
        <v>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0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0</v>
      </c>
      <c r="BW17" s="95">
        <f t="shared" si="33"/>
        <v>0</v>
      </c>
    </row>
    <row r="18" ht="15.75" customHeight="1">
      <c r="A18" s="168">
        <f>'LUCERO RECOLETA'!A18</f>
        <v>46152</v>
      </c>
      <c r="B18" s="162"/>
      <c r="C18" s="163">
        <v>0.0</v>
      </c>
      <c r="D18" s="165">
        <f t="shared" si="34"/>
        <v>233</v>
      </c>
      <c r="E18" s="165">
        <f t="shared" si="2"/>
        <v>232</v>
      </c>
      <c r="F18" s="73"/>
      <c r="G18" s="74"/>
      <c r="H18" s="75"/>
      <c r="I18" s="75"/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39"/>
        <v>0</v>
      </c>
      <c r="V18" s="166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98"/>
      <c r="AR18" s="96"/>
      <c r="AS18" s="90"/>
      <c r="AT18" s="90"/>
      <c r="AU18" s="75"/>
      <c r="AV18" s="75"/>
      <c r="AW18" s="90">
        <v>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0</v>
      </c>
      <c r="BL18" s="93">
        <f t="shared" si="23"/>
        <v>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0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</v>
      </c>
      <c r="BW18" s="95">
        <f t="shared" si="33"/>
        <v>0</v>
      </c>
    </row>
    <row r="19" ht="15.75" customHeight="1">
      <c r="A19" s="168">
        <f>'LUCERO RECOLETA'!A19</f>
        <v>46153</v>
      </c>
      <c r="B19" s="162"/>
      <c r="C19" s="163">
        <v>1.0</v>
      </c>
      <c r="D19" s="165">
        <f t="shared" si="34"/>
        <v>233</v>
      </c>
      <c r="E19" s="165">
        <f t="shared" si="2"/>
        <v>233</v>
      </c>
      <c r="F19" s="73"/>
      <c r="G19" s="74"/>
      <c r="H19" s="169">
        <v>107429.75</v>
      </c>
      <c r="I19" s="169">
        <v>22560.25</v>
      </c>
      <c r="J19" s="76"/>
      <c r="K19" s="83">
        <f t="shared" si="3"/>
        <v>129990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39"/>
        <v>0</v>
      </c>
      <c r="V19" s="166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129990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-129990</v>
      </c>
      <c r="AQ19" s="169">
        <v>0.0</v>
      </c>
      <c r="AR19" s="96"/>
      <c r="AS19" s="90"/>
      <c r="AT19" s="187">
        <v>129990.0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129990</v>
      </c>
      <c r="BL19" s="93">
        <f t="shared" si="23"/>
        <v>129990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0.06608049101</v>
      </c>
    </row>
    <row r="20" ht="15.75" customHeight="1">
      <c r="A20" s="168">
        <f>'LUCERO RECOLETA'!A20</f>
        <v>46154</v>
      </c>
      <c r="B20" s="162"/>
      <c r="C20" s="163">
        <v>2.0</v>
      </c>
      <c r="D20" s="165">
        <f t="shared" si="34"/>
        <v>234</v>
      </c>
      <c r="E20" s="165">
        <f t="shared" si="2"/>
        <v>235</v>
      </c>
      <c r="F20" s="73"/>
      <c r="G20" s="74"/>
      <c r="H20" s="169">
        <v>103280.99</v>
      </c>
      <c r="I20" s="169">
        <v>21689.01</v>
      </c>
      <c r="J20" s="76"/>
      <c r="K20" s="83">
        <f t="shared" si="3"/>
        <v>124970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39"/>
        <v>0</v>
      </c>
      <c r="V20" s="166"/>
      <c r="W20" s="82">
        <f t="shared" si="7"/>
        <v>0</v>
      </c>
      <c r="X20" s="165"/>
      <c r="Y20" s="165"/>
      <c r="Z20" s="79"/>
      <c r="AA20" s="80">
        <f t="shared" si="8"/>
        <v>0</v>
      </c>
      <c r="AB20" s="166"/>
      <c r="AC20" s="81">
        <f t="shared" si="9"/>
        <v>0</v>
      </c>
      <c r="AD20" s="84">
        <f t="shared" si="10"/>
        <v>124970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-124970</v>
      </c>
      <c r="AQ20" s="169">
        <v>0.0</v>
      </c>
      <c r="AR20" s="96"/>
      <c r="AS20" s="90"/>
      <c r="AT20" s="187">
        <v>124970.0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124970</v>
      </c>
      <c r="BL20" s="93">
        <f t="shared" si="23"/>
        <v>124970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0.06352857113</v>
      </c>
    </row>
    <row r="21" ht="15.75" customHeight="1">
      <c r="A21" s="168">
        <f>'LUCERO RECOLETA'!A21</f>
        <v>46155</v>
      </c>
      <c r="B21" s="162"/>
      <c r="C21" s="163">
        <v>1.0</v>
      </c>
      <c r="D21" s="165">
        <f t="shared" si="34"/>
        <v>236</v>
      </c>
      <c r="E21" s="165">
        <f t="shared" si="2"/>
        <v>236</v>
      </c>
      <c r="F21" s="73"/>
      <c r="G21" s="74"/>
      <c r="H21" s="169">
        <v>144619.84</v>
      </c>
      <c r="I21" s="169">
        <v>30370.16</v>
      </c>
      <c r="J21" s="76"/>
      <c r="K21" s="83">
        <f t="shared" si="3"/>
        <v>174990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39"/>
        <v>0</v>
      </c>
      <c r="V21" s="166"/>
      <c r="W21" s="82">
        <f t="shared" si="7"/>
        <v>0</v>
      </c>
      <c r="X21" s="165"/>
      <c r="Y21" s="165"/>
      <c r="Z21" s="79"/>
      <c r="AA21" s="80">
        <f t="shared" si="8"/>
        <v>0</v>
      </c>
      <c r="AB21" s="166"/>
      <c r="AC21" s="81">
        <f t="shared" si="9"/>
        <v>0</v>
      </c>
      <c r="AD21" s="84">
        <f t="shared" si="10"/>
        <v>174990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-174990</v>
      </c>
      <c r="AQ21" s="169">
        <v>0.0</v>
      </c>
      <c r="AR21" s="96"/>
      <c r="AS21" s="90"/>
      <c r="AT21" s="187">
        <v>174990.0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174990</v>
      </c>
      <c r="BL21" s="93">
        <f t="shared" si="23"/>
        <v>174990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0.0889562668</v>
      </c>
    </row>
    <row r="22" ht="15.75" customHeight="1">
      <c r="A22" s="168">
        <f>'LUCERO RECOLETA'!A22</f>
        <v>46156</v>
      </c>
      <c r="B22" s="162"/>
      <c r="C22" s="163">
        <v>0.0</v>
      </c>
      <c r="D22" s="165">
        <f t="shared" si="34"/>
        <v>237</v>
      </c>
      <c r="E22" s="165">
        <f t="shared" si="2"/>
        <v>236</v>
      </c>
      <c r="F22" s="73"/>
      <c r="G22" s="74"/>
      <c r="H22" s="75"/>
      <c r="I22" s="75"/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39"/>
        <v>0</v>
      </c>
      <c r="V22" s="166"/>
      <c r="W22" s="82">
        <f t="shared" si="7"/>
        <v>0</v>
      </c>
      <c r="X22" s="165"/>
      <c r="Y22" s="165"/>
      <c r="Z22" s="79"/>
      <c r="AA22" s="80">
        <f t="shared" si="8"/>
        <v>0</v>
      </c>
      <c r="AB22" s="166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169">
        <v>0.0</v>
      </c>
      <c r="AR22" s="96"/>
      <c r="AS22" s="90"/>
      <c r="AT22" s="187">
        <v>0.0</v>
      </c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0</v>
      </c>
      <c r="BL22" s="93">
        <f t="shared" si="23"/>
        <v>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0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0</v>
      </c>
      <c r="BW22" s="95">
        <f t="shared" si="33"/>
        <v>0</v>
      </c>
    </row>
    <row r="23" ht="15.75" customHeight="1">
      <c r="A23" s="168">
        <f>'LUCERO RECOLETA'!A23</f>
        <v>46157</v>
      </c>
      <c r="B23" s="162"/>
      <c r="C23" s="163">
        <v>1.0</v>
      </c>
      <c r="D23" s="165">
        <f t="shared" si="34"/>
        <v>237</v>
      </c>
      <c r="E23" s="165">
        <f t="shared" si="2"/>
        <v>237</v>
      </c>
      <c r="F23" s="73"/>
      <c r="G23" s="74"/>
      <c r="H23" s="169">
        <v>82636.36</v>
      </c>
      <c r="I23" s="169">
        <v>17353.64</v>
      </c>
      <c r="J23" s="76"/>
      <c r="K23" s="83">
        <f t="shared" si="3"/>
        <v>99990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39"/>
        <v>0</v>
      </c>
      <c r="V23" s="166"/>
      <c r="W23" s="82">
        <f t="shared" si="7"/>
        <v>0</v>
      </c>
      <c r="X23" s="165"/>
      <c r="Y23" s="165"/>
      <c r="Z23" s="79"/>
      <c r="AA23" s="80">
        <f t="shared" si="8"/>
        <v>0</v>
      </c>
      <c r="AB23" s="166"/>
      <c r="AC23" s="81">
        <f t="shared" si="9"/>
        <v>0</v>
      </c>
      <c r="AD23" s="84">
        <f t="shared" si="10"/>
        <v>99990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-99990</v>
      </c>
      <c r="AQ23" s="169">
        <v>0.0</v>
      </c>
      <c r="AR23" s="96"/>
      <c r="AS23" s="90"/>
      <c r="AT23" s="187">
        <v>99990.0</v>
      </c>
      <c r="AU23" s="75"/>
      <c r="AV23" s="75"/>
      <c r="AW23" s="90">
        <v>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99990</v>
      </c>
      <c r="BL23" s="93">
        <f t="shared" si="23"/>
        <v>99990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1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0.05082997381</v>
      </c>
    </row>
    <row r="24" ht="15.75" customHeight="1">
      <c r="A24" s="168">
        <f>'LUCERO RECOLETA'!A24</f>
        <v>46158</v>
      </c>
      <c r="B24" s="162"/>
      <c r="C24" s="176">
        <v>0.0</v>
      </c>
      <c r="D24" s="165">
        <f t="shared" si="34"/>
        <v>238</v>
      </c>
      <c r="E24" s="165">
        <f t="shared" si="2"/>
        <v>237</v>
      </c>
      <c r="F24" s="73"/>
      <c r="G24" s="74"/>
      <c r="H24" s="75"/>
      <c r="I24" s="75"/>
      <c r="J24" s="76"/>
      <c r="K24" s="83">
        <f t="shared" si="3"/>
        <v>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79"/>
      <c r="U24" s="80">
        <f t="shared" si="39"/>
        <v>0</v>
      </c>
      <c r="V24" s="166"/>
      <c r="W24" s="82">
        <f t="shared" si="7"/>
        <v>0</v>
      </c>
      <c r="X24" s="165"/>
      <c r="Y24" s="165"/>
      <c r="Z24" s="79"/>
      <c r="AA24" s="80">
        <f t="shared" si="8"/>
        <v>0</v>
      </c>
      <c r="AB24" s="166"/>
      <c r="AC24" s="81">
        <f t="shared" si="9"/>
        <v>0</v>
      </c>
      <c r="AD24" s="84">
        <f t="shared" si="10"/>
        <v>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0</v>
      </c>
      <c r="AQ24" s="98"/>
      <c r="AR24" s="96"/>
      <c r="AS24" s="90"/>
      <c r="AT24" s="187">
        <v>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0</v>
      </c>
      <c r="BL24" s="93">
        <f t="shared" si="23"/>
        <v>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0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</v>
      </c>
      <c r="BW24" s="95">
        <f t="shared" si="33"/>
        <v>0</v>
      </c>
    </row>
    <row r="25" ht="15.75" customHeight="1">
      <c r="A25" s="168">
        <f>'LUCERO RECOLETA'!A25</f>
        <v>46159</v>
      </c>
      <c r="B25" s="162"/>
      <c r="C25" s="176">
        <v>0.0</v>
      </c>
      <c r="D25" s="165">
        <f t="shared" si="34"/>
        <v>238</v>
      </c>
      <c r="E25" s="165">
        <f t="shared" si="2"/>
        <v>237</v>
      </c>
      <c r="F25" s="73"/>
      <c r="G25" s="74"/>
      <c r="H25" s="75"/>
      <c r="I25" s="75"/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79"/>
      <c r="U25" s="80">
        <f t="shared" si="39"/>
        <v>0</v>
      </c>
      <c r="V25" s="166"/>
      <c r="W25" s="82">
        <f t="shared" si="7"/>
        <v>0</v>
      </c>
      <c r="X25" s="165"/>
      <c r="Y25" s="165"/>
      <c r="Z25" s="79"/>
      <c r="AA25" s="80">
        <f t="shared" si="8"/>
        <v>0</v>
      </c>
      <c r="AB25" s="166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98"/>
      <c r="AR25" s="97"/>
      <c r="AS25" s="90"/>
      <c r="AT25" s="90"/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0</v>
      </c>
      <c r="BL25" s="93">
        <f t="shared" si="23"/>
        <v>0</v>
      </c>
      <c r="BM25" s="94">
        <f t="shared" si="24"/>
        <v>0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0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0</v>
      </c>
      <c r="BW25" s="95">
        <f t="shared" si="33"/>
        <v>0</v>
      </c>
    </row>
    <row r="26" ht="15.75" customHeight="1">
      <c r="A26" s="168">
        <f>'LUCERO RECOLETA'!A26</f>
        <v>46160</v>
      </c>
      <c r="B26" s="162"/>
      <c r="C26" s="163">
        <v>2.0</v>
      </c>
      <c r="D26" s="165">
        <f t="shared" si="34"/>
        <v>238</v>
      </c>
      <c r="E26" s="165">
        <f t="shared" si="2"/>
        <v>239</v>
      </c>
      <c r="F26" s="73"/>
      <c r="G26" s="74"/>
      <c r="H26" s="169">
        <v>181801.65</v>
      </c>
      <c r="I26" s="169">
        <v>38178.35</v>
      </c>
      <c r="J26" s="76"/>
      <c r="K26" s="83">
        <f t="shared" si="3"/>
        <v>219980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39"/>
        <v>0</v>
      </c>
      <c r="V26" s="166"/>
      <c r="W26" s="82">
        <f t="shared" si="7"/>
        <v>0</v>
      </c>
      <c r="X26" s="165"/>
      <c r="Y26" s="165"/>
      <c r="Z26" s="79"/>
      <c r="AA26" s="80">
        <f t="shared" si="8"/>
        <v>0</v>
      </c>
      <c r="AB26" s="166"/>
      <c r="AC26" s="81">
        <f t="shared" si="9"/>
        <v>0</v>
      </c>
      <c r="AD26" s="84">
        <f t="shared" si="10"/>
        <v>219980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-210000</v>
      </c>
      <c r="AQ26" s="75">
        <f>110000+100000</f>
        <v>210000</v>
      </c>
      <c r="AR26" s="96"/>
      <c r="AS26" s="90"/>
      <c r="AT26" s="187">
        <v>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210000</v>
      </c>
      <c r="BL26" s="93">
        <f t="shared" si="23"/>
        <v>219980</v>
      </c>
      <c r="BM26" s="94">
        <f t="shared" si="24"/>
        <v>-9980</v>
      </c>
      <c r="BN26" s="14"/>
      <c r="BO26" s="95">
        <f t="shared" si="25"/>
        <v>0.9546322393</v>
      </c>
      <c r="BP26" s="95">
        <f t="shared" si="26"/>
        <v>0</v>
      </c>
      <c r="BQ26" s="95">
        <f t="shared" si="27"/>
        <v>0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0.9546322393</v>
      </c>
      <c r="BW26" s="95">
        <f t="shared" si="33"/>
        <v>0.1118269591</v>
      </c>
    </row>
    <row r="27" ht="15.75" customHeight="1">
      <c r="A27" s="168">
        <f>'LUCERO RECOLETA'!A27</f>
        <v>46161</v>
      </c>
      <c r="B27" s="162"/>
      <c r="C27" s="163">
        <v>0.0</v>
      </c>
      <c r="D27" s="165">
        <f t="shared" si="34"/>
        <v>240</v>
      </c>
      <c r="E27" s="165">
        <f t="shared" si="2"/>
        <v>239</v>
      </c>
      <c r="F27" s="73"/>
      <c r="G27" s="74"/>
      <c r="H27" s="75"/>
      <c r="I27" s="75"/>
      <c r="J27" s="76"/>
      <c r="K27" s="83">
        <f t="shared" si="3"/>
        <v>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39"/>
        <v>0</v>
      </c>
      <c r="V27" s="166"/>
      <c r="W27" s="82">
        <f t="shared" si="7"/>
        <v>0</v>
      </c>
      <c r="X27" s="165"/>
      <c r="Y27" s="165"/>
      <c r="Z27" s="79"/>
      <c r="AA27" s="80">
        <f t="shared" si="8"/>
        <v>0</v>
      </c>
      <c r="AB27" s="166"/>
      <c r="AC27" s="81">
        <f t="shared" si="9"/>
        <v>0</v>
      </c>
      <c r="AD27" s="84">
        <f t="shared" si="10"/>
        <v>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0</v>
      </c>
      <c r="AQ27" s="169">
        <v>0.0</v>
      </c>
      <c r="AR27" s="96"/>
      <c r="AS27" s="90"/>
      <c r="AT27" s="187">
        <v>0.0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0</v>
      </c>
      <c r="BL27" s="93">
        <f t="shared" si="23"/>
        <v>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0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0</v>
      </c>
      <c r="BW27" s="95">
        <f t="shared" si="33"/>
        <v>0</v>
      </c>
    </row>
    <row r="28" ht="15.75" customHeight="1">
      <c r="A28" s="168">
        <f>'LUCERO RECOLETA'!A28</f>
        <v>46162</v>
      </c>
      <c r="B28" s="162"/>
      <c r="C28" s="163">
        <v>2.0</v>
      </c>
      <c r="D28" s="165">
        <f>E21+1</f>
        <v>237</v>
      </c>
      <c r="E28" s="165">
        <f t="shared" si="2"/>
        <v>238</v>
      </c>
      <c r="F28" s="73"/>
      <c r="G28" s="74"/>
      <c r="H28" s="169">
        <v>139590.5</v>
      </c>
      <c r="I28" s="169">
        <v>29314.0</v>
      </c>
      <c r="J28" s="76"/>
      <c r="K28" s="83">
        <f t="shared" si="3"/>
        <v>168904.5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39"/>
        <v>0</v>
      </c>
      <c r="V28" s="166"/>
      <c r="W28" s="82">
        <f t="shared" si="7"/>
        <v>0</v>
      </c>
      <c r="X28" s="165"/>
      <c r="Y28" s="165"/>
      <c r="Z28" s="172"/>
      <c r="AA28" s="173">
        <v>0.0</v>
      </c>
      <c r="AB28" s="166"/>
      <c r="AC28" s="81">
        <f t="shared" si="9"/>
        <v>0</v>
      </c>
      <c r="AD28" s="84">
        <f t="shared" si="10"/>
        <v>168904.5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-168960</v>
      </c>
      <c r="AQ28" s="169">
        <v>6000.0</v>
      </c>
      <c r="AR28" s="99"/>
      <c r="AS28" s="90"/>
      <c r="AT28" s="187">
        <v>162960.0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168960</v>
      </c>
      <c r="BL28" s="93">
        <f t="shared" si="23"/>
        <v>168904.5</v>
      </c>
      <c r="BM28" s="94">
        <f t="shared" si="24"/>
        <v>55.5</v>
      </c>
      <c r="BN28" s="13"/>
      <c r="BO28" s="95">
        <f t="shared" si="25"/>
        <v>0.03552303225</v>
      </c>
      <c r="BP28" s="95">
        <f t="shared" si="26"/>
        <v>0</v>
      </c>
      <c r="BQ28" s="95">
        <f t="shared" si="27"/>
        <v>0.9648055558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1.000328588</v>
      </c>
      <c r="BW28" s="95">
        <f t="shared" si="33"/>
        <v>0.08586269939</v>
      </c>
    </row>
    <row r="29" ht="15.75" customHeight="1">
      <c r="A29" s="168">
        <f>'LUCERO RECOLETA'!A29</f>
        <v>46163</v>
      </c>
      <c r="B29" s="162"/>
      <c r="C29" s="163">
        <v>0.0</v>
      </c>
      <c r="D29" s="165">
        <f t="shared" ref="D29:D37" si="40">E28+1</f>
        <v>239</v>
      </c>
      <c r="E29" s="165">
        <f t="shared" si="2"/>
        <v>238</v>
      </c>
      <c r="F29" s="73"/>
      <c r="G29" s="74"/>
      <c r="H29" s="75"/>
      <c r="I29" s="75"/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39"/>
        <v>0</v>
      </c>
      <c r="V29" s="166"/>
      <c r="W29" s="82">
        <f t="shared" si="7"/>
        <v>0</v>
      </c>
      <c r="X29" s="165"/>
      <c r="Y29" s="165"/>
      <c r="Z29" s="79"/>
      <c r="AA29" s="80">
        <f t="shared" ref="AA29:AA38" si="41">Z29*21%</f>
        <v>0</v>
      </c>
      <c r="AB29" s="166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178">
        <v>0.0</v>
      </c>
      <c r="AR29" s="99"/>
      <c r="AS29" s="90"/>
      <c r="AT29" s="187">
        <v>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0</v>
      </c>
      <c r="BL29" s="93">
        <f t="shared" si="23"/>
        <v>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</v>
      </c>
      <c r="BW29" s="95">
        <f t="shared" si="33"/>
        <v>0</v>
      </c>
    </row>
    <row r="30" ht="15.75" customHeight="1">
      <c r="A30" s="168">
        <f>'LUCERO RECOLETA'!A30</f>
        <v>46164</v>
      </c>
      <c r="B30" s="162"/>
      <c r="C30" s="163">
        <v>0.0</v>
      </c>
      <c r="D30" s="165">
        <f t="shared" si="40"/>
        <v>239</v>
      </c>
      <c r="E30" s="165">
        <f t="shared" si="2"/>
        <v>238</v>
      </c>
      <c r="F30" s="73"/>
      <c r="G30" s="74"/>
      <c r="H30" s="75"/>
      <c r="I30" s="75"/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39"/>
        <v>0</v>
      </c>
      <c r="V30" s="166"/>
      <c r="W30" s="82">
        <f t="shared" si="7"/>
        <v>0</v>
      </c>
      <c r="X30" s="165"/>
      <c r="Y30" s="165"/>
      <c r="Z30" s="79"/>
      <c r="AA30" s="80">
        <f t="shared" si="41"/>
        <v>0</v>
      </c>
      <c r="AB30" s="166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178">
        <v>0.0</v>
      </c>
      <c r="AR30" s="99"/>
      <c r="AS30" s="90"/>
      <c r="AT30" s="187">
        <v>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0</v>
      </c>
      <c r="BL30" s="93">
        <f t="shared" si="23"/>
        <v>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0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</v>
      </c>
      <c r="BW30" s="95">
        <f t="shared" si="33"/>
        <v>0</v>
      </c>
    </row>
    <row r="31" ht="15.75" customHeight="1">
      <c r="A31" s="168">
        <f>'LUCERO RECOLETA'!A31</f>
        <v>46165</v>
      </c>
      <c r="B31" s="162"/>
      <c r="C31" s="163">
        <v>0.0</v>
      </c>
      <c r="D31" s="165">
        <f t="shared" si="40"/>
        <v>239</v>
      </c>
      <c r="E31" s="165">
        <f t="shared" si="2"/>
        <v>238</v>
      </c>
      <c r="F31" s="73"/>
      <c r="G31" s="74"/>
      <c r="H31" s="75"/>
      <c r="I31" s="75"/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39"/>
        <v>0</v>
      </c>
      <c r="V31" s="166"/>
      <c r="W31" s="82">
        <f t="shared" si="7"/>
        <v>0</v>
      </c>
      <c r="X31" s="203"/>
      <c r="Y31" s="203"/>
      <c r="Z31" s="79"/>
      <c r="AA31" s="80">
        <f t="shared" si="41"/>
        <v>0</v>
      </c>
      <c r="AB31" s="166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98"/>
      <c r="AR31" s="96"/>
      <c r="AS31" s="90"/>
      <c r="AT31" s="187">
        <v>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0</v>
      </c>
      <c r="BL31" s="93">
        <f t="shared" si="23"/>
        <v>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0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</v>
      </c>
      <c r="BW31" s="95">
        <f t="shared" si="33"/>
        <v>0</v>
      </c>
    </row>
    <row r="32" ht="15.75" customHeight="1">
      <c r="A32" s="168">
        <f>'LUCERO RECOLETA'!A32</f>
        <v>46166</v>
      </c>
      <c r="B32" s="162"/>
      <c r="C32" s="163">
        <v>0.0</v>
      </c>
      <c r="D32" s="165">
        <f t="shared" si="40"/>
        <v>239</v>
      </c>
      <c r="E32" s="165">
        <f t="shared" si="2"/>
        <v>238</v>
      </c>
      <c r="F32" s="73"/>
      <c r="G32" s="74"/>
      <c r="H32" s="75"/>
      <c r="I32" s="75"/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39"/>
        <v>0</v>
      </c>
      <c r="V32" s="166"/>
      <c r="W32" s="82">
        <f t="shared" si="7"/>
        <v>0</v>
      </c>
      <c r="X32" s="165"/>
      <c r="Y32" s="165"/>
      <c r="Z32" s="79"/>
      <c r="AA32" s="80">
        <f t="shared" si="41"/>
        <v>0</v>
      </c>
      <c r="AB32" s="166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98"/>
      <c r="AR32" s="96"/>
      <c r="AS32" s="90"/>
      <c r="AT32" s="90"/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>BA32*1400</f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0</v>
      </c>
      <c r="BL32" s="93">
        <f t="shared" si="23"/>
        <v>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0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0</v>
      </c>
      <c r="BW32" s="95">
        <f t="shared" si="33"/>
        <v>0</v>
      </c>
    </row>
    <row r="33" ht="15.75" customHeight="1">
      <c r="A33" s="168">
        <f>'LUCERO RECOLETA'!A33</f>
        <v>46167</v>
      </c>
      <c r="B33" s="162"/>
      <c r="C33" s="176">
        <v>0.0</v>
      </c>
      <c r="D33" s="165">
        <f t="shared" si="40"/>
        <v>239</v>
      </c>
      <c r="E33" s="165">
        <f t="shared" si="2"/>
        <v>238</v>
      </c>
      <c r="F33" s="73"/>
      <c r="G33" s="74"/>
      <c r="H33" s="75"/>
      <c r="I33" s="75"/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39"/>
        <v>0</v>
      </c>
      <c r="V33" s="166"/>
      <c r="W33" s="82">
        <f t="shared" si="7"/>
        <v>0</v>
      </c>
      <c r="X33" s="165"/>
      <c r="Y33" s="165"/>
      <c r="Z33" s="79"/>
      <c r="AA33" s="80">
        <f t="shared" si="41"/>
        <v>0</v>
      </c>
      <c r="AB33" s="166"/>
      <c r="AC33" s="81">
        <f t="shared" si="9"/>
        <v>0</v>
      </c>
      <c r="AD33" s="84">
        <f t="shared" si="10"/>
        <v>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0</v>
      </c>
      <c r="AQ33" s="98"/>
      <c r="AR33" s="96"/>
      <c r="AS33" s="90"/>
      <c r="AT33" s="90"/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>BA33*BB$2</f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0</v>
      </c>
      <c r="BL33" s="93">
        <f t="shared" si="23"/>
        <v>0</v>
      </c>
      <c r="BM33" s="94">
        <f t="shared" si="24"/>
        <v>0</v>
      </c>
      <c r="BN33" s="13"/>
      <c r="BO33" s="95">
        <f t="shared" si="25"/>
        <v>0</v>
      </c>
      <c r="BP33" s="95">
        <f t="shared" si="26"/>
        <v>0</v>
      </c>
      <c r="BQ33" s="95">
        <f t="shared" si="27"/>
        <v>0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0</v>
      </c>
      <c r="BW33" s="95">
        <f t="shared" si="33"/>
        <v>0</v>
      </c>
    </row>
    <row r="34" ht="15.75" customHeight="1">
      <c r="A34" s="168">
        <f>'LUCERO RECOLETA'!A34</f>
        <v>46168</v>
      </c>
      <c r="B34" s="162"/>
      <c r="C34" s="176">
        <v>0.0</v>
      </c>
      <c r="D34" s="165">
        <f t="shared" si="40"/>
        <v>239</v>
      </c>
      <c r="E34" s="165">
        <f t="shared" si="2"/>
        <v>238</v>
      </c>
      <c r="F34" s="73"/>
      <c r="G34" s="74"/>
      <c r="H34" s="75"/>
      <c r="I34" s="75"/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39"/>
        <v>0</v>
      </c>
      <c r="V34" s="166"/>
      <c r="W34" s="82">
        <f t="shared" si="7"/>
        <v>0</v>
      </c>
      <c r="X34" s="165"/>
      <c r="Y34" s="165"/>
      <c r="Z34" s="79"/>
      <c r="AA34" s="80">
        <f t="shared" si="41"/>
        <v>0</v>
      </c>
      <c r="AB34" s="166"/>
      <c r="AC34" s="81">
        <f t="shared" si="9"/>
        <v>0</v>
      </c>
      <c r="AD34" s="84">
        <f t="shared" si="10"/>
        <v>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0</v>
      </c>
      <c r="AQ34" s="178">
        <v>0.0</v>
      </c>
      <c r="AR34" s="96"/>
      <c r="AS34" s="90"/>
      <c r="AT34" s="187">
        <v>0.0</v>
      </c>
      <c r="AU34" s="75"/>
      <c r="AV34" s="75"/>
      <c r="AW34" s="90">
        <v>0.0</v>
      </c>
      <c r="AX34" s="88"/>
      <c r="AY34" s="75"/>
      <c r="AZ34" s="90">
        <f t="shared" ref="AZ34:AZ40" si="42">AY34*AZ$3</f>
        <v>0</v>
      </c>
      <c r="BA34" s="75"/>
      <c r="BB34" s="90">
        <f>BA34*BB$3</f>
        <v>0</v>
      </c>
      <c r="BC34" s="75"/>
      <c r="BD34" s="90">
        <f t="shared" ref="BD34:BD40" si="43">BC34*BD$3</f>
        <v>0</v>
      </c>
      <c r="BE34" s="75"/>
      <c r="BF34" s="90">
        <f t="shared" ref="BF34:BF40" si="44">BE34*BF$3</f>
        <v>0</v>
      </c>
      <c r="BG34" s="75"/>
      <c r="BH34" s="90">
        <f t="shared" ref="BH34:BH40" si="45">BG34*BH$3</f>
        <v>0</v>
      </c>
      <c r="BI34" s="75"/>
      <c r="BJ34" s="90">
        <f t="shared" ref="BJ34:BJ40" si="46">BI34*BJ$3</f>
        <v>0</v>
      </c>
      <c r="BK34" s="92">
        <f t="shared" si="35"/>
        <v>0</v>
      </c>
      <c r="BL34" s="93">
        <f t="shared" si="23"/>
        <v>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0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0</v>
      </c>
      <c r="BW34" s="95">
        <f t="shared" si="33"/>
        <v>0</v>
      </c>
    </row>
    <row r="35" ht="15.75" customHeight="1">
      <c r="A35" s="168">
        <f>'LUCERO RECOLETA'!A35</f>
        <v>46169</v>
      </c>
      <c r="B35" s="162"/>
      <c r="C35" s="163">
        <v>2.0</v>
      </c>
      <c r="D35" s="165">
        <f t="shared" si="40"/>
        <v>239</v>
      </c>
      <c r="E35" s="165">
        <f t="shared" si="2"/>
        <v>240</v>
      </c>
      <c r="F35" s="73"/>
      <c r="G35" s="74"/>
      <c r="H35" s="169">
        <v>380132.23</v>
      </c>
      <c r="I35" s="169">
        <v>79827.77</v>
      </c>
      <c r="J35" s="76"/>
      <c r="K35" s="83">
        <f t="shared" si="3"/>
        <v>459960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39"/>
        <v>0</v>
      </c>
      <c r="V35" s="166"/>
      <c r="W35" s="82">
        <f t="shared" si="7"/>
        <v>0</v>
      </c>
      <c r="X35" s="165"/>
      <c r="Y35" s="165"/>
      <c r="Z35" s="79"/>
      <c r="AA35" s="80">
        <f t="shared" si="41"/>
        <v>0</v>
      </c>
      <c r="AB35" s="166"/>
      <c r="AC35" s="81">
        <f t="shared" si="9"/>
        <v>0</v>
      </c>
      <c r="AD35" s="84">
        <f t="shared" si="10"/>
        <v>459960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-459960</v>
      </c>
      <c r="AQ35" s="178">
        <v>0.0</v>
      </c>
      <c r="AR35" s="96"/>
      <c r="AS35" s="90"/>
      <c r="AT35" s="187">
        <v>459960.0</v>
      </c>
      <c r="AU35" s="75"/>
      <c r="AV35" s="75"/>
      <c r="AW35" s="90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 t="shared" si="46"/>
        <v>0</v>
      </c>
      <c r="BK35" s="92">
        <f t="shared" si="35"/>
        <v>459960</v>
      </c>
      <c r="BL35" s="93">
        <f t="shared" si="23"/>
        <v>459960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1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</v>
      </c>
      <c r="BW35" s="95">
        <f t="shared" si="33"/>
        <v>0.2338209296</v>
      </c>
    </row>
    <row r="36" ht="15.75" customHeight="1">
      <c r="A36" s="168">
        <f>'LUCERO RECOLETA'!A36</f>
        <v>46170</v>
      </c>
      <c r="B36" s="162"/>
      <c r="C36" s="163">
        <v>1.0</v>
      </c>
      <c r="D36" s="165">
        <f t="shared" si="40"/>
        <v>241</v>
      </c>
      <c r="E36" s="165">
        <f t="shared" si="2"/>
        <v>241</v>
      </c>
      <c r="F36" s="73"/>
      <c r="G36" s="74"/>
      <c r="H36" s="169">
        <v>30148.76</v>
      </c>
      <c r="I36" s="169">
        <v>6331.24</v>
      </c>
      <c r="J36" s="76"/>
      <c r="K36" s="83">
        <f t="shared" si="3"/>
        <v>36480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39"/>
        <v>0</v>
      </c>
      <c r="V36" s="166"/>
      <c r="W36" s="82">
        <f t="shared" si="7"/>
        <v>0</v>
      </c>
      <c r="X36" s="165"/>
      <c r="Y36" s="165"/>
      <c r="Z36" s="79"/>
      <c r="AA36" s="80">
        <f t="shared" si="41"/>
        <v>0</v>
      </c>
      <c r="AB36" s="166"/>
      <c r="AC36" s="81">
        <f t="shared" si="9"/>
        <v>0</v>
      </c>
      <c r="AD36" s="84">
        <f t="shared" si="10"/>
        <v>36480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-36480</v>
      </c>
      <c r="AQ36" s="178">
        <v>0.0</v>
      </c>
      <c r="AR36" s="96"/>
      <c r="AS36" s="90"/>
      <c r="AT36" s="187">
        <v>36480.0</v>
      </c>
      <c r="AU36" s="75"/>
      <c r="AV36" s="75"/>
      <c r="AW36" s="90">
        <v>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si="46"/>
        <v>0</v>
      </c>
      <c r="BK36" s="92">
        <f t="shared" si="35"/>
        <v>36480</v>
      </c>
      <c r="BL36" s="93">
        <f t="shared" si="23"/>
        <v>36480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1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</v>
      </c>
      <c r="BW36" s="95">
        <f t="shared" si="33"/>
        <v>0.01854462891</v>
      </c>
    </row>
    <row r="37" ht="15.75" customHeight="1">
      <c r="A37" s="168">
        <f>'LUCERO RECOLETA'!A37</f>
        <v>46171</v>
      </c>
      <c r="B37" s="162"/>
      <c r="C37" s="163">
        <v>1.0</v>
      </c>
      <c r="D37" s="165">
        <f t="shared" si="40"/>
        <v>242</v>
      </c>
      <c r="E37" s="165">
        <f t="shared" si="2"/>
        <v>242</v>
      </c>
      <c r="F37" s="73"/>
      <c r="G37" s="74"/>
      <c r="H37" s="169">
        <v>82636.36</v>
      </c>
      <c r="I37" s="169">
        <v>17353.64</v>
      </c>
      <c r="J37" s="76"/>
      <c r="K37" s="83">
        <f t="shared" si="3"/>
        <v>99990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39"/>
        <v>0</v>
      </c>
      <c r="V37" s="166"/>
      <c r="W37" s="82">
        <f t="shared" si="7"/>
        <v>0</v>
      </c>
      <c r="X37" s="165"/>
      <c r="Y37" s="165"/>
      <c r="Z37" s="79"/>
      <c r="AA37" s="80">
        <f t="shared" si="41"/>
        <v>0</v>
      </c>
      <c r="AB37" s="166"/>
      <c r="AC37" s="81">
        <f t="shared" si="9"/>
        <v>0</v>
      </c>
      <c r="AD37" s="84">
        <f t="shared" si="10"/>
        <v>99990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-99990</v>
      </c>
      <c r="AQ37" s="178">
        <v>0.0</v>
      </c>
      <c r="AR37" s="96"/>
      <c r="AS37" s="90"/>
      <c r="AT37" s="187">
        <v>99990.0</v>
      </c>
      <c r="AU37" s="75"/>
      <c r="AV37" s="75"/>
      <c r="AW37" s="90">
        <v>0.0</v>
      </c>
      <c r="AX37" s="88"/>
      <c r="AY37" s="75"/>
      <c r="AZ37" s="90">
        <f t="shared" si="42"/>
        <v>0</v>
      </c>
      <c r="BA37" s="75"/>
      <c r="BB37" s="90">
        <f>BA37*1460</f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5"/>
        <v>99990</v>
      </c>
      <c r="BL37" s="93">
        <f t="shared" si="23"/>
        <v>99990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1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</v>
      </c>
      <c r="BW37" s="95">
        <f t="shared" si="33"/>
        <v>0.05082997381</v>
      </c>
    </row>
    <row r="38" ht="15.75" customHeight="1">
      <c r="A38" s="168">
        <f>'LUCERO RECOLETA'!A38</f>
        <v>46172</v>
      </c>
      <c r="B38" s="162"/>
      <c r="C38" s="163">
        <v>0.0</v>
      </c>
      <c r="D38" s="165">
        <f>E35+1</f>
        <v>241</v>
      </c>
      <c r="E38" s="165">
        <f t="shared" si="2"/>
        <v>240</v>
      </c>
      <c r="F38" s="73"/>
      <c r="G38" s="74"/>
      <c r="H38" s="75"/>
      <c r="I38" s="75"/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39"/>
        <v>0</v>
      </c>
      <c r="V38" s="166"/>
      <c r="W38" s="82">
        <f t="shared" si="7"/>
        <v>0</v>
      </c>
      <c r="X38" s="165"/>
      <c r="Y38" s="165"/>
      <c r="Z38" s="79"/>
      <c r="AA38" s="80">
        <f t="shared" si="41"/>
        <v>0</v>
      </c>
      <c r="AB38" s="166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>AG38</f>
        <v/>
      </c>
      <c r="AT38" s="187">
        <v>0.0</v>
      </c>
      <c r="AU38" s="75"/>
      <c r="AV38" s="75"/>
      <c r="AW38" s="90">
        <v>0.0</v>
      </c>
      <c r="AX38" s="88"/>
      <c r="AY38" s="75"/>
      <c r="AZ38" s="90">
        <f t="shared" si="42"/>
        <v>0</v>
      </c>
      <c r="BA38" s="75"/>
      <c r="BB38" s="90">
        <f t="shared" ref="BB38:BB40" si="47">BA38*BB$3</f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5"/>
        <v>0</v>
      </c>
      <c r="BL38" s="93">
        <f t="shared" si="23"/>
        <v>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</v>
      </c>
      <c r="BW38" s="95">
        <f t="shared" si="33"/>
        <v>0</v>
      </c>
    </row>
    <row r="39" ht="15.75" customHeight="1">
      <c r="A39" s="168">
        <f>'LUCERO RECOLETA'!A39</f>
        <v>46173</v>
      </c>
      <c r="B39" s="162"/>
      <c r="C39" s="163">
        <v>0.0</v>
      </c>
      <c r="D39" s="165">
        <f>E38+1</f>
        <v>241</v>
      </c>
      <c r="E39" s="165">
        <f t="shared" si="2"/>
        <v>240</v>
      </c>
      <c r="F39" s="73"/>
      <c r="G39" s="74"/>
      <c r="H39" s="75"/>
      <c r="I39" s="75"/>
      <c r="J39" s="76"/>
      <c r="K39" s="83">
        <f t="shared" si="3"/>
        <v>0</v>
      </c>
      <c r="L39" s="189"/>
      <c r="M39" s="189"/>
      <c r="N39" s="79"/>
      <c r="O39" s="80"/>
      <c r="P39" s="166"/>
      <c r="Q39" s="83">
        <f t="shared" si="5"/>
        <v>0</v>
      </c>
      <c r="R39" s="165"/>
      <c r="S39" s="165"/>
      <c r="T39" s="79"/>
      <c r="U39" s="80"/>
      <c r="V39" s="166"/>
      <c r="W39" s="82">
        <f t="shared" si="7"/>
        <v>0</v>
      </c>
      <c r="X39" s="165"/>
      <c r="Y39" s="165"/>
      <c r="Z39" s="79"/>
      <c r="AA39" s="80">
        <v>0.0</v>
      </c>
      <c r="AB39" s="166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75"/>
      <c r="BB39" s="90">
        <f t="shared" si="47"/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>N40*21%</f>
        <v>0</v>
      </c>
      <c r="P40" s="166"/>
      <c r="Q40" s="83"/>
      <c r="R40" s="165"/>
      <c r="S40" s="165"/>
      <c r="T40" s="79"/>
      <c r="U40" s="80">
        <f>T40*21%</f>
        <v>0</v>
      </c>
      <c r="V40" s="166"/>
      <c r="W40" s="82"/>
      <c r="X40" s="165"/>
      <c r="Y40" s="165"/>
      <c r="Z40" s="79"/>
      <c r="AA40" s="80">
        <f>Z40*21%</f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 t="shared" si="47"/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20</v>
      </c>
      <c r="D41" s="105">
        <f>MIN(D9:D40)</f>
        <v>226</v>
      </c>
      <c r="E41" s="105">
        <f>MAX(E9:E40)</f>
        <v>242</v>
      </c>
      <c r="F41" s="106">
        <f t="shared" ref="F41:I41" si="48">SUM(F9:F40)</f>
        <v>0</v>
      </c>
      <c r="G41" s="106">
        <f t="shared" si="48"/>
        <v>0</v>
      </c>
      <c r="H41" s="77">
        <f t="shared" si="48"/>
        <v>1576169</v>
      </c>
      <c r="I41" s="77">
        <f t="shared" si="48"/>
        <v>330995.5</v>
      </c>
      <c r="J41" s="77"/>
      <c r="K41" s="77">
        <f>SUM(K9:K40)</f>
        <v>1907164.5</v>
      </c>
      <c r="L41" s="107">
        <f>MIN(L9:L40)</f>
        <v>0</v>
      </c>
      <c r="M41" s="107">
        <f>MAX(M9:M40)</f>
        <v>0</v>
      </c>
      <c r="N41" s="83">
        <f t="shared" ref="N41:O41" si="49">SUM(N9:N40)</f>
        <v>0</v>
      </c>
      <c r="O41" s="83">
        <f t="shared" si="49"/>
        <v>0</v>
      </c>
      <c r="P41" s="83"/>
      <c r="Q41" s="83">
        <f>SUM(Q9:Q40)</f>
        <v>0</v>
      </c>
      <c r="R41" s="108">
        <f>MIN(R9:R40)</f>
        <v>4</v>
      </c>
      <c r="S41" s="108">
        <f>MAX(S9:S40)</f>
        <v>4</v>
      </c>
      <c r="T41" s="82">
        <f t="shared" ref="T41:U41" si="50">SUM(T9:T40)</f>
        <v>49571.82</v>
      </c>
      <c r="U41" s="82">
        <f t="shared" si="50"/>
        <v>10410.08</v>
      </c>
      <c r="V41" s="82"/>
      <c r="W41" s="82">
        <f>SUM(W9:W40)</f>
        <v>59981.9</v>
      </c>
      <c r="X41" s="107">
        <f>MIN(X9:X40)</f>
        <v>0</v>
      </c>
      <c r="Y41" s="107">
        <f>MAX(Y9:Y40)</f>
        <v>0</v>
      </c>
      <c r="Z41" s="83">
        <f t="shared" ref="Z41:AA41" si="51">SUM(Z9:Z40)</f>
        <v>0</v>
      </c>
      <c r="AA41" s="83">
        <f t="shared" si="51"/>
        <v>0</v>
      </c>
      <c r="AB41" s="83"/>
      <c r="AC41" s="83">
        <f t="shared" ref="AC41:AD41" si="52">SUM(AC9:AC40)</f>
        <v>0</v>
      </c>
      <c r="AD41" s="84">
        <f t="shared" si="52"/>
        <v>1967146.4</v>
      </c>
      <c r="AE41" s="109">
        <f t="shared" ref="AE41:AP41" si="53">SUM(AE9:AE38)</f>
        <v>0</v>
      </c>
      <c r="AF41" s="109">
        <f t="shared" si="53"/>
        <v>0</v>
      </c>
      <c r="AG41" s="109">
        <f t="shared" si="53"/>
        <v>0</v>
      </c>
      <c r="AH41" s="109">
        <f t="shared" si="53"/>
        <v>0</v>
      </c>
      <c r="AI41" s="109">
        <f t="shared" si="53"/>
        <v>0</v>
      </c>
      <c r="AJ41" s="110">
        <f t="shared" si="53"/>
        <v>0</v>
      </c>
      <c r="AK41" s="109">
        <f t="shared" si="53"/>
        <v>0</v>
      </c>
      <c r="AL41" s="110">
        <f t="shared" si="53"/>
        <v>0</v>
      </c>
      <c r="AM41" s="109">
        <f t="shared" si="53"/>
        <v>0</v>
      </c>
      <c r="AN41" s="109">
        <f t="shared" si="53"/>
        <v>0</v>
      </c>
      <c r="AO41" s="111">
        <f t="shared" si="53"/>
        <v>0</v>
      </c>
      <c r="AP41" s="112">
        <f t="shared" si="53"/>
        <v>-1957220</v>
      </c>
      <c r="AQ41" s="112">
        <f t="shared" ref="AQ41:BM41" si="54">SUM(AQ9:AQ40)</f>
        <v>216000</v>
      </c>
      <c r="AR41" s="112">
        <f t="shared" si="54"/>
        <v>0</v>
      </c>
      <c r="AS41" s="112">
        <f t="shared" si="54"/>
        <v>0</v>
      </c>
      <c r="AT41" s="112">
        <f t="shared" si="54"/>
        <v>1741220</v>
      </c>
      <c r="AU41" s="112">
        <f t="shared" si="54"/>
        <v>0</v>
      </c>
      <c r="AV41" s="112">
        <f t="shared" si="54"/>
        <v>0</v>
      </c>
      <c r="AW41" s="112">
        <f t="shared" si="54"/>
        <v>0</v>
      </c>
      <c r="AX41" s="112">
        <f t="shared" si="54"/>
        <v>0</v>
      </c>
      <c r="AY41" s="112">
        <f t="shared" si="54"/>
        <v>0</v>
      </c>
      <c r="AZ41" s="112">
        <f t="shared" si="54"/>
        <v>0</v>
      </c>
      <c r="BA41" s="112">
        <f t="shared" si="54"/>
        <v>0</v>
      </c>
      <c r="BB41" s="112">
        <f t="shared" si="54"/>
        <v>0</v>
      </c>
      <c r="BC41" s="112">
        <f t="shared" si="54"/>
        <v>0</v>
      </c>
      <c r="BD41" s="112">
        <f t="shared" si="54"/>
        <v>0</v>
      </c>
      <c r="BE41" s="112">
        <f t="shared" si="54"/>
        <v>0</v>
      </c>
      <c r="BF41" s="112">
        <f t="shared" si="54"/>
        <v>0</v>
      </c>
      <c r="BG41" s="112">
        <f t="shared" si="54"/>
        <v>0</v>
      </c>
      <c r="BH41" s="112">
        <f t="shared" si="54"/>
        <v>0</v>
      </c>
      <c r="BI41" s="112">
        <f t="shared" si="54"/>
        <v>0</v>
      </c>
      <c r="BJ41" s="112">
        <f t="shared" si="54"/>
        <v>0</v>
      </c>
      <c r="BK41" s="112">
        <f t="shared" si="54"/>
        <v>1957220</v>
      </c>
      <c r="BL41" s="112">
        <f t="shared" si="54"/>
        <v>1967146.4</v>
      </c>
      <c r="BM41" s="112">
        <f t="shared" si="54"/>
        <v>-9926.4</v>
      </c>
      <c r="BN41" s="14"/>
      <c r="BO41" s="95">
        <f t="shared" si="25"/>
        <v>0.1098037238</v>
      </c>
      <c r="BP41" s="95">
        <f t="shared" si="26"/>
        <v>0</v>
      </c>
      <c r="BQ41" s="95">
        <f t="shared" si="27"/>
        <v>0.8851501851</v>
      </c>
      <c r="BR41" s="95">
        <f t="shared" si="28"/>
        <v>0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0.9949539089</v>
      </c>
      <c r="BW41" s="95">
        <f t="shared" si="33"/>
        <v>1</v>
      </c>
    </row>
    <row r="42" ht="14.25" customHeight="1">
      <c r="A42" s="181"/>
      <c r="B42" s="7"/>
      <c r="C42" s="14"/>
      <c r="D42" s="182">
        <v>157.0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92">
        <v>7.0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69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3</v>
      </c>
      <c r="S43" s="114"/>
      <c r="T43" s="116"/>
      <c r="U43" s="116"/>
      <c r="V43" s="116"/>
      <c r="W43" s="116"/>
      <c r="X43" s="114">
        <f>X41-X42</f>
        <v>-7</v>
      </c>
      <c r="Y43" s="114"/>
      <c r="Z43" s="117"/>
      <c r="AA43" s="116"/>
      <c r="AB43" s="116"/>
      <c r="AC43" s="118"/>
      <c r="AD43" s="116">
        <f>AD41-AD35</f>
        <v>1507186.4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1967146.4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5">AQ41</f>
        <v>216000</v>
      </c>
      <c r="AR47" s="136">
        <f t="shared" si="55"/>
        <v>0</v>
      </c>
      <c r="AS47" s="136">
        <f t="shared" ref="AS47:AU47" si="56">AU41</f>
        <v>0</v>
      </c>
      <c r="AT47" s="136">
        <f t="shared" si="56"/>
        <v>0</v>
      </c>
      <c r="AU47" s="136">
        <f t="shared" si="56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7">AQ47/$AD$41</f>
        <v>0.1098037238</v>
      </c>
      <c r="AR48" s="113">
        <f t="shared" si="57"/>
        <v>0</v>
      </c>
      <c r="AS48" s="113">
        <f t="shared" si="57"/>
        <v>0</v>
      </c>
      <c r="AT48" s="113">
        <f t="shared" si="57"/>
        <v>0</v>
      </c>
      <c r="AU48" s="113">
        <f t="shared" si="57"/>
        <v>0</v>
      </c>
      <c r="AV48" s="113">
        <f t="shared" si="57"/>
        <v>0</v>
      </c>
      <c r="AW48" s="113">
        <f t="shared" si="57"/>
        <v>0</v>
      </c>
      <c r="AX48" s="113">
        <f t="shared" si="57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P41 BQ9:BQ41 BR39:BV41">
    <cfRule type="cellIs" dxfId="0" priority="8" operator="greaterThan">
      <formula>0</formula>
    </cfRule>
  </conditionalFormatting>
  <conditionalFormatting sqref="AP9:AP40 BM9:BM40 BN39:BP41 BQ9:BQ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N30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2" width="8.0"/>
    <col customWidth="1" min="23" max="23" width="9.43"/>
    <col customWidth="1" min="24" max="29" width="8.0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0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85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7">
        <v>564.0</v>
      </c>
      <c r="E9" s="165">
        <f t="shared" ref="E9:E40" si="2">IF(C9="","",C9+D9-1)</f>
        <v>563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30" si="6">T9*21%</f>
        <v>0</v>
      </c>
      <c r="V9" s="166"/>
      <c r="W9" s="82">
        <f t="shared" ref="W9:W39" si="7">T9+U9+V9</f>
        <v>0</v>
      </c>
      <c r="X9" s="165"/>
      <c r="Y9" s="165"/>
      <c r="Z9" s="79"/>
      <c r="AA9" s="80">
        <f>Z9*21%</f>
        <v>0</v>
      </c>
      <c r="AB9" s="166"/>
      <c r="AC9" s="81">
        <f t="shared" ref="AC9:AC39" si="8">Z9+AA9+AB9</f>
        <v>0</v>
      </c>
      <c r="AD9" s="84">
        <f t="shared" ref="AD9:AD39" si="9">+K9+Q9+W9-AC9</f>
        <v>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0</v>
      </c>
      <c r="AQ9" s="204"/>
      <c r="AR9" s="88"/>
      <c r="AS9" s="89"/>
      <c r="AT9" s="90">
        <v>0.0</v>
      </c>
      <c r="AU9" s="75"/>
      <c r="AV9" s="75"/>
      <c r="AW9" s="90">
        <v>0.0</v>
      </c>
      <c r="AX9" s="91"/>
      <c r="AY9" s="75"/>
      <c r="AZ9" s="90">
        <f t="shared" ref="AZ9:AZ33" si="15">AY9*AZ$2</f>
        <v>0</v>
      </c>
      <c r="BA9" s="75"/>
      <c r="BB9" s="90">
        <f t="shared" ref="BB9:BB10" si="16">BA9*BB$2</f>
        <v>0</v>
      </c>
      <c r="BC9" s="75"/>
      <c r="BD9" s="90">
        <f t="shared" ref="BD9:BD11" si="17">BC9*BD$2</f>
        <v>0</v>
      </c>
      <c r="BE9" s="75"/>
      <c r="BF9" s="90">
        <f t="shared" ref="BF9:BF11" si="18">BE9*BF$2</f>
        <v>0</v>
      </c>
      <c r="BG9" s="75"/>
      <c r="BH9" s="90">
        <f t="shared" ref="BH9:BH33" si="19">BG9*BH$2</f>
        <v>0</v>
      </c>
      <c r="BI9" s="75"/>
      <c r="BJ9" s="90">
        <f t="shared" ref="BJ9:BJ33" si="20">BI9*BJ$2</f>
        <v>0</v>
      </c>
      <c r="BK9" s="92">
        <f t="shared" ref="BK9:BK10" si="21">+AQ9+AR9+AT9+AW9+AX9+AZ9+BB9+BD9+BF9+BH8+BJ9</f>
        <v>0</v>
      </c>
      <c r="BL9" s="93">
        <f t="shared" ref="BL9:BL39" si="22">AD9</f>
        <v>0</v>
      </c>
      <c r="BM9" s="94">
        <f t="shared" ref="BM9:BM40" si="23">SUM(BK9-BL9)</f>
        <v>0</v>
      </c>
      <c r="BN9" s="13"/>
      <c r="BO9" s="95">
        <f t="shared" ref="BO9:BO41" si="24">IF(AQ9+AR9=0,0,(AQ9+AR9)/AD9)</f>
        <v>0</v>
      </c>
      <c r="BP9" s="95">
        <f t="shared" ref="BP9:BP41" si="25">IF(AU9=0,0,AU9/AD9)</f>
        <v>0</v>
      </c>
      <c r="BQ9" s="95">
        <f t="shared" ref="BQ9:BQ41" si="26">IF(AT9=0,0,AT9/AD9)</f>
        <v>0</v>
      </c>
      <c r="BR9" s="95">
        <f t="shared" ref="BR9:BR41" si="27">IF(AW9=0,0,AW9/AD9)</f>
        <v>0</v>
      </c>
      <c r="BS9" s="95">
        <f t="shared" ref="BS9:BS41" si="28">IF(AZ9=0,0,AZ9/AD9)</f>
        <v>0</v>
      </c>
      <c r="BT9" s="95">
        <f t="shared" ref="BT9:BT41" si="29">IF(BB9+BD9+BF9=0,0,(BB9+BD9+BF9)/AD9)</f>
        <v>0</v>
      </c>
      <c r="BU9" s="95">
        <f t="shared" ref="BU9:BU41" si="30">IF(BJ9=0,0,BJ9/AD9)</f>
        <v>0</v>
      </c>
      <c r="BV9" s="95">
        <f t="shared" ref="BV9:BV41" si="31">SUM(BO9:BU9)</f>
        <v>0</v>
      </c>
      <c r="BW9" s="95">
        <f t="shared" ref="BW9:BW41" si="32">AD9/$AD$41</f>
        <v>0</v>
      </c>
    </row>
    <row r="10" ht="15.75" customHeight="1">
      <c r="A10" s="168">
        <f>'LUCERO RECOLETA'!A10</f>
        <v>46144</v>
      </c>
      <c r="B10" s="162"/>
      <c r="C10" s="163">
        <v>9.0</v>
      </c>
      <c r="D10" s="165">
        <f t="shared" ref="D10:D39" si="33">E9+1</f>
        <v>564</v>
      </c>
      <c r="E10" s="165">
        <f t="shared" si="2"/>
        <v>572</v>
      </c>
      <c r="F10" s="73"/>
      <c r="G10" s="74"/>
      <c r="H10" s="169">
        <v>609421.49</v>
      </c>
      <c r="I10" s="169">
        <v>127978.51</v>
      </c>
      <c r="J10" s="76"/>
      <c r="K10" s="83">
        <f t="shared" si="3"/>
        <v>737400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71">
        <v>13.0</v>
      </c>
      <c r="Y10" s="171">
        <v>13.0</v>
      </c>
      <c r="Z10" s="172">
        <v>15702.48</v>
      </c>
      <c r="AA10" s="173">
        <v>3297.52</v>
      </c>
      <c r="AB10" s="166"/>
      <c r="AC10" s="81">
        <f t="shared" si="8"/>
        <v>19000</v>
      </c>
      <c r="AD10" s="84">
        <f t="shared" si="9"/>
        <v>718400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-716400</v>
      </c>
      <c r="AQ10" s="205">
        <f>145000+40000</f>
        <v>185000</v>
      </c>
      <c r="AR10" s="88"/>
      <c r="AS10" s="89"/>
      <c r="AT10" s="187">
        <v>531400.0</v>
      </c>
      <c r="AU10" s="75"/>
      <c r="AV10" s="75"/>
      <c r="AW10" s="90">
        <v>0.0</v>
      </c>
      <c r="AX10" s="88"/>
      <c r="AY10" s="75"/>
      <c r="AZ10" s="90">
        <f t="shared" si="15"/>
        <v>0</v>
      </c>
      <c r="BA10" s="75"/>
      <c r="BB10" s="90">
        <f t="shared" si="16"/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716400</v>
      </c>
      <c r="BL10" s="93">
        <f t="shared" si="22"/>
        <v>718400</v>
      </c>
      <c r="BM10" s="94">
        <f t="shared" si="23"/>
        <v>-2000</v>
      </c>
      <c r="BN10" s="13"/>
      <c r="BO10" s="95">
        <f t="shared" si="24"/>
        <v>0.2575167038</v>
      </c>
      <c r="BP10" s="95">
        <f t="shared" si="25"/>
        <v>0</v>
      </c>
      <c r="BQ10" s="95">
        <f t="shared" si="26"/>
        <v>0.7396993318</v>
      </c>
      <c r="BR10" s="95">
        <f t="shared" si="27"/>
        <v>0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0.9972160356</v>
      </c>
      <c r="BW10" s="95">
        <f t="shared" si="32"/>
        <v>0.0892004614</v>
      </c>
    </row>
    <row r="11" ht="15.75" customHeight="1">
      <c r="A11" s="168">
        <f>'LUCERO RECOLETA'!A11</f>
        <v>46145</v>
      </c>
      <c r="B11" s="162"/>
      <c r="C11" s="163">
        <v>4.0</v>
      </c>
      <c r="D11" s="165">
        <f t="shared" si="33"/>
        <v>573</v>
      </c>
      <c r="E11" s="165">
        <f t="shared" si="2"/>
        <v>576</v>
      </c>
      <c r="F11" s="73"/>
      <c r="G11" s="74"/>
      <c r="H11" s="169">
        <v>195702.48</v>
      </c>
      <c r="I11" s="169">
        <v>41097.52</v>
      </c>
      <c r="J11" s="76"/>
      <c r="K11" s="83">
        <f t="shared" si="3"/>
        <v>236800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>
        <f t="shared" si="6"/>
        <v>0</v>
      </c>
      <c r="V11" s="166"/>
      <c r="W11" s="82">
        <f t="shared" si="7"/>
        <v>0</v>
      </c>
      <c r="X11" s="165"/>
      <c r="Y11" s="165"/>
      <c r="Z11" s="79"/>
      <c r="AA11" s="80">
        <f t="shared" ref="AA11:AA18" si="34">Z11*21%</f>
        <v>0</v>
      </c>
      <c r="AB11" s="166"/>
      <c r="AC11" s="81">
        <f t="shared" si="8"/>
        <v>0</v>
      </c>
      <c r="AD11" s="84">
        <f t="shared" si="9"/>
        <v>236800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-236900</v>
      </c>
      <c r="AQ11" s="206">
        <v>25000.0</v>
      </c>
      <c r="AR11" s="88"/>
      <c r="AS11" s="89"/>
      <c r="AT11" s="187">
        <v>211900.0</v>
      </c>
      <c r="AU11" s="75"/>
      <c r="AV11" s="75"/>
      <c r="AW11" s="90">
        <v>0.0</v>
      </c>
      <c r="AX11" s="88"/>
      <c r="AY11" s="75"/>
      <c r="AZ11" s="90">
        <f t="shared" si="15"/>
        <v>0</v>
      </c>
      <c r="BA11" s="75"/>
      <c r="BB11" s="90">
        <f>BA11*1495</f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5">+AQ11+AR11+AT11+AW11+AX11+AZ11+BB11+BD11+BF11+BH11+BJ11</f>
        <v>236900</v>
      </c>
      <c r="BL11" s="93">
        <f t="shared" si="22"/>
        <v>236800</v>
      </c>
      <c r="BM11" s="94">
        <f t="shared" si="23"/>
        <v>100</v>
      </c>
      <c r="BN11" s="13"/>
      <c r="BO11" s="95">
        <f t="shared" si="24"/>
        <v>0.1055743243</v>
      </c>
      <c r="BP11" s="95">
        <f t="shared" si="25"/>
        <v>0</v>
      </c>
      <c r="BQ11" s="95">
        <f t="shared" si="26"/>
        <v>0.894847973</v>
      </c>
      <c r="BR11" s="95">
        <f t="shared" si="27"/>
        <v>0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1.000422297</v>
      </c>
      <c r="BW11" s="95">
        <f t="shared" si="32"/>
        <v>0.02940237926</v>
      </c>
    </row>
    <row r="12" ht="15.75" customHeight="1">
      <c r="A12" s="168">
        <f>'LUCERO RECOLETA'!A12</f>
        <v>46146</v>
      </c>
      <c r="B12" s="162"/>
      <c r="C12" s="163">
        <v>2.0</v>
      </c>
      <c r="D12" s="165">
        <f t="shared" si="33"/>
        <v>577</v>
      </c>
      <c r="E12" s="165">
        <f t="shared" si="2"/>
        <v>578</v>
      </c>
      <c r="F12" s="73"/>
      <c r="G12" s="74"/>
      <c r="H12" s="169">
        <v>11553.72</v>
      </c>
      <c r="I12" s="169">
        <v>2426.28</v>
      </c>
      <c r="J12" s="76"/>
      <c r="K12" s="83">
        <f t="shared" si="3"/>
        <v>13980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si="6"/>
        <v>0</v>
      </c>
      <c r="V12" s="166"/>
      <c r="W12" s="82">
        <f t="shared" si="7"/>
        <v>0</v>
      </c>
      <c r="X12" s="165"/>
      <c r="Y12" s="165"/>
      <c r="Z12" s="79"/>
      <c r="AA12" s="80">
        <f t="shared" si="34"/>
        <v>0</v>
      </c>
      <c r="AB12" s="166"/>
      <c r="AC12" s="81">
        <f t="shared" si="8"/>
        <v>0</v>
      </c>
      <c r="AD12" s="84">
        <f t="shared" si="9"/>
        <v>13980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-15000</v>
      </c>
      <c r="AQ12" s="206">
        <v>15000.0</v>
      </c>
      <c r="AR12" s="88"/>
      <c r="AS12" s="89"/>
      <c r="AT12" s="187">
        <v>0.0</v>
      </c>
      <c r="AU12" s="75"/>
      <c r="AV12" s="75"/>
      <c r="AW12" s="90">
        <v>0.0</v>
      </c>
      <c r="AX12" s="88"/>
      <c r="AY12" s="75"/>
      <c r="AZ12" s="90">
        <f t="shared" si="15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5"/>
        <v>15000</v>
      </c>
      <c r="BL12" s="93">
        <f t="shared" si="22"/>
        <v>13980</v>
      </c>
      <c r="BM12" s="94">
        <f t="shared" si="23"/>
        <v>1020</v>
      </c>
      <c r="BN12" s="13"/>
      <c r="BO12" s="95">
        <f t="shared" si="24"/>
        <v>1.072961373</v>
      </c>
      <c r="BP12" s="95">
        <f t="shared" si="25"/>
        <v>0</v>
      </c>
      <c r="BQ12" s="95">
        <f t="shared" si="26"/>
        <v>0</v>
      </c>
      <c r="BR12" s="95">
        <f t="shared" si="27"/>
        <v>0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1.072961373</v>
      </c>
      <c r="BW12" s="95">
        <f t="shared" si="32"/>
        <v>0.001735833032</v>
      </c>
    </row>
    <row r="13" ht="15.75" customHeight="1">
      <c r="A13" s="168">
        <f>'LUCERO RECOLETA'!A13</f>
        <v>46147</v>
      </c>
      <c r="B13" s="162"/>
      <c r="C13" s="163">
        <v>1.0</v>
      </c>
      <c r="D13" s="165">
        <f t="shared" si="33"/>
        <v>579</v>
      </c>
      <c r="E13" s="165">
        <f t="shared" si="2"/>
        <v>579</v>
      </c>
      <c r="F13" s="73"/>
      <c r="G13" s="74"/>
      <c r="H13" s="169">
        <v>151983.47</v>
      </c>
      <c r="I13" s="169">
        <v>31916.53</v>
      </c>
      <c r="J13" s="76"/>
      <c r="K13" s="83">
        <f t="shared" si="3"/>
        <v>183900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6"/>
        <v>0</v>
      </c>
      <c r="V13" s="166"/>
      <c r="W13" s="82">
        <f t="shared" si="7"/>
        <v>0</v>
      </c>
      <c r="X13" s="165"/>
      <c r="Y13" s="165"/>
      <c r="Z13" s="79"/>
      <c r="AA13" s="80">
        <f t="shared" si="34"/>
        <v>0</v>
      </c>
      <c r="AB13" s="166"/>
      <c r="AC13" s="81">
        <f t="shared" si="8"/>
        <v>0</v>
      </c>
      <c r="AD13" s="84">
        <f t="shared" si="9"/>
        <v>183900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-183900</v>
      </c>
      <c r="AQ13" s="206">
        <v>0.0</v>
      </c>
      <c r="AR13" s="96"/>
      <c r="AS13" s="90"/>
      <c r="AT13" s="187">
        <v>183900.0</v>
      </c>
      <c r="AU13" s="75"/>
      <c r="AV13" s="75"/>
      <c r="AW13" s="90">
        <v>0.0</v>
      </c>
      <c r="AX13" s="88"/>
      <c r="AY13" s="75"/>
      <c r="AZ13" s="90">
        <f t="shared" si="15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5"/>
        <v>183900</v>
      </c>
      <c r="BL13" s="93">
        <f t="shared" si="22"/>
        <v>183900</v>
      </c>
      <c r="BM13" s="94">
        <f t="shared" si="23"/>
        <v>0</v>
      </c>
      <c r="BN13" s="13"/>
      <c r="BO13" s="95">
        <f t="shared" si="24"/>
        <v>0</v>
      </c>
      <c r="BP13" s="95">
        <f t="shared" si="25"/>
        <v>0</v>
      </c>
      <c r="BQ13" s="95">
        <f t="shared" si="26"/>
        <v>1</v>
      </c>
      <c r="BR13" s="95">
        <f t="shared" si="27"/>
        <v>0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1</v>
      </c>
      <c r="BW13" s="95">
        <f t="shared" si="32"/>
        <v>0.0228340268</v>
      </c>
    </row>
    <row r="14" ht="15.75" customHeight="1">
      <c r="A14" s="168">
        <f>'LUCERO RECOLETA'!A14</f>
        <v>46148</v>
      </c>
      <c r="B14" s="162"/>
      <c r="C14" s="163">
        <v>5.0</v>
      </c>
      <c r="D14" s="165">
        <f t="shared" si="33"/>
        <v>580</v>
      </c>
      <c r="E14" s="165">
        <f t="shared" si="2"/>
        <v>584</v>
      </c>
      <c r="F14" s="73"/>
      <c r="G14" s="74"/>
      <c r="H14" s="169">
        <v>777603.31</v>
      </c>
      <c r="I14" s="169">
        <v>163296.69</v>
      </c>
      <c r="J14" s="76"/>
      <c r="K14" s="83">
        <f t="shared" si="3"/>
        <v>940900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6"/>
        <v>0</v>
      </c>
      <c r="V14" s="166"/>
      <c r="W14" s="82">
        <f t="shared" si="7"/>
        <v>0</v>
      </c>
      <c r="X14" s="165"/>
      <c r="Y14" s="165"/>
      <c r="Z14" s="79"/>
      <c r="AA14" s="80">
        <f t="shared" si="34"/>
        <v>0</v>
      </c>
      <c r="AB14" s="166"/>
      <c r="AC14" s="81">
        <f t="shared" si="8"/>
        <v>0</v>
      </c>
      <c r="AD14" s="84">
        <f t="shared" si="9"/>
        <v>940900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-940900</v>
      </c>
      <c r="AQ14" s="206">
        <v>0.0</v>
      </c>
      <c r="AR14" s="96"/>
      <c r="AS14" s="90"/>
      <c r="AT14" s="187">
        <v>940900.0</v>
      </c>
      <c r="AU14" s="75"/>
      <c r="AV14" s="75"/>
      <c r="AW14" s="90">
        <v>0.0</v>
      </c>
      <c r="AX14" s="88"/>
      <c r="AY14" s="75"/>
      <c r="AZ14" s="90">
        <f t="shared" si="15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19"/>
        <v>0</v>
      </c>
      <c r="BI14" s="75"/>
      <c r="BJ14" s="90">
        <f t="shared" si="20"/>
        <v>0</v>
      </c>
      <c r="BK14" s="92">
        <f t="shared" si="35"/>
        <v>940900</v>
      </c>
      <c r="BL14" s="93">
        <f t="shared" si="22"/>
        <v>940900</v>
      </c>
      <c r="BM14" s="94">
        <f t="shared" si="23"/>
        <v>0</v>
      </c>
      <c r="BN14" s="13"/>
      <c r="BO14" s="95">
        <f t="shared" si="24"/>
        <v>0</v>
      </c>
      <c r="BP14" s="95">
        <f t="shared" si="25"/>
        <v>0</v>
      </c>
      <c r="BQ14" s="95">
        <f t="shared" si="26"/>
        <v>1</v>
      </c>
      <c r="BR14" s="95">
        <f t="shared" si="27"/>
        <v>0</v>
      </c>
      <c r="BS14" s="95">
        <f t="shared" si="28"/>
        <v>0</v>
      </c>
      <c r="BT14" s="95">
        <f t="shared" si="29"/>
        <v>0</v>
      </c>
      <c r="BU14" s="95">
        <f t="shared" si="30"/>
        <v>0</v>
      </c>
      <c r="BV14" s="95">
        <f t="shared" si="31"/>
        <v>1</v>
      </c>
      <c r="BW14" s="95">
        <f t="shared" si="32"/>
        <v>0.1168272747</v>
      </c>
    </row>
    <row r="15" ht="15.75" customHeight="1">
      <c r="A15" s="168">
        <f>'LUCERO RECOLETA'!A15</f>
        <v>46149</v>
      </c>
      <c r="B15" s="162"/>
      <c r="C15" s="163">
        <v>1.0</v>
      </c>
      <c r="D15" s="165">
        <f t="shared" si="33"/>
        <v>585</v>
      </c>
      <c r="E15" s="165">
        <f t="shared" si="2"/>
        <v>585</v>
      </c>
      <c r="F15" s="73"/>
      <c r="G15" s="74"/>
      <c r="H15" s="169">
        <v>89256.2</v>
      </c>
      <c r="I15" s="169">
        <v>18743.8</v>
      </c>
      <c r="J15" s="76"/>
      <c r="K15" s="83">
        <f t="shared" si="3"/>
        <v>108000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6"/>
        <v>0</v>
      </c>
      <c r="V15" s="166"/>
      <c r="W15" s="82">
        <f t="shared" si="7"/>
        <v>0</v>
      </c>
      <c r="X15" s="165"/>
      <c r="Y15" s="165"/>
      <c r="Z15" s="79"/>
      <c r="AA15" s="80">
        <f t="shared" si="34"/>
        <v>0</v>
      </c>
      <c r="AB15" s="166"/>
      <c r="AC15" s="81">
        <f t="shared" si="8"/>
        <v>0</v>
      </c>
      <c r="AD15" s="84">
        <f t="shared" si="9"/>
        <v>108000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-108000</v>
      </c>
      <c r="AQ15" s="206">
        <v>0.0</v>
      </c>
      <c r="AR15" s="96"/>
      <c r="AS15" s="90"/>
      <c r="AT15" s="187">
        <v>108000.0</v>
      </c>
      <c r="AU15" s="75"/>
      <c r="AV15" s="75"/>
      <c r="AW15" s="90">
        <v>0.0</v>
      </c>
      <c r="AX15" s="88"/>
      <c r="AY15" s="75"/>
      <c r="AZ15" s="90">
        <f t="shared" si="15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19"/>
        <v>0</v>
      </c>
      <c r="BI15" s="75"/>
      <c r="BJ15" s="90">
        <f t="shared" si="20"/>
        <v>0</v>
      </c>
      <c r="BK15" s="92">
        <f t="shared" si="35"/>
        <v>108000</v>
      </c>
      <c r="BL15" s="93">
        <f t="shared" si="22"/>
        <v>108000</v>
      </c>
      <c r="BM15" s="94">
        <f t="shared" si="23"/>
        <v>0</v>
      </c>
      <c r="BN15" s="13"/>
      <c r="BO15" s="95">
        <f t="shared" si="24"/>
        <v>0</v>
      </c>
      <c r="BP15" s="95">
        <f t="shared" si="25"/>
        <v>0</v>
      </c>
      <c r="BQ15" s="95">
        <f t="shared" si="26"/>
        <v>1</v>
      </c>
      <c r="BR15" s="95">
        <f t="shared" si="27"/>
        <v>0</v>
      </c>
      <c r="BS15" s="95">
        <f t="shared" si="28"/>
        <v>0</v>
      </c>
      <c r="BT15" s="95">
        <f t="shared" si="29"/>
        <v>0</v>
      </c>
      <c r="BU15" s="95">
        <f t="shared" si="30"/>
        <v>0</v>
      </c>
      <c r="BV15" s="95">
        <f t="shared" si="31"/>
        <v>1</v>
      </c>
      <c r="BW15" s="95">
        <f t="shared" si="32"/>
        <v>0.01340986892</v>
      </c>
    </row>
    <row r="16" ht="15.75" customHeight="1">
      <c r="A16" s="168">
        <f>'LUCERO RECOLETA'!A16</f>
        <v>46150</v>
      </c>
      <c r="B16" s="162"/>
      <c r="C16" s="163">
        <v>3.0</v>
      </c>
      <c r="D16" s="165">
        <f t="shared" si="33"/>
        <v>586</v>
      </c>
      <c r="E16" s="165">
        <f t="shared" si="2"/>
        <v>588</v>
      </c>
      <c r="F16" s="73"/>
      <c r="G16" s="74"/>
      <c r="H16" s="169">
        <v>109652.89</v>
      </c>
      <c r="I16" s="169">
        <v>23027.11</v>
      </c>
      <c r="J16" s="76"/>
      <c r="K16" s="83">
        <f t="shared" si="3"/>
        <v>132680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6"/>
        <v>0</v>
      </c>
      <c r="V16" s="166"/>
      <c r="W16" s="82">
        <f t="shared" si="7"/>
        <v>0</v>
      </c>
      <c r="X16" s="165"/>
      <c r="Y16" s="165"/>
      <c r="Z16" s="79"/>
      <c r="AA16" s="80">
        <f t="shared" si="34"/>
        <v>0</v>
      </c>
      <c r="AB16" s="166"/>
      <c r="AC16" s="81">
        <f t="shared" si="8"/>
        <v>0</v>
      </c>
      <c r="AD16" s="84">
        <f t="shared" si="9"/>
        <v>132680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-144700</v>
      </c>
      <c r="AQ16" s="206">
        <v>30000.0</v>
      </c>
      <c r="AR16" s="96"/>
      <c r="AS16" s="90"/>
      <c r="AT16" s="187">
        <v>114700.0</v>
      </c>
      <c r="AU16" s="75"/>
      <c r="AV16" s="75"/>
      <c r="AW16" s="90">
        <v>0.0</v>
      </c>
      <c r="AX16" s="88"/>
      <c r="AY16" s="75"/>
      <c r="AZ16" s="90">
        <f t="shared" si="15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19"/>
        <v>0</v>
      </c>
      <c r="BI16" s="75"/>
      <c r="BJ16" s="90">
        <f t="shared" si="20"/>
        <v>0</v>
      </c>
      <c r="BK16" s="92">
        <f t="shared" si="35"/>
        <v>144700</v>
      </c>
      <c r="BL16" s="93">
        <f t="shared" si="22"/>
        <v>132680</v>
      </c>
      <c r="BM16" s="94">
        <f t="shared" si="23"/>
        <v>12020</v>
      </c>
      <c r="BN16" s="14"/>
      <c r="BO16" s="95">
        <f t="shared" si="24"/>
        <v>0.2261079289</v>
      </c>
      <c r="BP16" s="95">
        <f t="shared" si="25"/>
        <v>0</v>
      </c>
      <c r="BQ16" s="95">
        <f t="shared" si="26"/>
        <v>0.8644859813</v>
      </c>
      <c r="BR16" s="95">
        <f t="shared" si="27"/>
        <v>0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1.09059391</v>
      </c>
      <c r="BW16" s="95">
        <f t="shared" si="32"/>
        <v>0.0164742723</v>
      </c>
    </row>
    <row r="17" ht="15.75" customHeight="1">
      <c r="A17" s="168">
        <f>'LUCERO RECOLETA'!A17</f>
        <v>46151</v>
      </c>
      <c r="B17" s="162"/>
      <c r="C17" s="176">
        <v>5.0</v>
      </c>
      <c r="D17" s="165">
        <f t="shared" si="33"/>
        <v>589</v>
      </c>
      <c r="E17" s="165">
        <f t="shared" si="2"/>
        <v>593</v>
      </c>
      <c r="F17" s="73"/>
      <c r="G17" s="74"/>
      <c r="H17" s="169">
        <v>317024.81</v>
      </c>
      <c r="I17" s="169">
        <v>66575.19</v>
      </c>
      <c r="J17" s="76"/>
      <c r="K17" s="83">
        <f t="shared" si="3"/>
        <v>383600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6"/>
        <v>0</v>
      </c>
      <c r="V17" s="166"/>
      <c r="W17" s="82">
        <f t="shared" si="7"/>
        <v>0</v>
      </c>
      <c r="X17" s="165"/>
      <c r="Y17" s="165"/>
      <c r="Z17" s="79"/>
      <c r="AA17" s="80">
        <f t="shared" si="34"/>
        <v>0</v>
      </c>
      <c r="AB17" s="166"/>
      <c r="AC17" s="81">
        <f t="shared" si="8"/>
        <v>0</v>
      </c>
      <c r="AD17" s="84">
        <f t="shared" si="9"/>
        <v>383600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-378700</v>
      </c>
      <c r="AQ17" s="206">
        <v>20000.0</v>
      </c>
      <c r="AR17" s="96"/>
      <c r="AS17" s="90"/>
      <c r="AT17" s="187">
        <v>358700.0</v>
      </c>
      <c r="AU17" s="75"/>
      <c r="AV17" s="75"/>
      <c r="AW17" s="90">
        <v>0.0</v>
      </c>
      <c r="AX17" s="88"/>
      <c r="AY17" s="75"/>
      <c r="AZ17" s="90">
        <f t="shared" si="15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19"/>
        <v>0</v>
      </c>
      <c r="BI17" s="75"/>
      <c r="BJ17" s="90">
        <f t="shared" si="20"/>
        <v>0</v>
      </c>
      <c r="BK17" s="92">
        <f t="shared" si="35"/>
        <v>378700</v>
      </c>
      <c r="BL17" s="93">
        <f t="shared" si="22"/>
        <v>383600</v>
      </c>
      <c r="BM17" s="94">
        <f t="shared" si="23"/>
        <v>-4900</v>
      </c>
      <c r="BN17" s="13"/>
      <c r="BO17" s="95">
        <f t="shared" si="24"/>
        <v>0.05213764338</v>
      </c>
      <c r="BP17" s="95">
        <f t="shared" si="25"/>
        <v>0</v>
      </c>
      <c r="BQ17" s="95">
        <f t="shared" si="26"/>
        <v>0.935088634</v>
      </c>
      <c r="BR17" s="95">
        <f t="shared" si="27"/>
        <v>0</v>
      </c>
      <c r="BS17" s="95">
        <f t="shared" si="28"/>
        <v>0</v>
      </c>
      <c r="BT17" s="95">
        <f t="shared" si="29"/>
        <v>0</v>
      </c>
      <c r="BU17" s="95">
        <f t="shared" si="30"/>
        <v>0</v>
      </c>
      <c r="BV17" s="95">
        <f t="shared" si="31"/>
        <v>0.9872262774</v>
      </c>
      <c r="BW17" s="95">
        <f t="shared" si="32"/>
        <v>0.04762986775</v>
      </c>
    </row>
    <row r="18" ht="15.75" customHeight="1">
      <c r="A18" s="168">
        <f>'LUCERO RECOLETA'!A18</f>
        <v>46152</v>
      </c>
      <c r="B18" s="162"/>
      <c r="C18" s="163">
        <v>1.0</v>
      </c>
      <c r="D18" s="165">
        <f t="shared" si="33"/>
        <v>594</v>
      </c>
      <c r="E18" s="165">
        <f t="shared" si="2"/>
        <v>594</v>
      </c>
      <c r="F18" s="73"/>
      <c r="G18" s="74"/>
      <c r="H18" s="169">
        <v>4123.97</v>
      </c>
      <c r="I18" s="169">
        <v>866.03</v>
      </c>
      <c r="J18" s="76"/>
      <c r="K18" s="83">
        <f t="shared" si="3"/>
        <v>4990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6"/>
        <v>0</v>
      </c>
      <c r="V18" s="166"/>
      <c r="W18" s="82">
        <f t="shared" si="7"/>
        <v>0</v>
      </c>
      <c r="X18" s="165"/>
      <c r="Y18" s="165"/>
      <c r="Z18" s="79"/>
      <c r="AA18" s="80">
        <f t="shared" si="34"/>
        <v>0</v>
      </c>
      <c r="AB18" s="174"/>
      <c r="AC18" s="83">
        <f t="shared" si="8"/>
        <v>0</v>
      </c>
      <c r="AD18" s="84">
        <f t="shared" si="9"/>
        <v>4990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-4990</v>
      </c>
      <c r="AQ18" s="206">
        <v>0.0</v>
      </c>
      <c r="AR18" s="96"/>
      <c r="AS18" s="90"/>
      <c r="AT18" s="187">
        <v>4990.0</v>
      </c>
      <c r="AU18" s="75"/>
      <c r="AV18" s="75"/>
      <c r="AW18" s="90">
        <v>0.0</v>
      </c>
      <c r="AX18" s="88"/>
      <c r="AY18" s="75"/>
      <c r="AZ18" s="90">
        <f t="shared" si="15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19"/>
        <v>0</v>
      </c>
      <c r="BI18" s="75"/>
      <c r="BJ18" s="90">
        <f t="shared" si="20"/>
        <v>0</v>
      </c>
      <c r="BK18" s="92">
        <f t="shared" si="35"/>
        <v>4990</v>
      </c>
      <c r="BL18" s="93">
        <f t="shared" si="22"/>
        <v>4990</v>
      </c>
      <c r="BM18" s="94">
        <f t="shared" si="23"/>
        <v>0</v>
      </c>
      <c r="BN18" s="14"/>
      <c r="BO18" s="95">
        <f t="shared" si="24"/>
        <v>0</v>
      </c>
      <c r="BP18" s="95">
        <f t="shared" si="25"/>
        <v>0</v>
      </c>
      <c r="BQ18" s="95">
        <f t="shared" si="26"/>
        <v>1</v>
      </c>
      <c r="BR18" s="95">
        <f t="shared" si="27"/>
        <v>0</v>
      </c>
      <c r="BS18" s="95">
        <f t="shared" si="28"/>
        <v>0</v>
      </c>
      <c r="BT18" s="95">
        <f t="shared" si="29"/>
        <v>0</v>
      </c>
      <c r="BU18" s="95">
        <f t="shared" si="30"/>
        <v>0</v>
      </c>
      <c r="BV18" s="95">
        <f t="shared" si="31"/>
        <v>1</v>
      </c>
      <c r="BW18" s="95">
        <f t="shared" si="32"/>
        <v>0.0006195856102</v>
      </c>
    </row>
    <row r="19" ht="15.75" customHeight="1">
      <c r="A19" s="168">
        <f>'LUCERO RECOLETA'!A19</f>
        <v>46153</v>
      </c>
      <c r="B19" s="162"/>
      <c r="C19" s="163">
        <v>4.0</v>
      </c>
      <c r="D19" s="165">
        <f t="shared" si="33"/>
        <v>595</v>
      </c>
      <c r="E19" s="165">
        <f t="shared" si="2"/>
        <v>598</v>
      </c>
      <c r="F19" s="73"/>
      <c r="G19" s="74"/>
      <c r="H19" s="169">
        <v>214793.39</v>
      </c>
      <c r="I19" s="169">
        <v>45106.61</v>
      </c>
      <c r="J19" s="76"/>
      <c r="K19" s="83">
        <f t="shared" si="3"/>
        <v>259900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6"/>
        <v>0</v>
      </c>
      <c r="V19" s="166"/>
      <c r="W19" s="82">
        <f t="shared" si="7"/>
        <v>0</v>
      </c>
      <c r="X19" s="171">
        <v>14.0</v>
      </c>
      <c r="Y19" s="171">
        <v>15.0</v>
      </c>
      <c r="Z19" s="172">
        <v>89090.92</v>
      </c>
      <c r="AA19" s="173">
        <v>18709.08</v>
      </c>
      <c r="AB19" s="174"/>
      <c r="AC19" s="83">
        <f t="shared" si="8"/>
        <v>107800</v>
      </c>
      <c r="AD19" s="84">
        <f t="shared" si="9"/>
        <v>152100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-145000</v>
      </c>
      <c r="AQ19" s="206">
        <v>86000.0</v>
      </c>
      <c r="AR19" s="96"/>
      <c r="AS19" s="90"/>
      <c r="AT19" s="187">
        <v>59000.0</v>
      </c>
      <c r="AU19" s="75"/>
      <c r="AV19" s="75"/>
      <c r="AW19" s="90">
        <v>0.0</v>
      </c>
      <c r="AX19" s="88"/>
      <c r="AY19" s="75"/>
      <c r="AZ19" s="90">
        <f t="shared" si="15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19"/>
        <v>0</v>
      </c>
      <c r="BI19" s="75"/>
      <c r="BJ19" s="90">
        <f t="shared" si="20"/>
        <v>0</v>
      </c>
      <c r="BK19" s="92">
        <f t="shared" si="35"/>
        <v>145000</v>
      </c>
      <c r="BL19" s="93">
        <f t="shared" si="22"/>
        <v>152100</v>
      </c>
      <c r="BM19" s="94">
        <f t="shared" si="23"/>
        <v>-7100</v>
      </c>
      <c r="BN19" s="13"/>
      <c r="BO19" s="95">
        <f t="shared" si="24"/>
        <v>0.5654174885</v>
      </c>
      <c r="BP19" s="95">
        <f t="shared" si="25"/>
        <v>0</v>
      </c>
      <c r="BQ19" s="95">
        <f t="shared" si="26"/>
        <v>0.3879026956</v>
      </c>
      <c r="BR19" s="95">
        <f t="shared" si="27"/>
        <v>0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0.9533201841</v>
      </c>
      <c r="BW19" s="95">
        <f t="shared" si="32"/>
        <v>0.01888556539</v>
      </c>
    </row>
    <row r="20" ht="15.75" customHeight="1">
      <c r="A20" s="168">
        <f>'LUCERO RECOLETA'!A20</f>
        <v>46154</v>
      </c>
      <c r="B20" s="162"/>
      <c r="C20" s="163">
        <v>3.0</v>
      </c>
      <c r="D20" s="165">
        <f t="shared" si="33"/>
        <v>599</v>
      </c>
      <c r="E20" s="165">
        <f t="shared" si="2"/>
        <v>601</v>
      </c>
      <c r="F20" s="73"/>
      <c r="G20" s="74"/>
      <c r="H20" s="169">
        <v>253553.72</v>
      </c>
      <c r="I20" s="169">
        <v>53246.28</v>
      </c>
      <c r="J20" s="76"/>
      <c r="K20" s="83">
        <f t="shared" si="3"/>
        <v>306800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6"/>
        <v>0</v>
      </c>
      <c r="V20" s="166"/>
      <c r="W20" s="82">
        <f t="shared" si="7"/>
        <v>0</v>
      </c>
      <c r="X20" s="171">
        <v>16.0</v>
      </c>
      <c r="Y20" s="171">
        <v>16.0</v>
      </c>
      <c r="Z20" s="172">
        <v>65289.26</v>
      </c>
      <c r="AA20" s="173">
        <v>13710.74</v>
      </c>
      <c r="AB20" s="166"/>
      <c r="AC20" s="81">
        <f t="shared" si="8"/>
        <v>79000</v>
      </c>
      <c r="AD20" s="84">
        <f t="shared" si="9"/>
        <v>227800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-227800</v>
      </c>
      <c r="AQ20" s="206">
        <v>0.0</v>
      </c>
      <c r="AR20" s="96"/>
      <c r="AS20" s="90"/>
      <c r="AT20" s="187">
        <v>227800.0</v>
      </c>
      <c r="AU20" s="75"/>
      <c r="AV20" s="75"/>
      <c r="AW20" s="90">
        <v>0.0</v>
      </c>
      <c r="AX20" s="88"/>
      <c r="AY20" s="75"/>
      <c r="AZ20" s="90">
        <f t="shared" si="15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19"/>
        <v>0</v>
      </c>
      <c r="BI20" s="75"/>
      <c r="BJ20" s="90">
        <f t="shared" si="20"/>
        <v>0</v>
      </c>
      <c r="BK20" s="92">
        <f t="shared" si="35"/>
        <v>227800</v>
      </c>
      <c r="BL20" s="93">
        <f t="shared" si="22"/>
        <v>227800</v>
      </c>
      <c r="BM20" s="94">
        <f t="shared" si="23"/>
        <v>0</v>
      </c>
      <c r="BN20" s="13"/>
      <c r="BO20" s="95">
        <f t="shared" si="24"/>
        <v>0</v>
      </c>
      <c r="BP20" s="95">
        <f t="shared" si="25"/>
        <v>0</v>
      </c>
      <c r="BQ20" s="95">
        <f t="shared" si="26"/>
        <v>1</v>
      </c>
      <c r="BR20" s="95">
        <f t="shared" si="27"/>
        <v>0</v>
      </c>
      <c r="BS20" s="95">
        <f t="shared" si="28"/>
        <v>0</v>
      </c>
      <c r="BT20" s="95">
        <f t="shared" si="29"/>
        <v>0</v>
      </c>
      <c r="BU20" s="95">
        <f t="shared" si="30"/>
        <v>0</v>
      </c>
      <c r="BV20" s="95">
        <f t="shared" si="31"/>
        <v>1</v>
      </c>
      <c r="BW20" s="95">
        <f t="shared" si="32"/>
        <v>0.02828489018</v>
      </c>
    </row>
    <row r="21" ht="15.75" customHeight="1">
      <c r="A21" s="168">
        <f>'LUCERO RECOLETA'!A21</f>
        <v>46155</v>
      </c>
      <c r="B21" s="162"/>
      <c r="C21" s="163">
        <v>1.0</v>
      </c>
      <c r="D21" s="165">
        <f t="shared" si="33"/>
        <v>602</v>
      </c>
      <c r="E21" s="165">
        <f t="shared" si="2"/>
        <v>602</v>
      </c>
      <c r="F21" s="73"/>
      <c r="G21" s="74"/>
      <c r="H21" s="169">
        <v>23966.94</v>
      </c>
      <c r="I21" s="169">
        <v>5033.06</v>
      </c>
      <c r="J21" s="76"/>
      <c r="K21" s="83">
        <f t="shared" si="3"/>
        <v>29000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6"/>
        <v>0</v>
      </c>
      <c r="V21" s="166"/>
      <c r="W21" s="82">
        <f t="shared" si="7"/>
        <v>0</v>
      </c>
      <c r="X21" s="165"/>
      <c r="Y21" s="165"/>
      <c r="Z21" s="79"/>
      <c r="AA21" s="80">
        <f t="shared" ref="AA21:AA23" si="39">Z21*21%</f>
        <v>0</v>
      </c>
      <c r="AB21" s="166"/>
      <c r="AC21" s="81">
        <f t="shared" si="8"/>
        <v>0</v>
      </c>
      <c r="AD21" s="84">
        <f t="shared" si="9"/>
        <v>29000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-29000</v>
      </c>
      <c r="AQ21" s="206">
        <v>0.0</v>
      </c>
      <c r="AR21" s="96"/>
      <c r="AS21" s="90"/>
      <c r="AT21" s="187">
        <v>29000.0</v>
      </c>
      <c r="AU21" s="75"/>
      <c r="AV21" s="75"/>
      <c r="AW21" s="90">
        <v>0.0</v>
      </c>
      <c r="AX21" s="88"/>
      <c r="AY21" s="75"/>
      <c r="AZ21" s="90">
        <f t="shared" si="15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19"/>
        <v>0</v>
      </c>
      <c r="BI21" s="75"/>
      <c r="BJ21" s="90">
        <f t="shared" si="20"/>
        <v>0</v>
      </c>
      <c r="BK21" s="92">
        <f t="shared" si="35"/>
        <v>29000</v>
      </c>
      <c r="BL21" s="93">
        <f t="shared" si="22"/>
        <v>29000</v>
      </c>
      <c r="BM21" s="94">
        <f t="shared" si="23"/>
        <v>0</v>
      </c>
      <c r="BN21" s="13"/>
      <c r="BO21" s="95">
        <f t="shared" si="24"/>
        <v>0</v>
      </c>
      <c r="BP21" s="95">
        <f t="shared" si="25"/>
        <v>0</v>
      </c>
      <c r="BQ21" s="95">
        <f t="shared" si="26"/>
        <v>1</v>
      </c>
      <c r="BR21" s="95">
        <f t="shared" si="27"/>
        <v>0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1</v>
      </c>
      <c r="BW21" s="95">
        <f t="shared" si="32"/>
        <v>0.003600798136</v>
      </c>
    </row>
    <row r="22" ht="15.75" customHeight="1">
      <c r="A22" s="168">
        <f>'LUCERO RECOLETA'!A22</f>
        <v>46156</v>
      </c>
      <c r="B22" s="162"/>
      <c r="C22" s="163">
        <v>3.0</v>
      </c>
      <c r="D22" s="165">
        <f t="shared" si="33"/>
        <v>603</v>
      </c>
      <c r="E22" s="165">
        <f t="shared" si="2"/>
        <v>605</v>
      </c>
      <c r="F22" s="73"/>
      <c r="G22" s="74"/>
      <c r="H22" s="169">
        <v>557024.8</v>
      </c>
      <c r="I22" s="169">
        <v>116975.2</v>
      </c>
      <c r="J22" s="76"/>
      <c r="K22" s="83">
        <f t="shared" si="3"/>
        <v>674000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6"/>
        <v>0</v>
      </c>
      <c r="V22" s="166"/>
      <c r="W22" s="82">
        <f t="shared" si="7"/>
        <v>0</v>
      </c>
      <c r="X22" s="165"/>
      <c r="Y22" s="165"/>
      <c r="Z22" s="79"/>
      <c r="AA22" s="80">
        <f t="shared" si="39"/>
        <v>0</v>
      </c>
      <c r="AB22" s="166"/>
      <c r="AC22" s="81">
        <f t="shared" si="8"/>
        <v>0</v>
      </c>
      <c r="AD22" s="84">
        <f t="shared" si="9"/>
        <v>674000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-674000</v>
      </c>
      <c r="AQ22" s="206">
        <v>0.0</v>
      </c>
      <c r="AR22" s="96"/>
      <c r="AS22" s="90"/>
      <c r="AT22" s="187">
        <v>674000.0</v>
      </c>
      <c r="AU22" s="75"/>
      <c r="AV22" s="75"/>
      <c r="AW22" s="90">
        <v>0.0</v>
      </c>
      <c r="AX22" s="88"/>
      <c r="AY22" s="75"/>
      <c r="AZ22" s="90">
        <f t="shared" si="15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19"/>
        <v>0</v>
      </c>
      <c r="BI22" s="75"/>
      <c r="BJ22" s="90">
        <f t="shared" si="20"/>
        <v>0</v>
      </c>
      <c r="BK22" s="92">
        <f t="shared" si="35"/>
        <v>674000</v>
      </c>
      <c r="BL22" s="93">
        <f t="shared" si="22"/>
        <v>674000</v>
      </c>
      <c r="BM22" s="94">
        <f t="shared" si="23"/>
        <v>0</v>
      </c>
      <c r="BN22" s="13"/>
      <c r="BO22" s="95">
        <f t="shared" si="24"/>
        <v>0</v>
      </c>
      <c r="BP22" s="95">
        <f t="shared" si="25"/>
        <v>0</v>
      </c>
      <c r="BQ22" s="95">
        <f t="shared" si="26"/>
        <v>1</v>
      </c>
      <c r="BR22" s="95">
        <f t="shared" si="27"/>
        <v>0</v>
      </c>
      <c r="BS22" s="95">
        <f t="shared" si="28"/>
        <v>0</v>
      </c>
      <c r="BT22" s="95">
        <f t="shared" si="29"/>
        <v>0</v>
      </c>
      <c r="BU22" s="95">
        <f t="shared" si="30"/>
        <v>0</v>
      </c>
      <c r="BV22" s="95">
        <f t="shared" si="31"/>
        <v>1</v>
      </c>
      <c r="BW22" s="95">
        <f t="shared" si="32"/>
        <v>0.08368751529</v>
      </c>
    </row>
    <row r="23" ht="15.75" customHeight="1">
      <c r="A23" s="168">
        <f>'LUCERO RECOLETA'!A23</f>
        <v>46157</v>
      </c>
      <c r="B23" s="162"/>
      <c r="C23" s="163">
        <v>3.0</v>
      </c>
      <c r="D23" s="165">
        <f t="shared" si="33"/>
        <v>606</v>
      </c>
      <c r="E23" s="165">
        <f t="shared" si="2"/>
        <v>608</v>
      </c>
      <c r="F23" s="73"/>
      <c r="G23" s="74"/>
      <c r="H23" s="169">
        <v>583471.08</v>
      </c>
      <c r="I23" s="169">
        <v>122528.92</v>
      </c>
      <c r="J23" s="76"/>
      <c r="K23" s="83">
        <f t="shared" si="3"/>
        <v>706000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6"/>
        <v>0</v>
      </c>
      <c r="V23" s="166"/>
      <c r="W23" s="82">
        <f t="shared" si="7"/>
        <v>0</v>
      </c>
      <c r="X23" s="165"/>
      <c r="Y23" s="165"/>
      <c r="Z23" s="79"/>
      <c r="AA23" s="80">
        <f t="shared" si="39"/>
        <v>0</v>
      </c>
      <c r="AB23" s="166"/>
      <c r="AC23" s="81">
        <f t="shared" si="8"/>
        <v>0</v>
      </c>
      <c r="AD23" s="84">
        <f t="shared" si="9"/>
        <v>706000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-706000</v>
      </c>
      <c r="AQ23" s="206">
        <v>40000.0</v>
      </c>
      <c r="AR23" s="96"/>
      <c r="AS23" s="90"/>
      <c r="AT23" s="187">
        <v>666000.0</v>
      </c>
      <c r="AU23" s="75"/>
      <c r="AV23" s="75"/>
      <c r="AW23" s="90">
        <v>0.0</v>
      </c>
      <c r="AX23" s="88"/>
      <c r="AY23" s="75"/>
      <c r="AZ23" s="90">
        <f t="shared" si="15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19"/>
        <v>0</v>
      </c>
      <c r="BI23" s="75"/>
      <c r="BJ23" s="90">
        <f t="shared" si="20"/>
        <v>0</v>
      </c>
      <c r="BK23" s="92">
        <f t="shared" si="35"/>
        <v>706000</v>
      </c>
      <c r="BL23" s="93">
        <f t="shared" si="22"/>
        <v>706000</v>
      </c>
      <c r="BM23" s="94">
        <f t="shared" si="23"/>
        <v>0</v>
      </c>
      <c r="BN23" s="13"/>
      <c r="BO23" s="95">
        <f t="shared" si="24"/>
        <v>0.0566572238</v>
      </c>
      <c r="BP23" s="95">
        <f t="shared" si="25"/>
        <v>0</v>
      </c>
      <c r="BQ23" s="95">
        <f t="shared" si="26"/>
        <v>0.9433427762</v>
      </c>
      <c r="BR23" s="95">
        <f t="shared" si="27"/>
        <v>0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1</v>
      </c>
      <c r="BW23" s="95">
        <f t="shared" si="32"/>
        <v>0.08766080978</v>
      </c>
    </row>
    <row r="24" ht="15.75" customHeight="1">
      <c r="A24" s="168">
        <f>'LUCERO RECOLETA'!A24</f>
        <v>46158</v>
      </c>
      <c r="B24" s="162"/>
      <c r="C24" s="163">
        <v>5.0</v>
      </c>
      <c r="D24" s="165">
        <f t="shared" si="33"/>
        <v>609</v>
      </c>
      <c r="E24" s="165">
        <f t="shared" si="2"/>
        <v>613</v>
      </c>
      <c r="F24" s="73"/>
      <c r="G24" s="74"/>
      <c r="H24" s="169">
        <v>475041.32</v>
      </c>
      <c r="I24" s="169">
        <v>99758.68</v>
      </c>
      <c r="J24" s="76"/>
      <c r="K24" s="83">
        <f t="shared" si="3"/>
        <v>574800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6"/>
        <v>0</v>
      </c>
      <c r="V24" s="166"/>
      <c r="W24" s="82">
        <f t="shared" si="7"/>
        <v>0</v>
      </c>
      <c r="X24" s="171">
        <v>17.0</v>
      </c>
      <c r="Y24" s="171">
        <v>17.0</v>
      </c>
      <c r="Z24" s="172">
        <v>189256.2</v>
      </c>
      <c r="AA24" s="173">
        <v>39743.8</v>
      </c>
      <c r="AB24" s="166"/>
      <c r="AC24" s="81">
        <f t="shared" si="8"/>
        <v>229000</v>
      </c>
      <c r="AD24" s="84">
        <f t="shared" si="9"/>
        <v>345800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-345800</v>
      </c>
      <c r="AQ24" s="206">
        <v>0.0</v>
      </c>
      <c r="AR24" s="96"/>
      <c r="AS24" s="90"/>
      <c r="AT24" s="187">
        <v>345800.0</v>
      </c>
      <c r="AU24" s="75"/>
      <c r="AV24" s="75"/>
      <c r="AW24" s="90">
        <v>0.0</v>
      </c>
      <c r="AX24" s="88"/>
      <c r="AY24" s="75"/>
      <c r="AZ24" s="90">
        <f t="shared" si="15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19"/>
        <v>0</v>
      </c>
      <c r="BI24" s="75"/>
      <c r="BJ24" s="90">
        <f t="shared" si="20"/>
        <v>0</v>
      </c>
      <c r="BK24" s="92">
        <f t="shared" si="35"/>
        <v>345800</v>
      </c>
      <c r="BL24" s="93">
        <f t="shared" si="22"/>
        <v>345800</v>
      </c>
      <c r="BM24" s="94">
        <f t="shared" si="23"/>
        <v>0</v>
      </c>
      <c r="BN24" s="14"/>
      <c r="BO24" s="95">
        <f t="shared" si="24"/>
        <v>0</v>
      </c>
      <c r="BP24" s="95">
        <f t="shared" si="25"/>
        <v>0</v>
      </c>
      <c r="BQ24" s="95">
        <f t="shared" si="26"/>
        <v>1</v>
      </c>
      <c r="BR24" s="95">
        <f t="shared" si="27"/>
        <v>0</v>
      </c>
      <c r="BS24" s="95">
        <f t="shared" si="28"/>
        <v>0</v>
      </c>
      <c r="BT24" s="95">
        <f t="shared" si="29"/>
        <v>0</v>
      </c>
      <c r="BU24" s="95">
        <f t="shared" si="30"/>
        <v>0</v>
      </c>
      <c r="BV24" s="95">
        <f t="shared" si="31"/>
        <v>1</v>
      </c>
      <c r="BW24" s="95">
        <f t="shared" si="32"/>
        <v>0.04293641363</v>
      </c>
    </row>
    <row r="25" ht="15.75" customHeight="1">
      <c r="A25" s="168">
        <f>'LUCERO RECOLETA'!A25</f>
        <v>46159</v>
      </c>
      <c r="B25" s="162"/>
      <c r="C25" s="176">
        <v>1.0</v>
      </c>
      <c r="D25" s="165">
        <f t="shared" si="33"/>
        <v>614</v>
      </c>
      <c r="E25" s="165">
        <f t="shared" si="2"/>
        <v>614</v>
      </c>
      <c r="F25" s="73"/>
      <c r="G25" s="74"/>
      <c r="H25" s="169">
        <v>28842.97</v>
      </c>
      <c r="I25" s="169">
        <v>6057.03</v>
      </c>
      <c r="J25" s="76"/>
      <c r="K25" s="83">
        <f t="shared" si="3"/>
        <v>34900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6"/>
        <v>0</v>
      </c>
      <c r="V25" s="166"/>
      <c r="W25" s="82">
        <f t="shared" si="7"/>
        <v>0</v>
      </c>
      <c r="X25" s="165"/>
      <c r="Y25" s="165"/>
      <c r="Z25" s="79"/>
      <c r="AA25" s="80">
        <f>Z25*21%</f>
        <v>0</v>
      </c>
      <c r="AB25" s="166"/>
      <c r="AC25" s="81">
        <f t="shared" si="8"/>
        <v>0</v>
      </c>
      <c r="AD25" s="84">
        <f t="shared" si="9"/>
        <v>34900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-34900</v>
      </c>
      <c r="AQ25" s="206">
        <v>0.0</v>
      </c>
      <c r="AR25" s="97"/>
      <c r="AS25" s="90"/>
      <c r="AT25" s="187">
        <v>34900.0</v>
      </c>
      <c r="AU25" s="75"/>
      <c r="AV25" s="75"/>
      <c r="AW25" s="90">
        <v>0.0</v>
      </c>
      <c r="AX25" s="88"/>
      <c r="AY25" s="75"/>
      <c r="AZ25" s="90">
        <f t="shared" si="15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19"/>
        <v>0</v>
      </c>
      <c r="BI25" s="75"/>
      <c r="BJ25" s="90">
        <f t="shared" si="20"/>
        <v>0</v>
      </c>
      <c r="BK25" s="92">
        <f t="shared" si="35"/>
        <v>34900</v>
      </c>
      <c r="BL25" s="93">
        <f t="shared" si="22"/>
        <v>34900</v>
      </c>
      <c r="BM25" s="94">
        <f t="shared" si="23"/>
        <v>0</v>
      </c>
      <c r="BN25" s="13"/>
      <c r="BO25" s="95">
        <f t="shared" si="24"/>
        <v>0</v>
      </c>
      <c r="BP25" s="95">
        <f t="shared" si="25"/>
        <v>0</v>
      </c>
      <c r="BQ25" s="95">
        <f t="shared" si="26"/>
        <v>1</v>
      </c>
      <c r="BR25" s="95">
        <f t="shared" si="27"/>
        <v>0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1</v>
      </c>
      <c r="BW25" s="95">
        <f t="shared" si="32"/>
        <v>0.004333374308</v>
      </c>
    </row>
    <row r="26" ht="15.75" customHeight="1">
      <c r="A26" s="168">
        <f>'LUCERO RECOLETA'!A26</f>
        <v>46160</v>
      </c>
      <c r="B26" s="162"/>
      <c r="C26" s="163">
        <v>1.0</v>
      </c>
      <c r="D26" s="165">
        <f t="shared" si="33"/>
        <v>615</v>
      </c>
      <c r="E26" s="165">
        <f t="shared" si="2"/>
        <v>615</v>
      </c>
      <c r="F26" s="73"/>
      <c r="G26" s="74"/>
      <c r="H26" s="169">
        <v>150330.58</v>
      </c>
      <c r="I26" s="169">
        <v>31569.42</v>
      </c>
      <c r="J26" s="76"/>
      <c r="K26" s="83">
        <f t="shared" si="3"/>
        <v>181900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6"/>
        <v>0</v>
      </c>
      <c r="V26" s="166"/>
      <c r="W26" s="82">
        <f t="shared" si="7"/>
        <v>0</v>
      </c>
      <c r="X26" s="171">
        <v>18.0</v>
      </c>
      <c r="Y26" s="171">
        <v>18.0</v>
      </c>
      <c r="Z26" s="172">
        <v>147933.89</v>
      </c>
      <c r="AA26" s="173">
        <v>31066.11</v>
      </c>
      <c r="AB26" s="166"/>
      <c r="AC26" s="81">
        <f t="shared" si="8"/>
        <v>179000</v>
      </c>
      <c r="AD26" s="84">
        <f t="shared" si="9"/>
        <v>2900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-2000</v>
      </c>
      <c r="AQ26" s="206">
        <v>0.0</v>
      </c>
      <c r="AR26" s="96"/>
      <c r="AS26" s="90"/>
      <c r="AT26" s="187">
        <v>2000.0</v>
      </c>
      <c r="AU26" s="75"/>
      <c r="AV26" s="75"/>
      <c r="AW26" s="90">
        <v>0.0</v>
      </c>
      <c r="AX26" s="88"/>
      <c r="AY26" s="75"/>
      <c r="AZ26" s="90">
        <f t="shared" si="15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19"/>
        <v>0</v>
      </c>
      <c r="BI26" s="75"/>
      <c r="BJ26" s="90">
        <f t="shared" si="20"/>
        <v>0</v>
      </c>
      <c r="BK26" s="92">
        <f t="shared" si="35"/>
        <v>2000</v>
      </c>
      <c r="BL26" s="93">
        <f t="shared" si="22"/>
        <v>2900</v>
      </c>
      <c r="BM26" s="94">
        <f t="shared" si="23"/>
        <v>-900</v>
      </c>
      <c r="BN26" s="14"/>
      <c r="BO26" s="95">
        <f t="shared" si="24"/>
        <v>0</v>
      </c>
      <c r="BP26" s="95">
        <f t="shared" si="25"/>
        <v>0</v>
      </c>
      <c r="BQ26" s="95">
        <f t="shared" si="26"/>
        <v>0.6896551724</v>
      </c>
      <c r="BR26" s="95">
        <f t="shared" si="27"/>
        <v>0</v>
      </c>
      <c r="BS26" s="95">
        <f t="shared" si="28"/>
        <v>0</v>
      </c>
      <c r="BT26" s="95">
        <f t="shared" si="29"/>
        <v>0</v>
      </c>
      <c r="BU26" s="95">
        <f t="shared" si="30"/>
        <v>0</v>
      </c>
      <c r="BV26" s="95">
        <f t="shared" si="31"/>
        <v>0.6896551724</v>
      </c>
      <c r="BW26" s="95">
        <f t="shared" si="32"/>
        <v>0.0003600798136</v>
      </c>
    </row>
    <row r="27" ht="15.75" customHeight="1">
      <c r="A27" s="168">
        <f>'LUCERO RECOLETA'!A27</f>
        <v>46161</v>
      </c>
      <c r="B27" s="162"/>
      <c r="C27" s="163">
        <v>2.0</v>
      </c>
      <c r="D27" s="165">
        <f t="shared" si="33"/>
        <v>616</v>
      </c>
      <c r="E27" s="165">
        <f t="shared" si="2"/>
        <v>617</v>
      </c>
      <c r="F27" s="73"/>
      <c r="G27" s="74"/>
      <c r="H27" s="169">
        <v>118099.17</v>
      </c>
      <c r="I27" s="169">
        <v>24800.83</v>
      </c>
      <c r="J27" s="76"/>
      <c r="K27" s="83">
        <f t="shared" si="3"/>
        <v>142900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6"/>
        <v>0</v>
      </c>
      <c r="V27" s="166"/>
      <c r="W27" s="82">
        <f t="shared" si="7"/>
        <v>0</v>
      </c>
      <c r="X27" s="165"/>
      <c r="Y27" s="165"/>
      <c r="Z27" s="79"/>
      <c r="AA27" s="80">
        <f t="shared" ref="AA27:AA40" si="40">Z27*21%</f>
        <v>0</v>
      </c>
      <c r="AB27" s="166"/>
      <c r="AC27" s="81">
        <f t="shared" si="8"/>
        <v>0</v>
      </c>
      <c r="AD27" s="84">
        <f t="shared" si="9"/>
        <v>142900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-142900</v>
      </c>
      <c r="AQ27" s="206">
        <v>0.0</v>
      </c>
      <c r="AR27" s="96"/>
      <c r="AS27" s="90"/>
      <c r="AT27" s="187">
        <v>142900.0</v>
      </c>
      <c r="AU27" s="75"/>
      <c r="AV27" s="75"/>
      <c r="AW27" s="90">
        <v>0.0</v>
      </c>
      <c r="AX27" s="88"/>
      <c r="AY27" s="75"/>
      <c r="AZ27" s="90">
        <f t="shared" si="15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19"/>
        <v>0</v>
      </c>
      <c r="BI27" s="75"/>
      <c r="BJ27" s="90">
        <f t="shared" si="20"/>
        <v>0</v>
      </c>
      <c r="BK27" s="92">
        <f t="shared" si="35"/>
        <v>142900</v>
      </c>
      <c r="BL27" s="93">
        <f t="shared" si="22"/>
        <v>142900</v>
      </c>
      <c r="BM27" s="94">
        <f t="shared" si="23"/>
        <v>0</v>
      </c>
      <c r="BN27" s="14"/>
      <c r="BO27" s="95">
        <f t="shared" si="24"/>
        <v>0</v>
      </c>
      <c r="BP27" s="95">
        <f t="shared" si="25"/>
        <v>0</v>
      </c>
      <c r="BQ27" s="95">
        <f t="shared" si="26"/>
        <v>1</v>
      </c>
      <c r="BR27" s="95">
        <f t="shared" si="27"/>
        <v>0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1</v>
      </c>
      <c r="BW27" s="95">
        <f t="shared" si="32"/>
        <v>0.01774324323</v>
      </c>
    </row>
    <row r="28" ht="15.75" customHeight="1">
      <c r="A28" s="168">
        <f>'LUCERO RECOLETA'!A28</f>
        <v>46162</v>
      </c>
      <c r="B28" s="162"/>
      <c r="C28" s="163">
        <v>1.0</v>
      </c>
      <c r="D28" s="165">
        <f t="shared" si="33"/>
        <v>618</v>
      </c>
      <c r="E28" s="165">
        <f t="shared" si="2"/>
        <v>618</v>
      </c>
      <c r="F28" s="73"/>
      <c r="G28" s="74"/>
      <c r="H28" s="169">
        <v>81818.18</v>
      </c>
      <c r="I28" s="169">
        <v>17181.82</v>
      </c>
      <c r="J28" s="76"/>
      <c r="K28" s="83">
        <f t="shared" si="3"/>
        <v>99000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6"/>
        <v>0</v>
      </c>
      <c r="V28" s="166"/>
      <c r="W28" s="82">
        <f t="shared" si="7"/>
        <v>0</v>
      </c>
      <c r="X28" s="165"/>
      <c r="Y28" s="165"/>
      <c r="Z28" s="79"/>
      <c r="AA28" s="80">
        <f t="shared" si="40"/>
        <v>0</v>
      </c>
      <c r="AB28" s="166"/>
      <c r="AC28" s="81">
        <f t="shared" si="8"/>
        <v>0</v>
      </c>
      <c r="AD28" s="84">
        <f t="shared" si="9"/>
        <v>99000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-99000</v>
      </c>
      <c r="AQ28" s="206">
        <v>0.0</v>
      </c>
      <c r="AR28" s="99"/>
      <c r="AS28" s="90"/>
      <c r="AT28" s="187">
        <v>99000.0</v>
      </c>
      <c r="AU28" s="75"/>
      <c r="AV28" s="75"/>
      <c r="AW28" s="90">
        <v>0.0</v>
      </c>
      <c r="AX28" s="88"/>
      <c r="AY28" s="75"/>
      <c r="AZ28" s="90">
        <f t="shared" si="15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19"/>
        <v>0</v>
      </c>
      <c r="BI28" s="75"/>
      <c r="BJ28" s="90">
        <f t="shared" si="20"/>
        <v>0</v>
      </c>
      <c r="BK28" s="92">
        <f t="shared" si="35"/>
        <v>99000</v>
      </c>
      <c r="BL28" s="93">
        <f t="shared" si="22"/>
        <v>99000</v>
      </c>
      <c r="BM28" s="94">
        <f t="shared" si="23"/>
        <v>0</v>
      </c>
      <c r="BN28" s="13"/>
      <c r="BO28" s="95">
        <f t="shared" si="24"/>
        <v>0</v>
      </c>
      <c r="BP28" s="95">
        <f t="shared" si="25"/>
        <v>0</v>
      </c>
      <c r="BQ28" s="95">
        <f t="shared" si="26"/>
        <v>1</v>
      </c>
      <c r="BR28" s="95">
        <f t="shared" si="27"/>
        <v>0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1</v>
      </c>
      <c r="BW28" s="95">
        <f t="shared" si="32"/>
        <v>0.01229237984</v>
      </c>
    </row>
    <row r="29" ht="15.75" customHeight="1">
      <c r="A29" s="168">
        <f>'LUCERO RECOLETA'!A29</f>
        <v>46163</v>
      </c>
      <c r="B29" s="162"/>
      <c r="C29" s="163">
        <v>4.0</v>
      </c>
      <c r="D29" s="165">
        <f t="shared" si="33"/>
        <v>619</v>
      </c>
      <c r="E29" s="165">
        <f t="shared" si="2"/>
        <v>622</v>
      </c>
      <c r="F29" s="73"/>
      <c r="G29" s="74"/>
      <c r="H29" s="169">
        <v>122809.91</v>
      </c>
      <c r="I29" s="169">
        <v>25790.09</v>
      </c>
      <c r="J29" s="76"/>
      <c r="K29" s="83">
        <f t="shared" si="3"/>
        <v>148600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6"/>
        <v>0</v>
      </c>
      <c r="V29" s="166"/>
      <c r="W29" s="82">
        <f t="shared" si="7"/>
        <v>0</v>
      </c>
      <c r="X29" s="165"/>
      <c r="Y29" s="165"/>
      <c r="Z29" s="79"/>
      <c r="AA29" s="80">
        <f t="shared" si="40"/>
        <v>0</v>
      </c>
      <c r="AB29" s="166"/>
      <c r="AC29" s="81">
        <f t="shared" si="8"/>
        <v>0</v>
      </c>
      <c r="AD29" s="84">
        <f t="shared" si="9"/>
        <v>148600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-148700</v>
      </c>
      <c r="AQ29" s="206">
        <v>25000.0</v>
      </c>
      <c r="AR29" s="99"/>
      <c r="AS29" s="90"/>
      <c r="AT29" s="187">
        <v>123700.0</v>
      </c>
      <c r="AU29" s="75"/>
      <c r="AV29" s="75"/>
      <c r="AW29" s="90">
        <v>0.0</v>
      </c>
      <c r="AX29" s="88"/>
      <c r="AY29" s="75"/>
      <c r="AZ29" s="90">
        <f t="shared" si="15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19"/>
        <v>0</v>
      </c>
      <c r="BI29" s="75"/>
      <c r="BJ29" s="90">
        <f t="shared" si="20"/>
        <v>0</v>
      </c>
      <c r="BK29" s="92">
        <f t="shared" si="35"/>
        <v>148700</v>
      </c>
      <c r="BL29" s="93">
        <f t="shared" si="22"/>
        <v>148600</v>
      </c>
      <c r="BM29" s="94">
        <f t="shared" si="23"/>
        <v>100</v>
      </c>
      <c r="BN29" s="149"/>
      <c r="BO29" s="95">
        <f t="shared" si="24"/>
        <v>0.1682368775</v>
      </c>
      <c r="BP29" s="95">
        <f t="shared" si="25"/>
        <v>0</v>
      </c>
      <c r="BQ29" s="95">
        <f t="shared" si="26"/>
        <v>0.83243607</v>
      </c>
      <c r="BR29" s="95">
        <f t="shared" si="27"/>
        <v>0</v>
      </c>
      <c r="BS29" s="95">
        <f t="shared" si="28"/>
        <v>0</v>
      </c>
      <c r="BT29" s="95">
        <f t="shared" si="29"/>
        <v>0</v>
      </c>
      <c r="BU29" s="95">
        <f t="shared" si="30"/>
        <v>0</v>
      </c>
      <c r="BV29" s="95">
        <f t="shared" si="31"/>
        <v>1.000672948</v>
      </c>
      <c r="BW29" s="95">
        <f t="shared" si="32"/>
        <v>0.01845098631</v>
      </c>
    </row>
    <row r="30" ht="15.75" customHeight="1">
      <c r="A30" s="168">
        <f>'LUCERO RECOLETA'!A30</f>
        <v>46164</v>
      </c>
      <c r="B30" s="162"/>
      <c r="C30" s="163">
        <v>5.0</v>
      </c>
      <c r="D30" s="165">
        <f t="shared" si="33"/>
        <v>623</v>
      </c>
      <c r="E30" s="165">
        <f t="shared" si="2"/>
        <v>627</v>
      </c>
      <c r="F30" s="73"/>
      <c r="G30" s="74"/>
      <c r="H30" s="169">
        <v>384132.23</v>
      </c>
      <c r="I30" s="169">
        <v>80667.77</v>
      </c>
      <c r="J30" s="76"/>
      <c r="K30" s="83">
        <f t="shared" si="3"/>
        <v>464800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6"/>
        <v>0</v>
      </c>
      <c r="V30" s="166"/>
      <c r="W30" s="82">
        <f t="shared" si="7"/>
        <v>0</v>
      </c>
      <c r="X30" s="165"/>
      <c r="Y30" s="165"/>
      <c r="Z30" s="79"/>
      <c r="AA30" s="80">
        <f t="shared" si="40"/>
        <v>0</v>
      </c>
      <c r="AB30" s="166"/>
      <c r="AC30" s="81">
        <f t="shared" si="8"/>
        <v>0</v>
      </c>
      <c r="AD30" s="84">
        <f t="shared" si="9"/>
        <v>464800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-464800</v>
      </c>
      <c r="AQ30" s="206">
        <v>0.0</v>
      </c>
      <c r="AR30" s="99"/>
      <c r="AS30" s="90"/>
      <c r="AT30" s="187">
        <v>464800.0</v>
      </c>
      <c r="AU30" s="75"/>
      <c r="AV30" s="75"/>
      <c r="AW30" s="90">
        <v>0.0</v>
      </c>
      <c r="AX30" s="88"/>
      <c r="AY30" s="75"/>
      <c r="AZ30" s="90">
        <f t="shared" si="15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19"/>
        <v>0</v>
      </c>
      <c r="BI30" s="75"/>
      <c r="BJ30" s="90">
        <f t="shared" si="20"/>
        <v>0</v>
      </c>
      <c r="BK30" s="92">
        <f t="shared" si="35"/>
        <v>464800</v>
      </c>
      <c r="BL30" s="93">
        <f t="shared" si="22"/>
        <v>464800</v>
      </c>
      <c r="BM30" s="94">
        <f t="shared" si="23"/>
        <v>0</v>
      </c>
      <c r="BN30" s="13"/>
      <c r="BO30" s="95">
        <f t="shared" si="24"/>
        <v>0</v>
      </c>
      <c r="BP30" s="95">
        <f t="shared" si="25"/>
        <v>0</v>
      </c>
      <c r="BQ30" s="95">
        <f t="shared" si="26"/>
        <v>1</v>
      </c>
      <c r="BR30" s="95">
        <f t="shared" si="27"/>
        <v>0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1</v>
      </c>
      <c r="BW30" s="95">
        <f t="shared" si="32"/>
        <v>0.05771210253</v>
      </c>
    </row>
    <row r="31" ht="15.75" customHeight="1">
      <c r="A31" s="168">
        <f>'LUCERO RECOLETA'!A31</f>
        <v>46165</v>
      </c>
      <c r="B31" s="162"/>
      <c r="C31" s="163">
        <v>3.0</v>
      </c>
      <c r="D31" s="165">
        <f t="shared" si="33"/>
        <v>628</v>
      </c>
      <c r="E31" s="165">
        <f t="shared" si="2"/>
        <v>630</v>
      </c>
      <c r="F31" s="73"/>
      <c r="G31" s="74"/>
      <c r="H31" s="169">
        <v>203966.95</v>
      </c>
      <c r="I31" s="169">
        <v>42833.05</v>
      </c>
      <c r="J31" s="76"/>
      <c r="K31" s="83">
        <f t="shared" si="3"/>
        <v>246800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71">
        <v>6.0</v>
      </c>
      <c r="S31" s="171">
        <v>6.0</v>
      </c>
      <c r="T31" s="172">
        <v>73553.72</v>
      </c>
      <c r="U31" s="173">
        <v>15446.28</v>
      </c>
      <c r="V31" s="166"/>
      <c r="W31" s="82">
        <f t="shared" si="7"/>
        <v>89000</v>
      </c>
      <c r="X31" s="165"/>
      <c r="Y31" s="165"/>
      <c r="Z31" s="79"/>
      <c r="AA31" s="80">
        <f t="shared" si="40"/>
        <v>0</v>
      </c>
      <c r="AB31" s="166"/>
      <c r="AC31" s="81">
        <f t="shared" si="8"/>
        <v>0</v>
      </c>
      <c r="AD31" s="84">
        <f t="shared" si="9"/>
        <v>335800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-336000</v>
      </c>
      <c r="AQ31" s="206">
        <v>90000.0</v>
      </c>
      <c r="AR31" s="96"/>
      <c r="AS31" s="90"/>
      <c r="AT31" s="187">
        <v>246000.0</v>
      </c>
      <c r="AU31" s="75"/>
      <c r="AV31" s="75"/>
      <c r="AW31" s="90">
        <v>0.0</v>
      </c>
      <c r="AX31" s="88"/>
      <c r="AY31" s="75"/>
      <c r="AZ31" s="90">
        <f t="shared" si="15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19"/>
        <v>0</v>
      </c>
      <c r="BI31" s="75"/>
      <c r="BJ31" s="90">
        <f t="shared" si="20"/>
        <v>0</v>
      </c>
      <c r="BK31" s="92">
        <f t="shared" si="35"/>
        <v>336000</v>
      </c>
      <c r="BL31" s="93">
        <f t="shared" si="22"/>
        <v>335800</v>
      </c>
      <c r="BM31" s="94">
        <f t="shared" si="23"/>
        <v>200</v>
      </c>
      <c r="BN31" s="13"/>
      <c r="BO31" s="95">
        <f t="shared" si="24"/>
        <v>0.2680166766</v>
      </c>
      <c r="BP31" s="95">
        <f t="shared" si="25"/>
        <v>0</v>
      </c>
      <c r="BQ31" s="95">
        <f t="shared" si="26"/>
        <v>0.732578916</v>
      </c>
      <c r="BR31" s="95">
        <f t="shared" si="27"/>
        <v>0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1.000595593</v>
      </c>
      <c r="BW31" s="95">
        <f t="shared" si="32"/>
        <v>0.0416947591</v>
      </c>
    </row>
    <row r="32" ht="15.75" customHeight="1">
      <c r="A32" s="168">
        <f>'LUCERO RECOLETA'!A32</f>
        <v>46166</v>
      </c>
      <c r="B32" s="162"/>
      <c r="C32" s="163">
        <v>3.0</v>
      </c>
      <c r="D32" s="165">
        <f t="shared" si="33"/>
        <v>631</v>
      </c>
      <c r="E32" s="165">
        <f t="shared" si="2"/>
        <v>633</v>
      </c>
      <c r="F32" s="73"/>
      <c r="G32" s="74"/>
      <c r="H32" s="169">
        <v>154380.17</v>
      </c>
      <c r="I32" s="169">
        <v>32419.83</v>
      </c>
      <c r="J32" s="76"/>
      <c r="K32" s="83">
        <f t="shared" si="3"/>
        <v>186800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ref="U32:U40" si="41">T32*21%</f>
        <v>0</v>
      </c>
      <c r="V32" s="166"/>
      <c r="W32" s="82">
        <f t="shared" si="7"/>
        <v>0</v>
      </c>
      <c r="X32" s="165"/>
      <c r="Y32" s="165"/>
      <c r="Z32" s="79"/>
      <c r="AA32" s="80">
        <f t="shared" si="40"/>
        <v>0</v>
      </c>
      <c r="AB32" s="166"/>
      <c r="AC32" s="81">
        <f t="shared" si="8"/>
        <v>0</v>
      </c>
      <c r="AD32" s="84">
        <f t="shared" si="9"/>
        <v>186800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-186800</v>
      </c>
      <c r="AQ32" s="206">
        <v>39000.0</v>
      </c>
      <c r="AR32" s="96"/>
      <c r="AS32" s="90"/>
      <c r="AT32" s="187">
        <v>147800.0</v>
      </c>
      <c r="AU32" s="75"/>
      <c r="AV32" s="75"/>
      <c r="AW32" s="90">
        <v>0.0</v>
      </c>
      <c r="AX32" s="88"/>
      <c r="AY32" s="75"/>
      <c r="AZ32" s="90">
        <f t="shared" si="15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19"/>
        <v>0</v>
      </c>
      <c r="BI32" s="75"/>
      <c r="BJ32" s="90">
        <f t="shared" si="20"/>
        <v>0</v>
      </c>
      <c r="BK32" s="92">
        <f t="shared" si="35"/>
        <v>186800</v>
      </c>
      <c r="BL32" s="93">
        <f t="shared" si="22"/>
        <v>186800</v>
      </c>
      <c r="BM32" s="94">
        <f t="shared" si="23"/>
        <v>0</v>
      </c>
      <c r="BN32" s="13"/>
      <c r="BO32" s="95">
        <f t="shared" si="24"/>
        <v>0.2087794433</v>
      </c>
      <c r="BP32" s="95">
        <f t="shared" si="25"/>
        <v>0</v>
      </c>
      <c r="BQ32" s="95">
        <f t="shared" si="26"/>
        <v>0.7912205567</v>
      </c>
      <c r="BR32" s="95">
        <f t="shared" si="27"/>
        <v>0</v>
      </c>
      <c r="BS32" s="95">
        <f t="shared" si="28"/>
        <v>0</v>
      </c>
      <c r="BT32" s="95">
        <f t="shared" si="29"/>
        <v>0</v>
      </c>
      <c r="BU32" s="95">
        <f t="shared" si="30"/>
        <v>0</v>
      </c>
      <c r="BV32" s="95">
        <f t="shared" si="31"/>
        <v>1</v>
      </c>
      <c r="BW32" s="95">
        <f t="shared" si="32"/>
        <v>0.02319410661</v>
      </c>
    </row>
    <row r="33" ht="15.75" customHeight="1">
      <c r="A33" s="168">
        <f>'LUCERO RECOLETA'!A33</f>
        <v>46167</v>
      </c>
      <c r="B33" s="162"/>
      <c r="C33" s="176">
        <v>3.0</v>
      </c>
      <c r="D33" s="165">
        <f t="shared" si="33"/>
        <v>634</v>
      </c>
      <c r="E33" s="165">
        <f t="shared" si="2"/>
        <v>636</v>
      </c>
      <c r="F33" s="73"/>
      <c r="G33" s="74"/>
      <c r="H33" s="169">
        <v>261347.11</v>
      </c>
      <c r="I33" s="169">
        <v>54882.89</v>
      </c>
      <c r="J33" s="76"/>
      <c r="K33" s="83">
        <f t="shared" si="3"/>
        <v>316230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41"/>
        <v>0</v>
      </c>
      <c r="V33" s="166"/>
      <c r="W33" s="82">
        <f t="shared" si="7"/>
        <v>0</v>
      </c>
      <c r="X33" s="165"/>
      <c r="Y33" s="165"/>
      <c r="Z33" s="79"/>
      <c r="AA33" s="80">
        <f t="shared" si="40"/>
        <v>0</v>
      </c>
      <c r="AB33" s="166"/>
      <c r="AC33" s="81">
        <f t="shared" si="8"/>
        <v>0</v>
      </c>
      <c r="AD33" s="84">
        <f t="shared" si="9"/>
        <v>316230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-316230</v>
      </c>
      <c r="AQ33" s="207">
        <v>0.0</v>
      </c>
      <c r="AR33" s="96"/>
      <c r="AS33" s="90"/>
      <c r="AT33" s="187">
        <v>316230.0</v>
      </c>
      <c r="AU33" s="75"/>
      <c r="AV33" s="75"/>
      <c r="AW33" s="90">
        <v>0.0</v>
      </c>
      <c r="AX33" s="88"/>
      <c r="AY33" s="75"/>
      <c r="AZ33" s="90">
        <f t="shared" si="15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19"/>
        <v>0</v>
      </c>
      <c r="BI33" s="75"/>
      <c r="BJ33" s="90">
        <f t="shared" si="20"/>
        <v>0</v>
      </c>
      <c r="BK33" s="92">
        <f t="shared" si="35"/>
        <v>316230</v>
      </c>
      <c r="BL33" s="93">
        <f t="shared" si="22"/>
        <v>316230</v>
      </c>
      <c r="BM33" s="94">
        <f t="shared" si="23"/>
        <v>0</v>
      </c>
      <c r="BN33" s="13"/>
      <c r="BO33" s="95">
        <f t="shared" si="24"/>
        <v>0</v>
      </c>
      <c r="BP33" s="95">
        <f t="shared" si="25"/>
        <v>0</v>
      </c>
      <c r="BQ33" s="95">
        <f t="shared" si="26"/>
        <v>1</v>
      </c>
      <c r="BR33" s="95">
        <f t="shared" si="27"/>
        <v>0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1</v>
      </c>
      <c r="BW33" s="95">
        <f t="shared" si="32"/>
        <v>0.03926484119</v>
      </c>
    </row>
    <row r="34" ht="15.75" customHeight="1">
      <c r="A34" s="168">
        <f>'LUCERO RECOLETA'!A34</f>
        <v>46168</v>
      </c>
      <c r="B34" s="162"/>
      <c r="C34" s="176">
        <v>3.0</v>
      </c>
      <c r="D34" s="165">
        <f t="shared" si="33"/>
        <v>637</v>
      </c>
      <c r="E34" s="165">
        <f t="shared" si="2"/>
        <v>639</v>
      </c>
      <c r="F34" s="73"/>
      <c r="G34" s="74"/>
      <c r="H34" s="169">
        <v>188016.54</v>
      </c>
      <c r="I34" s="169">
        <v>39483.46</v>
      </c>
      <c r="J34" s="76"/>
      <c r="K34" s="83">
        <f t="shared" si="3"/>
        <v>227500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41"/>
        <v>0</v>
      </c>
      <c r="V34" s="166"/>
      <c r="W34" s="82">
        <f t="shared" si="7"/>
        <v>0</v>
      </c>
      <c r="X34" s="165"/>
      <c r="Y34" s="165"/>
      <c r="Z34" s="79"/>
      <c r="AA34" s="80">
        <f t="shared" si="40"/>
        <v>0</v>
      </c>
      <c r="AB34" s="166"/>
      <c r="AC34" s="81">
        <f t="shared" si="8"/>
        <v>0</v>
      </c>
      <c r="AD34" s="84">
        <f t="shared" si="9"/>
        <v>227500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-227500</v>
      </c>
      <c r="AQ34" s="207">
        <v>0.0</v>
      </c>
      <c r="AR34" s="96"/>
      <c r="AS34" s="90"/>
      <c r="AT34" s="187">
        <v>227500.0</v>
      </c>
      <c r="AU34" s="75"/>
      <c r="AV34" s="75"/>
      <c r="AW34" s="90">
        <v>0.0</v>
      </c>
      <c r="AX34" s="88"/>
      <c r="AY34" s="75"/>
      <c r="AZ34" s="90">
        <f t="shared" ref="AZ34:AZ40" si="42">AY34*AZ$3</f>
        <v>0</v>
      </c>
      <c r="BA34" s="75"/>
      <c r="BB34" s="90">
        <f>BA34*BB$3</f>
        <v>0</v>
      </c>
      <c r="BC34" s="75"/>
      <c r="BD34" s="90">
        <f t="shared" ref="BD34:BD40" si="43">BC34*BD$3</f>
        <v>0</v>
      </c>
      <c r="BE34" s="75"/>
      <c r="BF34" s="90">
        <f t="shared" ref="BF34:BF40" si="44">BE34*BF$3</f>
        <v>0</v>
      </c>
      <c r="BG34" s="75"/>
      <c r="BH34" s="90">
        <f t="shared" ref="BH34:BH40" si="45">BG34*BH$3</f>
        <v>0</v>
      </c>
      <c r="BI34" s="75"/>
      <c r="BJ34" s="90">
        <f t="shared" ref="BJ34:BJ40" si="46">BI34*BJ$3</f>
        <v>0</v>
      </c>
      <c r="BK34" s="92">
        <f t="shared" si="35"/>
        <v>227500</v>
      </c>
      <c r="BL34" s="93">
        <f t="shared" si="22"/>
        <v>227500</v>
      </c>
      <c r="BM34" s="94">
        <f t="shared" si="23"/>
        <v>0</v>
      </c>
      <c r="BN34" s="14"/>
      <c r="BO34" s="95">
        <f t="shared" si="24"/>
        <v>0</v>
      </c>
      <c r="BP34" s="95">
        <f t="shared" si="25"/>
        <v>0</v>
      </c>
      <c r="BQ34" s="95">
        <f t="shared" si="26"/>
        <v>1</v>
      </c>
      <c r="BR34" s="95">
        <f t="shared" si="27"/>
        <v>0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1</v>
      </c>
      <c r="BW34" s="95">
        <f t="shared" si="32"/>
        <v>0.02824764055</v>
      </c>
    </row>
    <row r="35" ht="15.75" customHeight="1">
      <c r="A35" s="168">
        <f>'LUCERO RECOLETA'!A35</f>
        <v>46169</v>
      </c>
      <c r="B35" s="162"/>
      <c r="C35" s="163">
        <v>0.0</v>
      </c>
      <c r="D35" s="165">
        <f t="shared" si="33"/>
        <v>640</v>
      </c>
      <c r="E35" s="165">
        <f t="shared" si="2"/>
        <v>639</v>
      </c>
      <c r="F35" s="73"/>
      <c r="G35" s="74"/>
      <c r="H35" s="169">
        <v>0.0</v>
      </c>
      <c r="I35" s="75"/>
      <c r="J35" s="76"/>
      <c r="K35" s="83">
        <f t="shared" si="3"/>
        <v>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41"/>
        <v>0</v>
      </c>
      <c r="V35" s="166"/>
      <c r="W35" s="82">
        <f t="shared" si="7"/>
        <v>0</v>
      </c>
      <c r="X35" s="165"/>
      <c r="Y35" s="165"/>
      <c r="Z35" s="79"/>
      <c r="AA35" s="80">
        <f t="shared" si="40"/>
        <v>0</v>
      </c>
      <c r="AB35" s="166"/>
      <c r="AC35" s="81">
        <f t="shared" si="8"/>
        <v>0</v>
      </c>
      <c r="AD35" s="84">
        <f t="shared" si="9"/>
        <v>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0</v>
      </c>
      <c r="AQ35" s="207">
        <v>0.0</v>
      </c>
      <c r="AR35" s="96"/>
      <c r="AS35" s="90"/>
      <c r="AT35" s="187">
        <v>0.0</v>
      </c>
      <c r="AU35" s="75"/>
      <c r="AV35" s="75"/>
      <c r="AW35" s="90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 t="shared" si="46"/>
        <v>0</v>
      </c>
      <c r="BK35" s="92">
        <f t="shared" si="35"/>
        <v>0</v>
      </c>
      <c r="BL35" s="93">
        <f t="shared" si="22"/>
        <v>0</v>
      </c>
      <c r="BM35" s="94">
        <f t="shared" si="23"/>
        <v>0</v>
      </c>
      <c r="BN35" s="13"/>
      <c r="BO35" s="95">
        <f t="shared" si="24"/>
        <v>0</v>
      </c>
      <c r="BP35" s="95">
        <f t="shared" si="25"/>
        <v>0</v>
      </c>
      <c r="BQ35" s="95">
        <f t="shared" si="26"/>
        <v>0</v>
      </c>
      <c r="BR35" s="95">
        <f t="shared" si="27"/>
        <v>0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0</v>
      </c>
      <c r="BW35" s="95">
        <f t="shared" si="32"/>
        <v>0</v>
      </c>
    </row>
    <row r="36" ht="15.75" customHeight="1">
      <c r="A36" s="168">
        <f>'LUCERO RECOLETA'!A36</f>
        <v>46170</v>
      </c>
      <c r="B36" s="162"/>
      <c r="C36" s="163">
        <v>4.0</v>
      </c>
      <c r="D36" s="165">
        <f t="shared" si="33"/>
        <v>640</v>
      </c>
      <c r="E36" s="165">
        <f t="shared" si="2"/>
        <v>643</v>
      </c>
      <c r="F36" s="73"/>
      <c r="G36" s="74"/>
      <c r="H36" s="169">
        <v>184123.97</v>
      </c>
      <c r="I36" s="169">
        <v>38666.03</v>
      </c>
      <c r="J36" s="76"/>
      <c r="K36" s="83">
        <f t="shared" si="3"/>
        <v>222790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41"/>
        <v>0</v>
      </c>
      <c r="V36" s="166"/>
      <c r="W36" s="82">
        <f t="shared" si="7"/>
        <v>0</v>
      </c>
      <c r="X36" s="165"/>
      <c r="Y36" s="165"/>
      <c r="Z36" s="79"/>
      <c r="AA36" s="80">
        <f t="shared" si="40"/>
        <v>0</v>
      </c>
      <c r="AB36" s="166"/>
      <c r="AC36" s="81">
        <f t="shared" si="8"/>
        <v>0</v>
      </c>
      <c r="AD36" s="84">
        <f t="shared" si="9"/>
        <v>222790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-222790</v>
      </c>
      <c r="AQ36" s="207">
        <v>0.0</v>
      </c>
      <c r="AR36" s="96"/>
      <c r="AS36" s="90"/>
      <c r="AT36" s="187">
        <v>222790.0</v>
      </c>
      <c r="AU36" s="75"/>
      <c r="AV36" s="75"/>
      <c r="AW36" s="90">
        <v>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si="46"/>
        <v>0</v>
      </c>
      <c r="BK36" s="92">
        <f t="shared" si="35"/>
        <v>222790</v>
      </c>
      <c r="BL36" s="93">
        <f t="shared" si="22"/>
        <v>222790</v>
      </c>
      <c r="BM36" s="94">
        <f t="shared" si="23"/>
        <v>0</v>
      </c>
      <c r="BN36" s="13"/>
      <c r="BO36" s="95">
        <f t="shared" si="24"/>
        <v>0</v>
      </c>
      <c r="BP36" s="95">
        <f t="shared" si="25"/>
        <v>0</v>
      </c>
      <c r="BQ36" s="95">
        <f t="shared" si="26"/>
        <v>1</v>
      </c>
      <c r="BR36" s="95">
        <f t="shared" si="27"/>
        <v>0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1</v>
      </c>
      <c r="BW36" s="95">
        <f t="shared" si="32"/>
        <v>0.02766282126</v>
      </c>
    </row>
    <row r="37" ht="15.75" customHeight="1">
      <c r="A37" s="168">
        <f>'LUCERO RECOLETA'!A37</f>
        <v>46171</v>
      </c>
      <c r="B37" s="162"/>
      <c r="C37" s="163">
        <v>3.0</v>
      </c>
      <c r="D37" s="165">
        <f t="shared" si="33"/>
        <v>644</v>
      </c>
      <c r="E37" s="165">
        <f t="shared" si="2"/>
        <v>646</v>
      </c>
      <c r="F37" s="73"/>
      <c r="G37" s="74"/>
      <c r="H37" s="169">
        <v>261735.54</v>
      </c>
      <c r="I37" s="169">
        <v>54964.46</v>
      </c>
      <c r="J37" s="76"/>
      <c r="K37" s="83">
        <f t="shared" si="3"/>
        <v>316700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41"/>
        <v>0</v>
      </c>
      <c r="V37" s="166"/>
      <c r="W37" s="82">
        <f t="shared" si="7"/>
        <v>0</v>
      </c>
      <c r="X37" s="165"/>
      <c r="Y37" s="165"/>
      <c r="Z37" s="79"/>
      <c r="AA37" s="80">
        <f t="shared" si="40"/>
        <v>0</v>
      </c>
      <c r="AB37" s="166"/>
      <c r="AC37" s="81">
        <f t="shared" si="8"/>
        <v>0</v>
      </c>
      <c r="AD37" s="84">
        <f t="shared" si="9"/>
        <v>316700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-317000</v>
      </c>
      <c r="AQ37" s="207">
        <v>120000.0</v>
      </c>
      <c r="AR37" s="96"/>
      <c r="AS37" s="90"/>
      <c r="AT37" s="187">
        <v>197000.0</v>
      </c>
      <c r="AU37" s="75"/>
      <c r="AV37" s="75"/>
      <c r="AW37" s="90">
        <v>0.0</v>
      </c>
      <c r="AX37" s="88"/>
      <c r="AY37" s="75"/>
      <c r="AZ37" s="90">
        <f t="shared" si="42"/>
        <v>0</v>
      </c>
      <c r="BA37" s="75"/>
      <c r="BB37" s="90">
        <f>BA37*1460</f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5"/>
        <v>317000</v>
      </c>
      <c r="BL37" s="93">
        <f t="shared" si="22"/>
        <v>316700</v>
      </c>
      <c r="BM37" s="94">
        <f t="shared" si="23"/>
        <v>300</v>
      </c>
      <c r="BN37" s="13"/>
      <c r="BO37" s="95">
        <f t="shared" si="24"/>
        <v>0.3789074834</v>
      </c>
      <c r="BP37" s="95">
        <f t="shared" si="25"/>
        <v>0</v>
      </c>
      <c r="BQ37" s="95">
        <f t="shared" si="26"/>
        <v>0.6220397853</v>
      </c>
      <c r="BR37" s="95">
        <f t="shared" si="27"/>
        <v>0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1.000947269</v>
      </c>
      <c r="BW37" s="95">
        <f t="shared" si="32"/>
        <v>0.03932319895</v>
      </c>
    </row>
    <row r="38" ht="15.75" customHeight="1">
      <c r="A38" s="168">
        <f>'LUCERO RECOLETA'!A38</f>
        <v>46172</v>
      </c>
      <c r="B38" s="162"/>
      <c r="C38" s="163">
        <v>4.0</v>
      </c>
      <c r="D38" s="165">
        <f t="shared" si="33"/>
        <v>647</v>
      </c>
      <c r="E38" s="165">
        <f t="shared" si="2"/>
        <v>650</v>
      </c>
      <c r="F38" s="73"/>
      <c r="G38" s="74"/>
      <c r="H38" s="169">
        <v>404876.03</v>
      </c>
      <c r="I38" s="169">
        <v>85023.97</v>
      </c>
      <c r="J38" s="76"/>
      <c r="K38" s="83">
        <f t="shared" si="3"/>
        <v>489900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41"/>
        <v>0</v>
      </c>
      <c r="V38" s="166"/>
      <c r="W38" s="82">
        <f t="shared" si="7"/>
        <v>0</v>
      </c>
      <c r="X38" s="165"/>
      <c r="Y38" s="165"/>
      <c r="Z38" s="79"/>
      <c r="AA38" s="80">
        <f t="shared" si="40"/>
        <v>0</v>
      </c>
      <c r="AB38" s="166"/>
      <c r="AC38" s="81">
        <f t="shared" si="8"/>
        <v>0</v>
      </c>
      <c r="AD38" s="84">
        <f t="shared" si="9"/>
        <v>489900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-490900</v>
      </c>
      <c r="AQ38" s="207">
        <v>20000.0</v>
      </c>
      <c r="AR38" s="96"/>
      <c r="AS38" s="90" t="str">
        <f>AG38</f>
        <v/>
      </c>
      <c r="AT38" s="187">
        <v>470900.0</v>
      </c>
      <c r="AU38" s="75"/>
      <c r="AV38" s="75"/>
      <c r="AW38" s="90">
        <v>0.0</v>
      </c>
      <c r="AX38" s="88"/>
      <c r="AY38" s="75"/>
      <c r="AZ38" s="90">
        <f t="shared" si="42"/>
        <v>0</v>
      </c>
      <c r="BA38" s="75"/>
      <c r="BB38" s="90">
        <f t="shared" ref="BB38:BB40" si="47">BA38*BB$3</f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5"/>
        <v>490900</v>
      </c>
      <c r="BL38" s="93">
        <f t="shared" si="22"/>
        <v>489900</v>
      </c>
      <c r="BM38" s="94">
        <f t="shared" si="23"/>
        <v>1000</v>
      </c>
      <c r="BN38" s="14"/>
      <c r="BO38" s="95">
        <f t="shared" si="24"/>
        <v>0.04082465809</v>
      </c>
      <c r="BP38" s="95">
        <f t="shared" si="25"/>
        <v>0</v>
      </c>
      <c r="BQ38" s="95">
        <f t="shared" si="26"/>
        <v>0.9612165748</v>
      </c>
      <c r="BR38" s="95">
        <f t="shared" si="27"/>
        <v>0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1.002041233</v>
      </c>
      <c r="BW38" s="95">
        <f t="shared" si="32"/>
        <v>0.0608286554</v>
      </c>
    </row>
    <row r="39" ht="15.75" customHeight="1">
      <c r="A39" s="168">
        <f>'LUCERO RECOLETA'!A39</f>
        <v>46173</v>
      </c>
      <c r="B39" s="162"/>
      <c r="C39" s="163">
        <v>3.0</v>
      </c>
      <c r="D39" s="165">
        <f t="shared" si="33"/>
        <v>651</v>
      </c>
      <c r="E39" s="165">
        <f t="shared" si="2"/>
        <v>653</v>
      </c>
      <c r="F39" s="73"/>
      <c r="G39" s="74"/>
      <c r="H39" s="169">
        <v>171074.38</v>
      </c>
      <c r="I39" s="169">
        <v>35925.62</v>
      </c>
      <c r="J39" s="76"/>
      <c r="K39" s="83">
        <f t="shared" si="3"/>
        <v>207000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41"/>
        <v>0</v>
      </c>
      <c r="V39" s="166"/>
      <c r="W39" s="82">
        <f t="shared" si="7"/>
        <v>0</v>
      </c>
      <c r="X39" s="165"/>
      <c r="Y39" s="165"/>
      <c r="Z39" s="79"/>
      <c r="AA39" s="80">
        <f t="shared" si="40"/>
        <v>0</v>
      </c>
      <c r="AB39" s="166"/>
      <c r="AC39" s="81">
        <f t="shared" si="8"/>
        <v>0</v>
      </c>
      <c r="AD39" s="84">
        <f t="shared" si="9"/>
        <v>207000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207">
        <v>0.0</v>
      </c>
      <c r="AR39" s="96"/>
      <c r="AS39" s="90"/>
      <c r="AT39" s="187">
        <v>207000.0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75"/>
      <c r="BB39" s="90">
        <f t="shared" si="47"/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5"/>
        <v>207000</v>
      </c>
      <c r="BL39" s="93">
        <f t="shared" si="22"/>
        <v>207000</v>
      </c>
      <c r="BM39" s="94">
        <f t="shared" si="23"/>
        <v>0</v>
      </c>
      <c r="BN39" s="14"/>
      <c r="BO39" s="95">
        <f t="shared" si="24"/>
        <v>0</v>
      </c>
      <c r="BP39" s="95">
        <f t="shared" si="25"/>
        <v>0</v>
      </c>
      <c r="BQ39" s="95">
        <f t="shared" si="26"/>
        <v>1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1</v>
      </c>
      <c r="BW39" s="95">
        <f t="shared" si="32"/>
        <v>0.02570224876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41"/>
        <v>0</v>
      </c>
      <c r="V40" s="166"/>
      <c r="W40" s="82"/>
      <c r="X40" s="165"/>
      <c r="Y40" s="165"/>
      <c r="Z40" s="79"/>
      <c r="AA40" s="80">
        <f t="shared" si="40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 t="shared" si="47"/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5"/>
        <v>0</v>
      </c>
      <c r="BL40" s="93"/>
      <c r="BM40" s="94">
        <f t="shared" si="23"/>
        <v>0</v>
      </c>
      <c r="BN40" s="14"/>
      <c r="BO40" s="95">
        <f t="shared" si="24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90</v>
      </c>
      <c r="D41" s="105">
        <f>MIN(D9:D40)</f>
        <v>564</v>
      </c>
      <c r="E41" s="105">
        <f>MAX(E9:E40)</f>
        <v>653</v>
      </c>
      <c r="F41" s="106">
        <f t="shared" ref="F41:K41" si="48">SUM(F9:F40)</f>
        <v>0</v>
      </c>
      <c r="G41" s="106">
        <f t="shared" si="48"/>
        <v>0</v>
      </c>
      <c r="H41" s="77">
        <f t="shared" si="48"/>
        <v>7089727.32</v>
      </c>
      <c r="I41" s="77">
        <f t="shared" si="48"/>
        <v>1488842.68</v>
      </c>
      <c r="J41" s="77">
        <f t="shared" si="48"/>
        <v>0</v>
      </c>
      <c r="K41" s="77">
        <f t="shared" si="48"/>
        <v>8578570</v>
      </c>
      <c r="L41" s="107">
        <f>MIN(L9:L40)</f>
        <v>0</v>
      </c>
      <c r="M41" s="107">
        <f>MAX(M9:M40)</f>
        <v>0</v>
      </c>
      <c r="N41" s="83">
        <f t="shared" ref="N41:Q41" si="49">SUM(N9:N40)</f>
        <v>0</v>
      </c>
      <c r="O41" s="83">
        <f t="shared" si="49"/>
        <v>0</v>
      </c>
      <c r="P41" s="83">
        <f t="shared" si="49"/>
        <v>0</v>
      </c>
      <c r="Q41" s="83">
        <f t="shared" si="49"/>
        <v>0</v>
      </c>
      <c r="R41" s="208">
        <f>MIN(R9:R40)</f>
        <v>6</v>
      </c>
      <c r="S41" s="208">
        <f>MAX(S9:S40)</f>
        <v>6</v>
      </c>
      <c r="T41" s="82">
        <f t="shared" ref="T41:W41" si="50">SUM(T9:T40)</f>
        <v>73553.72</v>
      </c>
      <c r="U41" s="82">
        <f t="shared" si="50"/>
        <v>15446.28</v>
      </c>
      <c r="V41" s="82">
        <f t="shared" si="50"/>
        <v>0</v>
      </c>
      <c r="W41" s="82">
        <f t="shared" si="50"/>
        <v>89000</v>
      </c>
      <c r="X41" s="209">
        <f>MIN(X9:X40)</f>
        <v>13</v>
      </c>
      <c r="Y41" s="209">
        <f>MAX(Y9:Y40)</f>
        <v>18</v>
      </c>
      <c r="Z41" s="83">
        <f t="shared" ref="Z41:AD41" si="51">SUM(Z9:Z40)</f>
        <v>507272.75</v>
      </c>
      <c r="AA41" s="83">
        <f t="shared" si="51"/>
        <v>106527.25</v>
      </c>
      <c r="AB41" s="83">
        <f t="shared" si="51"/>
        <v>0</v>
      </c>
      <c r="AC41" s="83">
        <f t="shared" si="51"/>
        <v>613800</v>
      </c>
      <c r="AD41" s="84">
        <f t="shared" si="51"/>
        <v>8053770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-7846610</v>
      </c>
      <c r="AQ41" s="112">
        <f t="shared" ref="AQ41:BM41" si="53">SUM(AQ9:AQ40)</f>
        <v>695000</v>
      </c>
      <c r="AR41" s="112">
        <f t="shared" si="53"/>
        <v>0</v>
      </c>
      <c r="AS41" s="112">
        <f t="shared" si="53"/>
        <v>0</v>
      </c>
      <c r="AT41" s="112">
        <f t="shared" si="53"/>
        <v>7358610</v>
      </c>
      <c r="AU41" s="112">
        <f t="shared" si="53"/>
        <v>0</v>
      </c>
      <c r="AV41" s="112">
        <f t="shared" si="53"/>
        <v>0</v>
      </c>
      <c r="AW41" s="112">
        <f t="shared" si="53"/>
        <v>0</v>
      </c>
      <c r="AX41" s="112">
        <f t="shared" si="53"/>
        <v>0</v>
      </c>
      <c r="AY41" s="112">
        <f t="shared" si="53"/>
        <v>0</v>
      </c>
      <c r="AZ41" s="112">
        <f t="shared" si="53"/>
        <v>0</v>
      </c>
      <c r="BA41" s="112">
        <f t="shared" si="53"/>
        <v>0</v>
      </c>
      <c r="BB41" s="112">
        <f t="shared" si="53"/>
        <v>0</v>
      </c>
      <c r="BC41" s="112">
        <f t="shared" si="53"/>
        <v>0</v>
      </c>
      <c r="BD41" s="112">
        <f t="shared" si="53"/>
        <v>0</v>
      </c>
      <c r="BE41" s="112">
        <f t="shared" si="53"/>
        <v>0</v>
      </c>
      <c r="BF41" s="112">
        <f t="shared" si="53"/>
        <v>0</v>
      </c>
      <c r="BG41" s="112">
        <f t="shared" si="53"/>
        <v>0</v>
      </c>
      <c r="BH41" s="112">
        <f t="shared" si="53"/>
        <v>0</v>
      </c>
      <c r="BI41" s="112">
        <f t="shared" si="53"/>
        <v>0</v>
      </c>
      <c r="BJ41" s="112">
        <f t="shared" si="53"/>
        <v>0</v>
      </c>
      <c r="BK41" s="112">
        <f t="shared" si="53"/>
        <v>8053610</v>
      </c>
      <c r="BL41" s="112">
        <f t="shared" si="53"/>
        <v>8053770</v>
      </c>
      <c r="BM41" s="112">
        <f t="shared" si="53"/>
        <v>-160</v>
      </c>
      <c r="BN41" s="14"/>
      <c r="BO41" s="95">
        <f t="shared" si="24"/>
        <v>0.0862949898</v>
      </c>
      <c r="BP41" s="95">
        <f t="shared" si="25"/>
        <v>0</v>
      </c>
      <c r="BQ41" s="95">
        <f t="shared" si="26"/>
        <v>0.9136851437</v>
      </c>
      <c r="BR41" s="95">
        <f t="shared" si="27"/>
        <v>0</v>
      </c>
      <c r="BS41" s="95">
        <f t="shared" si="28"/>
        <v>0</v>
      </c>
      <c r="BT41" s="95">
        <f t="shared" si="29"/>
        <v>0</v>
      </c>
      <c r="BU41" s="95">
        <f t="shared" si="30"/>
        <v>0</v>
      </c>
      <c r="BV41" s="95">
        <f t="shared" si="31"/>
        <v>0.9999801335</v>
      </c>
      <c r="BW41" s="95">
        <f t="shared" si="32"/>
        <v>1</v>
      </c>
    </row>
    <row r="42" ht="14.25" customHeight="1">
      <c r="A42" s="181"/>
      <c r="B42" s="7"/>
      <c r="C42" s="14"/>
      <c r="D42" s="182">
        <v>255.0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92">
        <v>12.0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309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5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8053770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695000</v>
      </c>
      <c r="AR47" s="136">
        <f t="shared" si="54"/>
        <v>0</v>
      </c>
      <c r="AS47" s="136">
        <f t="shared" ref="AS47:AU47" si="55">AU41</f>
        <v>0</v>
      </c>
      <c r="AT47" s="136">
        <f t="shared" si="55"/>
        <v>0</v>
      </c>
      <c r="AU47" s="136">
        <f t="shared" si="55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0.0862949898</v>
      </c>
      <c r="AR48" s="113">
        <f t="shared" si="56"/>
        <v>0</v>
      </c>
      <c r="AS48" s="113">
        <f t="shared" si="56"/>
        <v>0</v>
      </c>
      <c r="AT48" s="113">
        <f t="shared" si="56"/>
        <v>0</v>
      </c>
      <c r="AU48" s="113">
        <f t="shared" si="56"/>
        <v>0</v>
      </c>
      <c r="AV48" s="113">
        <f t="shared" si="56"/>
        <v>0</v>
      </c>
      <c r="AW48" s="113">
        <f t="shared" si="56"/>
        <v>0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5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28" width="8.43"/>
    <col customWidth="1" min="29" max="29" width="11.0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210"/>
      <c r="B1" s="211"/>
      <c r="C1" s="212"/>
      <c r="D1" s="212"/>
      <c r="E1" s="212"/>
      <c r="F1" s="212"/>
      <c r="G1" s="212"/>
      <c r="H1" s="213"/>
      <c r="I1" s="213"/>
      <c r="J1" s="213"/>
      <c r="K1" s="214"/>
      <c r="L1" s="215"/>
      <c r="M1" s="215"/>
      <c r="N1" s="215"/>
      <c r="O1" s="215"/>
      <c r="P1" s="215"/>
      <c r="Q1" s="215"/>
      <c r="R1" s="216"/>
      <c r="S1" s="217"/>
      <c r="T1" s="218"/>
      <c r="U1" s="211"/>
      <c r="V1" s="211"/>
      <c r="W1" s="211"/>
      <c r="X1" s="211"/>
      <c r="Y1" s="219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20"/>
      <c r="AK1" s="211"/>
      <c r="AL1" s="211"/>
      <c r="AM1" s="211"/>
      <c r="AN1" s="211"/>
      <c r="AO1" s="219"/>
      <c r="AP1" s="211"/>
      <c r="AQ1" s="211"/>
      <c r="AR1" s="211"/>
      <c r="AS1" s="221" t="s">
        <v>0</v>
      </c>
      <c r="AT1" s="211"/>
      <c r="AU1" s="211"/>
      <c r="AV1" s="211"/>
      <c r="AW1" s="211"/>
      <c r="AX1" s="211" t="s">
        <v>1</v>
      </c>
      <c r="AY1" s="211" t="s">
        <v>2</v>
      </c>
      <c r="BB1" s="211"/>
      <c r="BO1" s="222"/>
      <c r="BP1" s="222"/>
      <c r="BQ1" s="222"/>
      <c r="BR1" s="222"/>
      <c r="BS1" s="222"/>
      <c r="BT1" s="222"/>
      <c r="BU1" s="222"/>
      <c r="BV1" s="222"/>
      <c r="BW1" s="222"/>
    </row>
    <row r="2" ht="15.75" customHeight="1">
      <c r="A2" s="223" t="s">
        <v>3</v>
      </c>
      <c r="B2" s="221"/>
      <c r="C2" s="221"/>
      <c r="D2" s="221"/>
      <c r="E2" s="212"/>
      <c r="F2" s="212"/>
      <c r="G2" s="212"/>
      <c r="H2" s="213"/>
      <c r="I2" s="213"/>
      <c r="J2" s="213"/>
      <c r="K2" s="224"/>
      <c r="L2" s="215"/>
      <c r="M2" s="215"/>
      <c r="N2" s="215"/>
      <c r="O2" s="215"/>
      <c r="P2" s="215"/>
      <c r="Q2" s="215"/>
      <c r="R2" s="216"/>
      <c r="S2" s="225"/>
      <c r="T2" s="219"/>
      <c r="U2" s="211"/>
      <c r="V2" s="211"/>
      <c r="W2" s="211"/>
      <c r="X2" s="211"/>
      <c r="Y2" s="219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20"/>
      <c r="AK2" s="211"/>
      <c r="AL2" s="211"/>
      <c r="AM2" s="211"/>
      <c r="AN2" s="211"/>
      <c r="AO2" s="219"/>
      <c r="AP2" s="211"/>
      <c r="AQ2" s="211"/>
      <c r="AR2" s="211"/>
      <c r="AS2" s="226" t="str">
        <f>'LUCERO RECOLETA'!AS2</f>
        <v/>
      </c>
      <c r="AT2" s="211"/>
      <c r="AU2" s="227"/>
      <c r="AV2" s="227"/>
      <c r="AW2" s="228"/>
      <c r="AX2" s="228" t="str">
        <f>'LUCERO RECOLETA'!AX2</f>
        <v/>
      </c>
      <c r="AY2" s="228" t="str">
        <f>'LUCERO RECOLETA'!AY2</f>
        <v/>
      </c>
      <c r="AZ2" s="227" t="str">
        <f>'LUCERO RECOLETA'!AZ2</f>
        <v/>
      </c>
      <c r="BA2" s="227" t="str">
        <f>'LUCERO RECOLETA'!BA2</f>
        <v/>
      </c>
      <c r="BB2" s="227" t="str">
        <f>'LUCERO RECOLETA'!BB2</f>
        <v/>
      </c>
      <c r="BC2" s="227" t="str">
        <f>'LUCERO RECOLETA'!BC2</f>
        <v/>
      </c>
      <c r="BD2" s="227" t="str">
        <f>'LUCERO RECOLETA'!BD2</f>
        <v/>
      </c>
      <c r="BE2" s="227" t="str">
        <f>'LUCERO RECOLETA'!BE2</f>
        <v/>
      </c>
      <c r="BF2" s="227" t="str">
        <f>'LUCERO RECOLETA'!BF2</f>
        <v/>
      </c>
      <c r="BG2" s="227" t="str">
        <f>'LUCERO RECOLETA'!BG2</f>
        <v/>
      </c>
      <c r="BH2" s="227" t="str">
        <f>'LUCERO RECOLETA'!BH2</f>
        <v/>
      </c>
      <c r="BI2" s="227" t="str">
        <f>'LUCERO RECOLETA'!BI2</f>
        <v/>
      </c>
      <c r="BJ2" s="227" t="str">
        <f>'LUCERO RECOLETA'!BJ2</f>
        <v/>
      </c>
      <c r="BO2" s="222"/>
      <c r="BP2" s="222"/>
      <c r="BQ2" s="222"/>
      <c r="BR2" s="222"/>
      <c r="BS2" s="222"/>
      <c r="BT2" s="222"/>
      <c r="BU2" s="222"/>
      <c r="BV2" s="222"/>
      <c r="BW2" s="222"/>
    </row>
    <row r="3" ht="15.75" customHeight="1">
      <c r="A3" s="221" t="s">
        <v>86</v>
      </c>
      <c r="B3" s="221"/>
      <c r="C3" s="221"/>
      <c r="D3" s="221"/>
      <c r="E3" s="221"/>
      <c r="F3" s="212"/>
      <c r="G3" s="212"/>
      <c r="H3" s="213"/>
      <c r="I3" s="213"/>
      <c r="J3" s="213"/>
      <c r="K3" s="224"/>
      <c r="L3" s="215"/>
      <c r="M3" s="215"/>
      <c r="N3" s="215"/>
      <c r="O3" s="215"/>
      <c r="P3" s="215"/>
      <c r="Q3" s="215"/>
      <c r="R3" s="216"/>
      <c r="S3" s="225"/>
      <c r="T3" s="219"/>
      <c r="U3" s="211"/>
      <c r="V3" s="211"/>
      <c r="W3" s="211"/>
      <c r="X3" s="211"/>
      <c r="Y3" s="219"/>
      <c r="Z3" s="211"/>
      <c r="AA3" s="211"/>
      <c r="AB3" s="211"/>
      <c r="AC3" s="211"/>
      <c r="AD3" s="211"/>
      <c r="AE3" s="211"/>
      <c r="AF3" s="227"/>
      <c r="AG3" s="227"/>
      <c r="AH3" s="228"/>
      <c r="AI3" s="228"/>
      <c r="AJ3" s="229"/>
      <c r="AK3" s="218"/>
      <c r="AL3" s="215"/>
      <c r="AM3" s="215"/>
      <c r="AN3" s="215"/>
      <c r="AO3" s="219"/>
      <c r="AP3" s="211"/>
      <c r="AQ3" s="211"/>
      <c r="AR3" s="211"/>
      <c r="AS3" s="226" t="str">
        <f>'LUCERO RECOLETA'!AS3</f>
        <v/>
      </c>
      <c r="AT3" s="228"/>
      <c r="AU3" s="228"/>
      <c r="AV3" s="228"/>
      <c r="AW3" s="228"/>
      <c r="AX3" s="228" t="str">
        <f>'LUCERO RECOLETA'!AX3</f>
        <v/>
      </c>
      <c r="AY3" s="228" t="str">
        <f>'LUCERO RECOLETA'!AY3</f>
        <v/>
      </c>
      <c r="AZ3" s="227" t="str">
        <f>'LUCERO RECOLETA'!AZ3</f>
        <v/>
      </c>
      <c r="BA3" s="227" t="str">
        <f>'LUCERO RECOLETA'!BA3</f>
        <v/>
      </c>
      <c r="BB3" s="227" t="str">
        <f>'LUCERO RECOLETA'!BB3</f>
        <v/>
      </c>
      <c r="BC3" s="227" t="str">
        <f>'LUCERO RECOLETA'!BC3</f>
        <v/>
      </c>
      <c r="BD3" s="227" t="str">
        <f>'LUCERO RECOLETA'!BD3</f>
        <v/>
      </c>
      <c r="BE3" s="227" t="str">
        <f>'LUCERO RECOLETA'!BE3</f>
        <v/>
      </c>
      <c r="BF3" s="227" t="str">
        <f>'LUCERO RECOLETA'!BF3</f>
        <v/>
      </c>
      <c r="BG3" s="227" t="str">
        <f>'LUCERO RECOLETA'!BG3</f>
        <v/>
      </c>
      <c r="BH3" s="227" t="str">
        <f>'LUCERO RECOLETA'!BH3</f>
        <v/>
      </c>
      <c r="BI3" s="227" t="str">
        <f>'LUCERO RECOLETA'!BI3</f>
        <v/>
      </c>
      <c r="BJ3" s="227" t="str">
        <f>'LUCERO RECOLETA'!BJ3</f>
        <v/>
      </c>
      <c r="BO3" s="222"/>
      <c r="BP3" s="222"/>
      <c r="BQ3" s="222"/>
      <c r="BR3" s="222"/>
      <c r="BS3" s="222"/>
      <c r="BT3" s="222"/>
      <c r="BU3" s="222"/>
      <c r="BV3" s="222"/>
      <c r="BW3" s="222"/>
    </row>
    <row r="4" ht="15.75" customHeight="1">
      <c r="A4" s="230"/>
      <c r="B4" s="219"/>
      <c r="C4" s="231"/>
      <c r="D4" s="231"/>
      <c r="E4" s="212"/>
      <c r="F4" s="212"/>
      <c r="G4" s="212"/>
      <c r="H4" s="213"/>
      <c r="I4" s="213"/>
      <c r="J4" s="213"/>
      <c r="K4" s="214"/>
      <c r="L4" s="214"/>
      <c r="M4" s="214"/>
      <c r="N4" s="214"/>
      <c r="O4" s="214"/>
      <c r="P4" s="214"/>
      <c r="Q4" s="214"/>
      <c r="R4" s="217"/>
      <c r="S4" s="217"/>
      <c r="T4" s="214"/>
      <c r="U4" s="214"/>
      <c r="V4" s="214"/>
      <c r="W4" s="214"/>
      <c r="X4" s="214"/>
      <c r="Y4" s="215"/>
      <c r="Z4" s="228"/>
      <c r="AA4" s="228"/>
      <c r="AB4" s="228"/>
      <c r="AC4" s="228"/>
      <c r="AD4" s="211"/>
      <c r="AE4" s="228"/>
      <c r="AF4" s="228"/>
      <c r="AG4" s="228"/>
      <c r="AH4" s="228"/>
      <c r="AI4" s="228"/>
      <c r="AJ4" s="229"/>
      <c r="AK4" s="218"/>
      <c r="AL4" s="215"/>
      <c r="AM4" s="215"/>
      <c r="AN4" s="215"/>
      <c r="AO4" s="215"/>
      <c r="AP4" s="228"/>
      <c r="AQ4" s="227"/>
      <c r="AR4" s="228"/>
      <c r="AS4" s="226" t="str">
        <f>'LUCERO RECOLETA'!AS4</f>
        <v/>
      </c>
      <c r="AT4" s="232"/>
      <c r="AU4" s="232"/>
      <c r="AV4" s="232"/>
      <c r="AW4" s="232"/>
      <c r="AX4" s="228" t="str">
        <f>'LUCERO RECOLETA'!AX4</f>
        <v/>
      </c>
      <c r="AY4" s="228" t="str">
        <f>'LUCERO RECOLETA'!AY4</f>
        <v/>
      </c>
      <c r="AZ4" s="227" t="str">
        <f>'LUCERO RECOLETA'!AZ4</f>
        <v/>
      </c>
      <c r="BA4" s="227" t="str">
        <f>'LUCERO RECOLETA'!BA4</f>
        <v/>
      </c>
      <c r="BB4" s="227" t="str">
        <f>'LUCERO RECOLETA'!BB4</f>
        <v/>
      </c>
      <c r="BC4" s="227" t="str">
        <f>'LUCERO RECOLETA'!BC4</f>
        <v/>
      </c>
      <c r="BD4" s="227" t="str">
        <f>'LUCERO RECOLETA'!BD4</f>
        <v/>
      </c>
      <c r="BE4" s="227" t="str">
        <f>'LUCERO RECOLETA'!BE4</f>
        <v/>
      </c>
      <c r="BF4" s="227" t="str">
        <f>'LUCERO RECOLETA'!BF4</f>
        <v/>
      </c>
      <c r="BG4" s="227" t="str">
        <f>'LUCERO RECOLETA'!BG4</f>
        <v/>
      </c>
      <c r="BH4" s="227" t="str">
        <f>'LUCERO RECOLETA'!BH4</f>
        <v/>
      </c>
      <c r="BI4" s="227" t="str">
        <f>'LUCERO RECOLETA'!BI4</f>
        <v/>
      </c>
      <c r="BJ4" s="227" t="str">
        <f>'LUCERO RECOLETA'!BJ4</f>
        <v/>
      </c>
      <c r="BO4" s="222"/>
      <c r="BP4" s="222"/>
      <c r="BQ4" s="222"/>
      <c r="BR4" s="222"/>
      <c r="BS4" s="222"/>
      <c r="BT4" s="222"/>
      <c r="BU4" s="222"/>
      <c r="BV4" s="222"/>
      <c r="BW4" s="222"/>
    </row>
    <row r="5" ht="15.75" customHeight="1">
      <c r="A5" s="233" t="s">
        <v>6</v>
      </c>
      <c r="B5" s="234"/>
      <c r="C5" s="234"/>
      <c r="D5" s="234"/>
      <c r="E5" s="234" t="s">
        <v>87</v>
      </c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5"/>
      <c r="S5" s="235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11"/>
      <c r="AE5" s="234"/>
      <c r="AF5" s="234"/>
      <c r="AG5" s="234"/>
      <c r="AH5" s="234"/>
      <c r="AI5" s="234"/>
      <c r="AJ5" s="236"/>
      <c r="AK5" s="232"/>
      <c r="AL5" s="232"/>
      <c r="AM5" s="232"/>
      <c r="AN5" s="232"/>
      <c r="AO5" s="232"/>
      <c r="AP5" s="232"/>
      <c r="AQ5" s="227"/>
      <c r="AR5" s="232"/>
      <c r="AS5" s="226" t="str">
        <f>'LUCERO RECOLETA'!AS5</f>
        <v/>
      </c>
      <c r="AT5" s="232"/>
      <c r="AU5" s="232"/>
      <c r="AV5" s="232"/>
      <c r="AW5" s="232"/>
      <c r="AX5" s="228" t="str">
        <f>'LUCERO RECOLETA'!AX5</f>
        <v/>
      </c>
      <c r="AY5" s="228" t="str">
        <f>'LUCERO RECOLETA'!AY5</f>
        <v/>
      </c>
      <c r="AZ5" s="227" t="str">
        <f>'LUCERO RECOLETA'!AZ5</f>
        <v/>
      </c>
      <c r="BA5" s="227" t="str">
        <f>'LUCERO RECOLETA'!BA5</f>
        <v/>
      </c>
      <c r="BB5" s="227" t="str">
        <f>'LUCERO RECOLETA'!BB5</f>
        <v/>
      </c>
      <c r="BC5" s="227" t="str">
        <f>'LUCERO RECOLETA'!BC5</f>
        <v/>
      </c>
      <c r="BD5" s="227" t="str">
        <f>'LUCERO RECOLETA'!BD5</f>
        <v/>
      </c>
      <c r="BE5" s="227" t="str">
        <f>'LUCERO RECOLETA'!BE5</f>
        <v/>
      </c>
      <c r="BF5" s="227" t="str">
        <f>'LUCERO RECOLETA'!BF5</f>
        <v/>
      </c>
      <c r="BG5" s="227" t="str">
        <f>'LUCERO RECOLETA'!BG5</f>
        <v/>
      </c>
      <c r="BH5" s="227" t="str">
        <f>'LUCERO RECOLETA'!BH5</f>
        <v/>
      </c>
      <c r="BI5" s="227" t="str">
        <f>'LUCERO RECOLETA'!BI5</f>
        <v/>
      </c>
      <c r="BJ5" s="227" t="str">
        <f>'LUCERO RECOLETA'!BJ5</f>
        <v/>
      </c>
      <c r="BO5" s="222"/>
      <c r="BP5" s="222"/>
      <c r="BQ5" s="222"/>
      <c r="BR5" s="222"/>
      <c r="BS5" s="222"/>
      <c r="BT5" s="222"/>
      <c r="BU5" s="222"/>
      <c r="BV5" s="222"/>
      <c r="BW5" s="222"/>
    </row>
    <row r="6" ht="14.25" customHeight="1">
      <c r="A6" s="210"/>
      <c r="B6" s="211"/>
      <c r="C6" s="212"/>
      <c r="D6" s="212"/>
      <c r="E6" s="212"/>
      <c r="F6" s="212"/>
      <c r="G6" s="212"/>
      <c r="H6" s="213"/>
      <c r="I6" s="213"/>
      <c r="J6" s="213"/>
      <c r="K6" s="214"/>
      <c r="L6" s="214"/>
      <c r="M6" s="214"/>
      <c r="N6" s="214"/>
      <c r="O6" s="214"/>
      <c r="P6" s="214"/>
      <c r="Q6" s="214"/>
      <c r="R6" s="217"/>
      <c r="S6" s="217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29"/>
      <c r="AK6" s="218"/>
      <c r="AL6" s="215"/>
      <c r="AM6" s="215"/>
      <c r="AN6" s="215"/>
      <c r="AO6" s="215"/>
      <c r="AP6" s="215"/>
      <c r="AQ6" s="215"/>
      <c r="AR6" s="215"/>
      <c r="AS6" s="226"/>
      <c r="AT6" s="232"/>
      <c r="AU6" s="232"/>
      <c r="AV6" s="232"/>
      <c r="AW6" s="232"/>
      <c r="AX6" s="237"/>
      <c r="AY6" s="237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O6" s="222"/>
      <c r="BP6" s="222"/>
      <c r="BQ6" s="222"/>
      <c r="BR6" s="222"/>
      <c r="BS6" s="222"/>
      <c r="BT6" s="222"/>
      <c r="BU6" s="222"/>
      <c r="BV6" s="222"/>
      <c r="BW6" s="222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22"/>
      <c r="BP7" s="222"/>
      <c r="BQ7" s="222"/>
      <c r="BR7" s="222"/>
      <c r="BS7" s="222"/>
      <c r="BT7" s="222"/>
      <c r="BU7" s="222"/>
      <c r="BV7" s="222"/>
      <c r="BW7" s="222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39" t="str">
        <f>AQ8</f>
        <v>$ Efectivo</v>
      </c>
      <c r="BP8" s="239" t="str">
        <f t="shared" ref="BP8:BR8" si="1">AU8</f>
        <v>TARJETA DEBITO</v>
      </c>
      <c r="BQ8" s="239" t="str">
        <f t="shared" si="1"/>
        <v>TARJETA CREDITO</v>
      </c>
      <c r="BR8" s="239" t="str">
        <f t="shared" si="1"/>
        <v>Mercado Pago / TF</v>
      </c>
      <c r="BS8" s="239" t="str">
        <f>AY8</f>
        <v>Real</v>
      </c>
      <c r="BT8" s="239" t="s">
        <v>51</v>
      </c>
      <c r="BU8" s="239" t="s">
        <v>52</v>
      </c>
      <c r="BV8" s="239" t="s">
        <v>49</v>
      </c>
      <c r="BW8" s="239" t="s">
        <v>53</v>
      </c>
    </row>
    <row r="9" ht="15.75" customHeight="1">
      <c r="A9" s="168">
        <f>'LUCERO RECOLETA'!A9</f>
        <v>46143</v>
      </c>
      <c r="B9" s="162"/>
      <c r="C9" s="101"/>
      <c r="D9" s="167"/>
      <c r="E9" s="165" t="str">
        <f t="shared" ref="E9:E19" si="2">IF(C9="","",C9+D9-1)</f>
        <v/>
      </c>
      <c r="F9" s="73"/>
      <c r="G9" s="74"/>
      <c r="H9" s="75"/>
      <c r="I9" s="75">
        <f t="shared" ref="I9:I40" si="3">H9*21%</f>
        <v>0</v>
      </c>
      <c r="J9" s="76"/>
      <c r="K9" s="83">
        <f t="shared" ref="K9:K40" si="4">H9+I9+J9</f>
        <v>0</v>
      </c>
      <c r="L9" s="78"/>
      <c r="M9" s="78"/>
      <c r="N9" s="79"/>
      <c r="O9" s="80">
        <f t="shared" ref="O9:O40" si="5">N9*21%</f>
        <v>0</v>
      </c>
      <c r="P9" s="166"/>
      <c r="Q9" s="83">
        <f t="shared" ref="Q9:Q39" si="6">N9+O9+P9</f>
        <v>0</v>
      </c>
      <c r="R9" s="167"/>
      <c r="S9" s="167"/>
      <c r="T9" s="79"/>
      <c r="U9" s="80">
        <f t="shared" ref="U9:U40" si="7">T9*21%</f>
        <v>0</v>
      </c>
      <c r="V9" s="166"/>
      <c r="W9" s="82">
        <f t="shared" ref="W9:W39" si="8">T9+U9+V9</f>
        <v>0</v>
      </c>
      <c r="X9" s="167"/>
      <c r="Y9" s="167"/>
      <c r="Z9" s="79"/>
      <c r="AA9" s="80">
        <f t="shared" ref="AA9:AA40" si="9">Z9*21%</f>
        <v>0</v>
      </c>
      <c r="AB9" s="166"/>
      <c r="AC9" s="81">
        <f t="shared" ref="AC9:AC39" si="10">Z9+AA9+AB9</f>
        <v>0</v>
      </c>
      <c r="AD9" s="84">
        <f t="shared" ref="AD9:AD39" si="11">+K9+Q9+W9-AC9</f>
        <v>0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0</v>
      </c>
      <c r="AQ9" s="75"/>
      <c r="AR9" s="88"/>
      <c r="AS9" s="89"/>
      <c r="AT9" s="90">
        <f t="shared" ref="AT9:AT39" si="17">SUM(AU9:AV9)</f>
        <v>0</v>
      </c>
      <c r="AU9" s="75"/>
      <c r="AV9" s="75"/>
      <c r="AW9" s="90">
        <v>0.0</v>
      </c>
      <c r="AX9" s="91"/>
      <c r="AY9" s="75"/>
      <c r="AZ9" s="90">
        <f t="shared" ref="AZ9:AZ33" si="18">AY9*AZ$2</f>
        <v>0</v>
      </c>
      <c r="BA9" s="75"/>
      <c r="BB9" s="90">
        <f t="shared" ref="BB9:BB10" si="19">BA9*BB$2</f>
        <v>0</v>
      </c>
      <c r="BC9" s="75"/>
      <c r="BD9" s="90">
        <f t="shared" ref="BD9:BD11" si="20">BC9*BD$2</f>
        <v>0</v>
      </c>
      <c r="BE9" s="75"/>
      <c r="BF9" s="90">
        <f t="shared" ref="BF9:BF11" si="21">BE9*BF$2</f>
        <v>0</v>
      </c>
      <c r="BG9" s="75"/>
      <c r="BH9" s="90">
        <f t="shared" ref="BH9:BH33" si="22">BG9*BH$2</f>
        <v>0</v>
      </c>
      <c r="BI9" s="75"/>
      <c r="BJ9" s="90">
        <f t="shared" ref="BJ9:BJ33" si="23">BI9*BJ$2</f>
        <v>0</v>
      </c>
      <c r="BK9" s="92">
        <f t="shared" ref="BK9:BK10" si="24">+AQ9+AR9+AT9+AW9+AX9+AZ9+BB9+BD9+BF9+BH8+BJ9</f>
        <v>0</v>
      </c>
      <c r="BL9" s="93">
        <f t="shared" ref="BL9:BL39" si="25">AD9</f>
        <v>0</v>
      </c>
      <c r="BM9" s="94">
        <f t="shared" ref="BM9:BM40" si="26">SUM(BK9-BL9)</f>
        <v>0</v>
      </c>
      <c r="BO9" s="240">
        <f t="shared" ref="BO9:BO38" si="27">IF(AQ9+AR9=0,0,(AQ9+AR9)/AD9)</f>
        <v>0</v>
      </c>
      <c r="BP9" s="240">
        <f t="shared" ref="BP9:BP38" si="28">IF(AU9=0,0,AU9/AD9)</f>
        <v>0</v>
      </c>
      <c r="BQ9" s="240">
        <f t="shared" ref="BQ9:BQ38" si="29">IF(AV9=0,0,AV9/AD9)</f>
        <v>0</v>
      </c>
      <c r="BR9" s="240">
        <f t="shared" ref="BR9:BR38" si="30">IF(AW9=0,0,AW9/AD9)</f>
        <v>0</v>
      </c>
      <c r="BS9" s="240">
        <f t="shared" ref="BS9:BS38" si="31">IF(AZ9=0,0,AZ9/AD9)</f>
        <v>0</v>
      </c>
      <c r="BT9" s="240">
        <f t="shared" ref="BT9:BT38" si="32">IF(BB9+BD9+BF9=0,0,(BB9+BD9+BF9)/AD9)</f>
        <v>0</v>
      </c>
      <c r="BU9" s="240">
        <f t="shared" ref="BU9:BU38" si="33">IF(BJ9=0,0,BJ9/AD9)</f>
        <v>0</v>
      </c>
      <c r="BV9" s="240">
        <f t="shared" ref="BV9:BV38" si="34">SUM(BO9:BU9)</f>
        <v>0</v>
      </c>
      <c r="BW9" s="240" t="str">
        <f t="shared" ref="BW9:BW39" si="35">AD9/$AD$41</f>
        <v>#DIV/0!</v>
      </c>
    </row>
    <row r="10" ht="15.75" customHeight="1">
      <c r="A10" s="168">
        <f>'LUCERO RECOLETA'!A10</f>
        <v>46144</v>
      </c>
      <c r="B10" s="162"/>
      <c r="C10" s="73"/>
      <c r="D10" s="165"/>
      <c r="E10" s="165" t="str">
        <f t="shared" si="2"/>
        <v/>
      </c>
      <c r="F10" s="73"/>
      <c r="G10" s="74"/>
      <c r="H10" s="75"/>
      <c r="I10" s="75">
        <f t="shared" si="3"/>
        <v>0</v>
      </c>
      <c r="J10" s="76"/>
      <c r="K10" s="83">
        <f t="shared" si="4"/>
        <v>0</v>
      </c>
      <c r="L10" s="78"/>
      <c r="M10" s="78"/>
      <c r="N10" s="79"/>
      <c r="O10" s="80">
        <f t="shared" si="5"/>
        <v>0</v>
      </c>
      <c r="P10" s="166"/>
      <c r="Q10" s="83">
        <f t="shared" si="6"/>
        <v>0</v>
      </c>
      <c r="R10" s="165"/>
      <c r="S10" s="165"/>
      <c r="T10" s="79"/>
      <c r="U10" s="80">
        <f t="shared" si="7"/>
        <v>0</v>
      </c>
      <c r="V10" s="166"/>
      <c r="W10" s="82">
        <f t="shared" si="8"/>
        <v>0</v>
      </c>
      <c r="X10" s="165"/>
      <c r="Y10" s="165"/>
      <c r="Z10" s="79"/>
      <c r="AA10" s="80">
        <f t="shared" si="9"/>
        <v>0</v>
      </c>
      <c r="AB10" s="166"/>
      <c r="AC10" s="81">
        <f t="shared" si="10"/>
        <v>0</v>
      </c>
      <c r="AD10" s="84">
        <f t="shared" si="11"/>
        <v>0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0</v>
      </c>
      <c r="AQ10" s="75"/>
      <c r="AR10" s="88"/>
      <c r="AS10" s="89"/>
      <c r="AT10" s="90">
        <f t="shared" si="17"/>
        <v>0</v>
      </c>
      <c r="AU10" s="75"/>
      <c r="AV10" s="75"/>
      <c r="AW10" s="90">
        <v>0.0</v>
      </c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0</v>
      </c>
      <c r="BL10" s="93">
        <f t="shared" si="25"/>
        <v>0</v>
      </c>
      <c r="BM10" s="94">
        <f t="shared" si="26"/>
        <v>0</v>
      </c>
      <c r="BN10" s="241" t="s">
        <v>88</v>
      </c>
      <c r="BO10" s="240">
        <f t="shared" si="27"/>
        <v>0</v>
      </c>
      <c r="BP10" s="240">
        <f t="shared" si="28"/>
        <v>0</v>
      </c>
      <c r="BQ10" s="240">
        <f t="shared" si="29"/>
        <v>0</v>
      </c>
      <c r="BR10" s="240">
        <f t="shared" si="30"/>
        <v>0</v>
      </c>
      <c r="BS10" s="240">
        <f t="shared" si="31"/>
        <v>0</v>
      </c>
      <c r="BT10" s="240">
        <f t="shared" si="32"/>
        <v>0</v>
      </c>
      <c r="BU10" s="240">
        <f t="shared" si="33"/>
        <v>0</v>
      </c>
      <c r="BV10" s="240">
        <f t="shared" si="34"/>
        <v>0</v>
      </c>
      <c r="BW10" s="240" t="str">
        <f t="shared" si="35"/>
        <v>#DIV/0!</v>
      </c>
    </row>
    <row r="11" ht="15.75" customHeight="1">
      <c r="A11" s="168">
        <f>'LUCERO RECOLETA'!A11</f>
        <v>46145</v>
      </c>
      <c r="B11" s="162"/>
      <c r="C11" s="73"/>
      <c r="D11" s="165"/>
      <c r="E11" s="165" t="str">
        <f t="shared" si="2"/>
        <v/>
      </c>
      <c r="F11" s="73"/>
      <c r="G11" s="74"/>
      <c r="H11" s="75"/>
      <c r="I11" s="75">
        <f t="shared" si="3"/>
        <v>0</v>
      </c>
      <c r="J11" s="76"/>
      <c r="K11" s="83">
        <f t="shared" si="4"/>
        <v>0</v>
      </c>
      <c r="L11" s="78"/>
      <c r="M11" s="78"/>
      <c r="N11" s="79"/>
      <c r="O11" s="80">
        <f t="shared" si="5"/>
        <v>0</v>
      </c>
      <c r="P11" s="166"/>
      <c r="Q11" s="83">
        <f t="shared" si="6"/>
        <v>0</v>
      </c>
      <c r="R11" s="165"/>
      <c r="S11" s="165"/>
      <c r="T11" s="79"/>
      <c r="U11" s="80">
        <f t="shared" si="7"/>
        <v>0</v>
      </c>
      <c r="V11" s="166"/>
      <c r="W11" s="82">
        <f t="shared" si="8"/>
        <v>0</v>
      </c>
      <c r="X11" s="165"/>
      <c r="Y11" s="165"/>
      <c r="Z11" s="79"/>
      <c r="AA11" s="80">
        <f t="shared" si="9"/>
        <v>0</v>
      </c>
      <c r="AB11" s="166"/>
      <c r="AC11" s="81">
        <f t="shared" si="10"/>
        <v>0</v>
      </c>
      <c r="AD11" s="84">
        <f t="shared" si="11"/>
        <v>0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0</v>
      </c>
      <c r="AQ11" s="75"/>
      <c r="AR11" s="88"/>
      <c r="AS11" s="89"/>
      <c r="AT11" s="90">
        <f t="shared" si="17"/>
        <v>0</v>
      </c>
      <c r="AU11" s="75"/>
      <c r="AV11" s="75"/>
      <c r="AW11" s="90">
        <v>0.0</v>
      </c>
      <c r="AX11" s="88"/>
      <c r="AY11" s="75"/>
      <c r="AZ11" s="90">
        <f t="shared" si="18"/>
        <v>0</v>
      </c>
      <c r="BA11" s="75"/>
      <c r="BB11" s="90">
        <f>BA11*1495</f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6">+AQ11+AR11+AT11+AW11+AX11+AZ11+BB11+BD11+BF11+BH11+BJ11</f>
        <v>0</v>
      </c>
      <c r="BL11" s="93">
        <f t="shared" si="25"/>
        <v>0</v>
      </c>
      <c r="BM11" s="94">
        <f t="shared" si="26"/>
        <v>0</v>
      </c>
      <c r="BO11" s="240">
        <f t="shared" si="27"/>
        <v>0</v>
      </c>
      <c r="BP11" s="240">
        <f t="shared" si="28"/>
        <v>0</v>
      </c>
      <c r="BQ11" s="240">
        <f t="shared" si="29"/>
        <v>0</v>
      </c>
      <c r="BR11" s="240">
        <f t="shared" si="30"/>
        <v>0</v>
      </c>
      <c r="BS11" s="240">
        <f t="shared" si="31"/>
        <v>0</v>
      </c>
      <c r="BT11" s="240">
        <f t="shared" si="32"/>
        <v>0</v>
      </c>
      <c r="BU11" s="240">
        <f t="shared" si="33"/>
        <v>0</v>
      </c>
      <c r="BV11" s="240">
        <f t="shared" si="34"/>
        <v>0</v>
      </c>
      <c r="BW11" s="240" t="str">
        <f t="shared" si="35"/>
        <v>#DIV/0!</v>
      </c>
    </row>
    <row r="12" ht="15.75" customHeight="1">
      <c r="A12" s="168">
        <f>'LUCERO RECOLETA'!A12</f>
        <v>46146</v>
      </c>
      <c r="B12" s="162"/>
      <c r="C12" s="73"/>
      <c r="D12" s="165"/>
      <c r="E12" s="165" t="str">
        <f t="shared" si="2"/>
        <v/>
      </c>
      <c r="F12" s="73"/>
      <c r="G12" s="74"/>
      <c r="H12" s="75"/>
      <c r="I12" s="75">
        <f t="shared" si="3"/>
        <v>0</v>
      </c>
      <c r="J12" s="76"/>
      <c r="K12" s="83">
        <f t="shared" si="4"/>
        <v>0</v>
      </c>
      <c r="L12" s="78"/>
      <c r="M12" s="78"/>
      <c r="N12" s="79"/>
      <c r="O12" s="80">
        <f t="shared" si="5"/>
        <v>0</v>
      </c>
      <c r="P12" s="166"/>
      <c r="Q12" s="83">
        <f t="shared" si="6"/>
        <v>0</v>
      </c>
      <c r="R12" s="165"/>
      <c r="S12" s="165"/>
      <c r="T12" s="79"/>
      <c r="U12" s="80">
        <f t="shared" si="7"/>
        <v>0</v>
      </c>
      <c r="V12" s="166"/>
      <c r="W12" s="82">
        <f t="shared" si="8"/>
        <v>0</v>
      </c>
      <c r="X12" s="165"/>
      <c r="Y12" s="165"/>
      <c r="Z12" s="79"/>
      <c r="AA12" s="80">
        <f t="shared" si="9"/>
        <v>0</v>
      </c>
      <c r="AB12" s="166"/>
      <c r="AC12" s="81">
        <f t="shared" si="10"/>
        <v>0</v>
      </c>
      <c r="AD12" s="84">
        <f t="shared" si="11"/>
        <v>0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0</v>
      </c>
      <c r="AQ12" s="75"/>
      <c r="AR12" s="88"/>
      <c r="AS12" s="89"/>
      <c r="AT12" s="90">
        <f t="shared" si="17"/>
        <v>0</v>
      </c>
      <c r="AU12" s="75"/>
      <c r="AV12" s="75"/>
      <c r="AW12" s="90">
        <v>0.0</v>
      </c>
      <c r="AX12" s="88"/>
      <c r="AY12" s="75"/>
      <c r="AZ12" s="90">
        <f t="shared" si="18"/>
        <v>0</v>
      </c>
      <c r="BA12" s="75"/>
      <c r="BB12" s="90">
        <f t="shared" ref="BB12:BB33" si="37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6"/>
        <v>0</v>
      </c>
      <c r="BL12" s="93">
        <f t="shared" si="25"/>
        <v>0</v>
      </c>
      <c r="BM12" s="94">
        <f t="shared" si="26"/>
        <v>0</v>
      </c>
      <c r="BO12" s="240">
        <f t="shared" si="27"/>
        <v>0</v>
      </c>
      <c r="BP12" s="240">
        <f t="shared" si="28"/>
        <v>0</v>
      </c>
      <c r="BQ12" s="240">
        <f t="shared" si="29"/>
        <v>0</v>
      </c>
      <c r="BR12" s="240">
        <f t="shared" si="30"/>
        <v>0</v>
      </c>
      <c r="BS12" s="240">
        <f t="shared" si="31"/>
        <v>0</v>
      </c>
      <c r="BT12" s="240">
        <f t="shared" si="32"/>
        <v>0</v>
      </c>
      <c r="BU12" s="240">
        <f t="shared" si="33"/>
        <v>0</v>
      </c>
      <c r="BV12" s="240">
        <f t="shared" si="34"/>
        <v>0</v>
      </c>
      <c r="BW12" s="240" t="str">
        <f t="shared" si="35"/>
        <v>#DIV/0!</v>
      </c>
    </row>
    <row r="13" ht="15.75" customHeight="1">
      <c r="A13" s="168">
        <f>'LUCERO RECOLETA'!A13</f>
        <v>46147</v>
      </c>
      <c r="B13" s="162"/>
      <c r="C13" s="73"/>
      <c r="D13" s="165"/>
      <c r="E13" s="165" t="str">
        <f t="shared" si="2"/>
        <v/>
      </c>
      <c r="F13" s="73"/>
      <c r="G13" s="74"/>
      <c r="H13" s="75"/>
      <c r="I13" s="75">
        <f t="shared" si="3"/>
        <v>0</v>
      </c>
      <c r="J13" s="76"/>
      <c r="K13" s="83">
        <f t="shared" si="4"/>
        <v>0</v>
      </c>
      <c r="L13" s="78"/>
      <c r="M13" s="78"/>
      <c r="N13" s="79"/>
      <c r="O13" s="80">
        <f t="shared" si="5"/>
        <v>0</v>
      </c>
      <c r="P13" s="166"/>
      <c r="Q13" s="83">
        <f t="shared" si="6"/>
        <v>0</v>
      </c>
      <c r="R13" s="165"/>
      <c r="S13" s="165"/>
      <c r="T13" s="79"/>
      <c r="U13" s="80">
        <f t="shared" si="7"/>
        <v>0</v>
      </c>
      <c r="V13" s="166"/>
      <c r="W13" s="82">
        <f t="shared" si="8"/>
        <v>0</v>
      </c>
      <c r="X13" s="165"/>
      <c r="Y13" s="165"/>
      <c r="Z13" s="79"/>
      <c r="AA13" s="80">
        <f t="shared" si="9"/>
        <v>0</v>
      </c>
      <c r="AB13" s="166"/>
      <c r="AC13" s="81">
        <f t="shared" si="10"/>
        <v>0</v>
      </c>
      <c r="AD13" s="84">
        <f t="shared" si="11"/>
        <v>0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0</v>
      </c>
      <c r="AQ13" s="75"/>
      <c r="AR13" s="96"/>
      <c r="AS13" s="90"/>
      <c r="AT13" s="90">
        <f t="shared" si="17"/>
        <v>0</v>
      </c>
      <c r="AU13" s="75"/>
      <c r="AV13" s="75"/>
      <c r="AW13" s="90">
        <v>0.0</v>
      </c>
      <c r="AX13" s="88"/>
      <c r="AY13" s="75"/>
      <c r="AZ13" s="90">
        <f t="shared" si="18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6"/>
        <v>0</v>
      </c>
      <c r="BL13" s="93">
        <f t="shared" si="25"/>
        <v>0</v>
      </c>
      <c r="BM13" s="94">
        <f t="shared" si="26"/>
        <v>0</v>
      </c>
      <c r="BO13" s="240">
        <f t="shared" si="27"/>
        <v>0</v>
      </c>
      <c r="BP13" s="240">
        <f t="shared" si="28"/>
        <v>0</v>
      </c>
      <c r="BQ13" s="240">
        <f t="shared" si="29"/>
        <v>0</v>
      </c>
      <c r="BR13" s="240">
        <f t="shared" si="30"/>
        <v>0</v>
      </c>
      <c r="BS13" s="240">
        <f t="shared" si="31"/>
        <v>0</v>
      </c>
      <c r="BT13" s="240">
        <f t="shared" si="32"/>
        <v>0</v>
      </c>
      <c r="BU13" s="240">
        <f t="shared" si="33"/>
        <v>0</v>
      </c>
      <c r="BV13" s="240">
        <f t="shared" si="34"/>
        <v>0</v>
      </c>
      <c r="BW13" s="240" t="str">
        <f t="shared" si="35"/>
        <v>#DIV/0!</v>
      </c>
    </row>
    <row r="14" ht="15.75" customHeight="1">
      <c r="A14" s="168">
        <f>'LUCERO RECOLETA'!A14</f>
        <v>46148</v>
      </c>
      <c r="B14" s="162"/>
      <c r="C14" s="73"/>
      <c r="D14" s="165"/>
      <c r="E14" s="165" t="str">
        <f t="shared" si="2"/>
        <v/>
      </c>
      <c r="F14" s="73"/>
      <c r="G14" s="74"/>
      <c r="H14" s="75"/>
      <c r="I14" s="75">
        <f t="shared" si="3"/>
        <v>0</v>
      </c>
      <c r="J14" s="76"/>
      <c r="K14" s="83">
        <f t="shared" si="4"/>
        <v>0</v>
      </c>
      <c r="L14" s="78"/>
      <c r="M14" s="78"/>
      <c r="N14" s="79"/>
      <c r="O14" s="80">
        <f t="shared" si="5"/>
        <v>0</v>
      </c>
      <c r="P14" s="166"/>
      <c r="Q14" s="83">
        <f t="shared" si="6"/>
        <v>0</v>
      </c>
      <c r="R14" s="165"/>
      <c r="S14" s="165"/>
      <c r="T14" s="79"/>
      <c r="U14" s="80">
        <f t="shared" si="7"/>
        <v>0</v>
      </c>
      <c r="V14" s="166"/>
      <c r="W14" s="82">
        <f t="shared" si="8"/>
        <v>0</v>
      </c>
      <c r="X14" s="165"/>
      <c r="Y14" s="165"/>
      <c r="Z14" s="79"/>
      <c r="AA14" s="80">
        <f t="shared" si="9"/>
        <v>0</v>
      </c>
      <c r="AB14" s="166"/>
      <c r="AC14" s="81">
        <f t="shared" si="10"/>
        <v>0</v>
      </c>
      <c r="AD14" s="84">
        <f t="shared" si="11"/>
        <v>0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0</v>
      </c>
      <c r="AQ14" s="75"/>
      <c r="AR14" s="96"/>
      <c r="AS14" s="90"/>
      <c r="AT14" s="90">
        <f t="shared" si="17"/>
        <v>0</v>
      </c>
      <c r="AU14" s="75"/>
      <c r="AV14" s="75"/>
      <c r="AW14" s="90">
        <v>0.0</v>
      </c>
      <c r="AX14" s="88"/>
      <c r="AY14" s="75"/>
      <c r="AZ14" s="90">
        <f t="shared" si="18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6"/>
        <v>0</v>
      </c>
      <c r="BL14" s="93">
        <f t="shared" si="25"/>
        <v>0</v>
      </c>
      <c r="BM14" s="94">
        <f t="shared" si="26"/>
        <v>0</v>
      </c>
      <c r="BN14" s="241" t="s">
        <v>88</v>
      </c>
      <c r="BO14" s="240">
        <f t="shared" si="27"/>
        <v>0</v>
      </c>
      <c r="BP14" s="240">
        <f t="shared" si="28"/>
        <v>0</v>
      </c>
      <c r="BQ14" s="240">
        <f t="shared" si="29"/>
        <v>0</v>
      </c>
      <c r="BR14" s="240">
        <f t="shared" si="30"/>
        <v>0</v>
      </c>
      <c r="BS14" s="240">
        <f t="shared" si="31"/>
        <v>0</v>
      </c>
      <c r="BT14" s="240">
        <f t="shared" si="32"/>
        <v>0</v>
      </c>
      <c r="BU14" s="240">
        <f t="shared" si="33"/>
        <v>0</v>
      </c>
      <c r="BV14" s="240">
        <f t="shared" si="34"/>
        <v>0</v>
      </c>
      <c r="BW14" s="240" t="str">
        <f t="shared" si="35"/>
        <v>#DIV/0!</v>
      </c>
    </row>
    <row r="15" ht="15.75" customHeight="1">
      <c r="A15" s="168">
        <f>'LUCERO RECOLETA'!A15</f>
        <v>46149</v>
      </c>
      <c r="B15" s="162"/>
      <c r="C15" s="73"/>
      <c r="D15" s="165"/>
      <c r="E15" s="165" t="str">
        <f t="shared" si="2"/>
        <v/>
      </c>
      <c r="F15" s="73"/>
      <c r="G15" s="74"/>
      <c r="H15" s="75"/>
      <c r="I15" s="75">
        <f t="shared" si="3"/>
        <v>0</v>
      </c>
      <c r="J15" s="76"/>
      <c r="K15" s="83">
        <f t="shared" si="4"/>
        <v>0</v>
      </c>
      <c r="L15" s="78"/>
      <c r="M15" s="78"/>
      <c r="N15" s="79"/>
      <c r="O15" s="80">
        <f t="shared" si="5"/>
        <v>0</v>
      </c>
      <c r="P15" s="166"/>
      <c r="Q15" s="83">
        <f t="shared" si="6"/>
        <v>0</v>
      </c>
      <c r="R15" s="165"/>
      <c r="S15" s="165"/>
      <c r="T15" s="79"/>
      <c r="U15" s="80">
        <f t="shared" si="7"/>
        <v>0</v>
      </c>
      <c r="V15" s="166"/>
      <c r="W15" s="82">
        <f t="shared" si="8"/>
        <v>0</v>
      </c>
      <c r="X15" s="165"/>
      <c r="Y15" s="165"/>
      <c r="Z15" s="79"/>
      <c r="AA15" s="80">
        <f t="shared" si="9"/>
        <v>0</v>
      </c>
      <c r="AB15" s="166"/>
      <c r="AC15" s="81">
        <f t="shared" si="10"/>
        <v>0</v>
      </c>
      <c r="AD15" s="84">
        <f t="shared" si="11"/>
        <v>0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0</v>
      </c>
      <c r="AQ15" s="75"/>
      <c r="AR15" s="96"/>
      <c r="AS15" s="90"/>
      <c r="AT15" s="90">
        <f t="shared" si="17"/>
        <v>0</v>
      </c>
      <c r="AU15" s="75"/>
      <c r="AV15" s="75"/>
      <c r="AW15" s="90">
        <v>0.0</v>
      </c>
      <c r="AX15" s="88"/>
      <c r="AY15" s="75"/>
      <c r="AZ15" s="90">
        <f t="shared" si="18"/>
        <v>0</v>
      </c>
      <c r="BA15" s="75"/>
      <c r="BB15" s="90">
        <f t="shared" si="37"/>
        <v>0</v>
      </c>
      <c r="BC15" s="75"/>
      <c r="BD15" s="90">
        <f t="shared" ref="BD15:BD33" si="39">BC15*BD$2</f>
        <v>0</v>
      </c>
      <c r="BE15" s="75"/>
      <c r="BF15" s="90">
        <f t="shared" si="38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6"/>
        <v>0</v>
      </c>
      <c r="BL15" s="93">
        <f t="shared" si="25"/>
        <v>0</v>
      </c>
      <c r="BM15" s="94">
        <f t="shared" si="26"/>
        <v>0</v>
      </c>
      <c r="BO15" s="240">
        <f t="shared" si="27"/>
        <v>0</v>
      </c>
      <c r="BP15" s="240">
        <f t="shared" si="28"/>
        <v>0</v>
      </c>
      <c r="BQ15" s="240">
        <f t="shared" si="29"/>
        <v>0</v>
      </c>
      <c r="BR15" s="240">
        <f t="shared" si="30"/>
        <v>0</v>
      </c>
      <c r="BS15" s="240">
        <f t="shared" si="31"/>
        <v>0</v>
      </c>
      <c r="BT15" s="240">
        <f t="shared" si="32"/>
        <v>0</v>
      </c>
      <c r="BU15" s="240">
        <f t="shared" si="33"/>
        <v>0</v>
      </c>
      <c r="BV15" s="240">
        <f t="shared" si="34"/>
        <v>0</v>
      </c>
      <c r="BW15" s="240" t="str">
        <f t="shared" si="35"/>
        <v>#DIV/0!</v>
      </c>
    </row>
    <row r="16" ht="15.75" customHeight="1">
      <c r="A16" s="168">
        <f>'LUCERO RECOLETA'!A16</f>
        <v>46150</v>
      </c>
      <c r="B16" s="162"/>
      <c r="C16" s="73"/>
      <c r="D16" s="165"/>
      <c r="E16" s="165" t="str">
        <f t="shared" si="2"/>
        <v/>
      </c>
      <c r="F16" s="73"/>
      <c r="G16" s="74"/>
      <c r="H16" s="75"/>
      <c r="I16" s="75">
        <f t="shared" si="3"/>
        <v>0</v>
      </c>
      <c r="J16" s="76"/>
      <c r="K16" s="83">
        <f t="shared" si="4"/>
        <v>0</v>
      </c>
      <c r="L16" s="78"/>
      <c r="M16" s="78"/>
      <c r="N16" s="79"/>
      <c r="O16" s="80">
        <f t="shared" si="5"/>
        <v>0</v>
      </c>
      <c r="P16" s="166"/>
      <c r="Q16" s="83">
        <f t="shared" si="6"/>
        <v>0</v>
      </c>
      <c r="R16" s="165"/>
      <c r="S16" s="165"/>
      <c r="T16" s="79"/>
      <c r="U16" s="80">
        <f t="shared" si="7"/>
        <v>0</v>
      </c>
      <c r="V16" s="166"/>
      <c r="W16" s="82">
        <f t="shared" si="8"/>
        <v>0</v>
      </c>
      <c r="X16" s="165"/>
      <c r="Y16" s="165"/>
      <c r="Z16" s="79"/>
      <c r="AA16" s="80">
        <f t="shared" si="9"/>
        <v>0</v>
      </c>
      <c r="AB16" s="166"/>
      <c r="AC16" s="81">
        <f t="shared" si="10"/>
        <v>0</v>
      </c>
      <c r="AD16" s="84">
        <f t="shared" si="11"/>
        <v>0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0</v>
      </c>
      <c r="AQ16" s="75"/>
      <c r="AR16" s="96"/>
      <c r="AS16" s="90"/>
      <c r="AT16" s="90">
        <f t="shared" si="17"/>
        <v>0</v>
      </c>
      <c r="AU16" s="75"/>
      <c r="AV16" s="75"/>
      <c r="AW16" s="90">
        <v>0.0</v>
      </c>
      <c r="AX16" s="88"/>
      <c r="AY16" s="75"/>
      <c r="AZ16" s="90">
        <f t="shared" si="18"/>
        <v>0</v>
      </c>
      <c r="BA16" s="75"/>
      <c r="BB16" s="90">
        <f t="shared" si="37"/>
        <v>0</v>
      </c>
      <c r="BC16" s="75"/>
      <c r="BD16" s="90">
        <f t="shared" si="39"/>
        <v>0</v>
      </c>
      <c r="BE16" s="75"/>
      <c r="BF16" s="90">
        <f t="shared" si="38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6"/>
        <v>0</v>
      </c>
      <c r="BL16" s="93">
        <f t="shared" si="25"/>
        <v>0</v>
      </c>
      <c r="BM16" s="94">
        <f t="shared" si="26"/>
        <v>0</v>
      </c>
      <c r="BN16" s="222"/>
      <c r="BO16" s="240">
        <f t="shared" si="27"/>
        <v>0</v>
      </c>
      <c r="BP16" s="240">
        <f t="shared" si="28"/>
        <v>0</v>
      </c>
      <c r="BQ16" s="240">
        <f t="shared" si="29"/>
        <v>0</v>
      </c>
      <c r="BR16" s="240">
        <f t="shared" si="30"/>
        <v>0</v>
      </c>
      <c r="BS16" s="240">
        <f t="shared" si="31"/>
        <v>0</v>
      </c>
      <c r="BT16" s="240">
        <f t="shared" si="32"/>
        <v>0</v>
      </c>
      <c r="BU16" s="240">
        <f t="shared" si="33"/>
        <v>0</v>
      </c>
      <c r="BV16" s="240">
        <f t="shared" si="34"/>
        <v>0</v>
      </c>
      <c r="BW16" s="240" t="str">
        <f t="shared" si="35"/>
        <v>#DIV/0!</v>
      </c>
    </row>
    <row r="17" ht="15.75" customHeight="1">
      <c r="A17" s="168">
        <f>'LUCERO RECOLETA'!A17</f>
        <v>46151</v>
      </c>
      <c r="B17" s="162"/>
      <c r="C17" s="101"/>
      <c r="D17" s="165"/>
      <c r="E17" s="165" t="str">
        <f t="shared" si="2"/>
        <v/>
      </c>
      <c r="F17" s="73"/>
      <c r="G17" s="74"/>
      <c r="H17" s="75"/>
      <c r="I17" s="75">
        <f t="shared" si="3"/>
        <v>0</v>
      </c>
      <c r="J17" s="76"/>
      <c r="K17" s="83">
        <f t="shared" si="4"/>
        <v>0</v>
      </c>
      <c r="L17" s="78"/>
      <c r="M17" s="78"/>
      <c r="N17" s="79"/>
      <c r="O17" s="80">
        <f t="shared" si="5"/>
        <v>0</v>
      </c>
      <c r="P17" s="166"/>
      <c r="Q17" s="83">
        <f t="shared" si="6"/>
        <v>0</v>
      </c>
      <c r="R17" s="165"/>
      <c r="S17" s="165"/>
      <c r="T17" s="79"/>
      <c r="U17" s="80">
        <f t="shared" si="7"/>
        <v>0</v>
      </c>
      <c r="V17" s="166"/>
      <c r="W17" s="82">
        <f t="shared" si="8"/>
        <v>0</v>
      </c>
      <c r="X17" s="165"/>
      <c r="Y17" s="165"/>
      <c r="Z17" s="79"/>
      <c r="AA17" s="80">
        <f t="shared" si="9"/>
        <v>0</v>
      </c>
      <c r="AB17" s="166"/>
      <c r="AC17" s="81">
        <f t="shared" si="10"/>
        <v>0</v>
      </c>
      <c r="AD17" s="84">
        <f t="shared" si="11"/>
        <v>0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0</v>
      </c>
      <c r="AQ17" s="75"/>
      <c r="AR17" s="96"/>
      <c r="AS17" s="90"/>
      <c r="AT17" s="90">
        <f t="shared" si="17"/>
        <v>0</v>
      </c>
      <c r="AU17" s="75"/>
      <c r="AV17" s="75"/>
      <c r="AW17" s="90">
        <v>0.0</v>
      </c>
      <c r="AX17" s="88"/>
      <c r="AY17" s="75"/>
      <c r="AZ17" s="90">
        <f t="shared" si="18"/>
        <v>0</v>
      </c>
      <c r="BA17" s="75"/>
      <c r="BB17" s="90">
        <f t="shared" si="37"/>
        <v>0</v>
      </c>
      <c r="BC17" s="75"/>
      <c r="BD17" s="90">
        <f t="shared" si="39"/>
        <v>0</v>
      </c>
      <c r="BE17" s="75"/>
      <c r="BF17" s="90">
        <f t="shared" si="38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6"/>
        <v>0</v>
      </c>
      <c r="BL17" s="93">
        <f t="shared" si="25"/>
        <v>0</v>
      </c>
      <c r="BM17" s="94">
        <f t="shared" si="26"/>
        <v>0</v>
      </c>
      <c r="BO17" s="240">
        <f t="shared" si="27"/>
        <v>0</v>
      </c>
      <c r="BP17" s="240">
        <f t="shared" si="28"/>
        <v>0</v>
      </c>
      <c r="BQ17" s="240">
        <f t="shared" si="29"/>
        <v>0</v>
      </c>
      <c r="BR17" s="240">
        <f t="shared" si="30"/>
        <v>0</v>
      </c>
      <c r="BS17" s="240">
        <f t="shared" si="31"/>
        <v>0</v>
      </c>
      <c r="BT17" s="240">
        <f t="shared" si="32"/>
        <v>0</v>
      </c>
      <c r="BU17" s="240">
        <f t="shared" si="33"/>
        <v>0</v>
      </c>
      <c r="BV17" s="240">
        <f t="shared" si="34"/>
        <v>0</v>
      </c>
      <c r="BW17" s="240" t="str">
        <f t="shared" si="35"/>
        <v>#DIV/0!</v>
      </c>
    </row>
    <row r="18" ht="15.75" customHeight="1">
      <c r="A18" s="168">
        <f>'LUCERO RECOLETA'!A18</f>
        <v>46152</v>
      </c>
      <c r="B18" s="162"/>
      <c r="C18" s="73"/>
      <c r="D18" s="165"/>
      <c r="E18" s="165" t="str">
        <f t="shared" si="2"/>
        <v/>
      </c>
      <c r="F18" s="73"/>
      <c r="G18" s="74"/>
      <c r="H18" s="75"/>
      <c r="I18" s="75">
        <f t="shared" si="3"/>
        <v>0</v>
      </c>
      <c r="J18" s="76"/>
      <c r="K18" s="83">
        <f t="shared" si="4"/>
        <v>0</v>
      </c>
      <c r="L18" s="78"/>
      <c r="M18" s="78"/>
      <c r="N18" s="79"/>
      <c r="O18" s="80">
        <f t="shared" si="5"/>
        <v>0</v>
      </c>
      <c r="P18" s="174"/>
      <c r="Q18" s="83">
        <f t="shared" si="6"/>
        <v>0</v>
      </c>
      <c r="R18" s="165"/>
      <c r="S18" s="165"/>
      <c r="T18" s="79"/>
      <c r="U18" s="80">
        <f t="shared" si="7"/>
        <v>0</v>
      </c>
      <c r="V18" s="166"/>
      <c r="W18" s="82">
        <f t="shared" si="8"/>
        <v>0</v>
      </c>
      <c r="X18" s="165"/>
      <c r="Y18" s="165"/>
      <c r="Z18" s="79"/>
      <c r="AA18" s="80">
        <f t="shared" si="9"/>
        <v>0</v>
      </c>
      <c r="AB18" s="174"/>
      <c r="AC18" s="83">
        <f t="shared" si="10"/>
        <v>0</v>
      </c>
      <c r="AD18" s="84">
        <f t="shared" si="11"/>
        <v>0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0</v>
      </c>
      <c r="AQ18" s="75"/>
      <c r="AR18" s="96"/>
      <c r="AS18" s="90"/>
      <c r="AT18" s="90">
        <f t="shared" si="17"/>
        <v>0</v>
      </c>
      <c r="AU18" s="75"/>
      <c r="AV18" s="75"/>
      <c r="AW18" s="90">
        <v>0.0</v>
      </c>
      <c r="AX18" s="88"/>
      <c r="AY18" s="75"/>
      <c r="AZ18" s="90">
        <f t="shared" si="18"/>
        <v>0</v>
      </c>
      <c r="BA18" s="75"/>
      <c r="BB18" s="90">
        <f t="shared" si="37"/>
        <v>0</v>
      </c>
      <c r="BC18" s="75"/>
      <c r="BD18" s="90">
        <f t="shared" si="39"/>
        <v>0</v>
      </c>
      <c r="BE18" s="75"/>
      <c r="BF18" s="90">
        <f t="shared" si="38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6"/>
        <v>0</v>
      </c>
      <c r="BL18" s="93">
        <f t="shared" si="25"/>
        <v>0</v>
      </c>
      <c r="BM18" s="94">
        <f t="shared" si="26"/>
        <v>0</v>
      </c>
      <c r="BN18" s="222"/>
      <c r="BO18" s="240">
        <f t="shared" si="27"/>
        <v>0</v>
      </c>
      <c r="BP18" s="240">
        <f t="shared" si="28"/>
        <v>0</v>
      </c>
      <c r="BQ18" s="240">
        <f t="shared" si="29"/>
        <v>0</v>
      </c>
      <c r="BR18" s="240">
        <f t="shared" si="30"/>
        <v>0</v>
      </c>
      <c r="BS18" s="240">
        <f t="shared" si="31"/>
        <v>0</v>
      </c>
      <c r="BT18" s="240">
        <f t="shared" si="32"/>
        <v>0</v>
      </c>
      <c r="BU18" s="240">
        <f t="shared" si="33"/>
        <v>0</v>
      </c>
      <c r="BV18" s="240">
        <f t="shared" si="34"/>
        <v>0</v>
      </c>
      <c r="BW18" s="240" t="str">
        <f t="shared" si="35"/>
        <v>#DIV/0!</v>
      </c>
    </row>
    <row r="19" ht="15.75" customHeight="1">
      <c r="A19" s="168">
        <f>'LUCERO RECOLETA'!A19</f>
        <v>46153</v>
      </c>
      <c r="B19" s="162"/>
      <c r="C19" s="73"/>
      <c r="D19" s="165"/>
      <c r="E19" s="165" t="str">
        <f t="shared" si="2"/>
        <v/>
      </c>
      <c r="F19" s="73"/>
      <c r="G19" s="74"/>
      <c r="H19" s="75"/>
      <c r="I19" s="75">
        <f t="shared" si="3"/>
        <v>0</v>
      </c>
      <c r="J19" s="76"/>
      <c r="K19" s="83">
        <f t="shared" si="4"/>
        <v>0</v>
      </c>
      <c r="L19" s="78"/>
      <c r="M19" s="78"/>
      <c r="N19" s="79"/>
      <c r="O19" s="80">
        <f t="shared" si="5"/>
        <v>0</v>
      </c>
      <c r="P19" s="174"/>
      <c r="Q19" s="83">
        <f t="shared" si="6"/>
        <v>0</v>
      </c>
      <c r="R19" s="165"/>
      <c r="S19" s="165"/>
      <c r="T19" s="79"/>
      <c r="U19" s="80">
        <f t="shared" si="7"/>
        <v>0</v>
      </c>
      <c r="V19" s="166"/>
      <c r="W19" s="82">
        <f t="shared" si="8"/>
        <v>0</v>
      </c>
      <c r="X19" s="165"/>
      <c r="Y19" s="165"/>
      <c r="Z19" s="79"/>
      <c r="AA19" s="80">
        <f t="shared" si="9"/>
        <v>0</v>
      </c>
      <c r="AB19" s="174"/>
      <c r="AC19" s="83">
        <f t="shared" si="10"/>
        <v>0</v>
      </c>
      <c r="AD19" s="84">
        <f t="shared" si="11"/>
        <v>0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0</v>
      </c>
      <c r="AQ19" s="75"/>
      <c r="AR19" s="96"/>
      <c r="AS19" s="90"/>
      <c r="AT19" s="90">
        <f t="shared" si="17"/>
        <v>0</v>
      </c>
      <c r="AU19" s="75"/>
      <c r="AV19" s="75"/>
      <c r="AW19" s="90">
        <v>0.0</v>
      </c>
      <c r="AX19" s="88"/>
      <c r="AY19" s="75"/>
      <c r="AZ19" s="90">
        <f t="shared" si="18"/>
        <v>0</v>
      </c>
      <c r="BA19" s="75"/>
      <c r="BB19" s="90">
        <f t="shared" si="37"/>
        <v>0</v>
      </c>
      <c r="BC19" s="75"/>
      <c r="BD19" s="90">
        <f t="shared" si="39"/>
        <v>0</v>
      </c>
      <c r="BE19" s="75"/>
      <c r="BF19" s="90">
        <f t="shared" si="38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6"/>
        <v>0</v>
      </c>
      <c r="BL19" s="93">
        <f t="shared" si="25"/>
        <v>0</v>
      </c>
      <c r="BM19" s="94">
        <f t="shared" si="26"/>
        <v>0</v>
      </c>
      <c r="BO19" s="240">
        <f t="shared" si="27"/>
        <v>0</v>
      </c>
      <c r="BP19" s="240">
        <f t="shared" si="28"/>
        <v>0</v>
      </c>
      <c r="BQ19" s="240">
        <f t="shared" si="29"/>
        <v>0</v>
      </c>
      <c r="BR19" s="240">
        <f t="shared" si="30"/>
        <v>0</v>
      </c>
      <c r="BS19" s="240">
        <f t="shared" si="31"/>
        <v>0</v>
      </c>
      <c r="BT19" s="240">
        <f t="shared" si="32"/>
        <v>0</v>
      </c>
      <c r="BU19" s="240">
        <f t="shared" si="33"/>
        <v>0</v>
      </c>
      <c r="BV19" s="240">
        <f t="shared" si="34"/>
        <v>0</v>
      </c>
      <c r="BW19" s="240" t="str">
        <f t="shared" si="35"/>
        <v>#DIV/0!</v>
      </c>
    </row>
    <row r="20" ht="15.75" customHeight="1">
      <c r="A20" s="168">
        <f>'LUCERO RECOLETA'!A20</f>
        <v>46154</v>
      </c>
      <c r="B20" s="162"/>
      <c r="C20" s="73"/>
      <c r="D20" s="165"/>
      <c r="E20" s="165"/>
      <c r="F20" s="73"/>
      <c r="G20" s="74"/>
      <c r="H20" s="75"/>
      <c r="I20" s="75">
        <f t="shared" si="3"/>
        <v>0</v>
      </c>
      <c r="J20" s="76"/>
      <c r="K20" s="83">
        <f t="shared" si="4"/>
        <v>0</v>
      </c>
      <c r="L20" s="78"/>
      <c r="M20" s="78"/>
      <c r="N20" s="79"/>
      <c r="O20" s="80">
        <f t="shared" si="5"/>
        <v>0</v>
      </c>
      <c r="P20" s="166"/>
      <c r="Q20" s="83">
        <f t="shared" si="6"/>
        <v>0</v>
      </c>
      <c r="R20" s="165"/>
      <c r="S20" s="165"/>
      <c r="T20" s="79"/>
      <c r="U20" s="80">
        <f t="shared" si="7"/>
        <v>0</v>
      </c>
      <c r="V20" s="166"/>
      <c r="W20" s="82">
        <f t="shared" si="8"/>
        <v>0</v>
      </c>
      <c r="X20" s="165"/>
      <c r="Y20" s="165"/>
      <c r="Z20" s="79"/>
      <c r="AA20" s="80">
        <f t="shared" si="9"/>
        <v>0</v>
      </c>
      <c r="AB20" s="166"/>
      <c r="AC20" s="81">
        <f t="shared" si="10"/>
        <v>0</v>
      </c>
      <c r="AD20" s="84">
        <f t="shared" si="11"/>
        <v>0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0</v>
      </c>
      <c r="AQ20" s="75"/>
      <c r="AR20" s="96"/>
      <c r="AS20" s="90"/>
      <c r="AT20" s="90">
        <f t="shared" si="17"/>
        <v>0</v>
      </c>
      <c r="AU20" s="75"/>
      <c r="AV20" s="75"/>
      <c r="AW20" s="90">
        <v>0.0</v>
      </c>
      <c r="AX20" s="88"/>
      <c r="AY20" s="75"/>
      <c r="AZ20" s="90">
        <f t="shared" si="18"/>
        <v>0</v>
      </c>
      <c r="BA20" s="75"/>
      <c r="BB20" s="90">
        <f t="shared" si="37"/>
        <v>0</v>
      </c>
      <c r="BC20" s="75"/>
      <c r="BD20" s="90">
        <f t="shared" si="39"/>
        <v>0</v>
      </c>
      <c r="BE20" s="75"/>
      <c r="BF20" s="90">
        <f t="shared" si="38"/>
        <v>0</v>
      </c>
      <c r="BG20" s="75"/>
      <c r="BH20" s="90">
        <f t="shared" si="22"/>
        <v>0</v>
      </c>
      <c r="BI20" s="75"/>
      <c r="BJ20" s="90">
        <f t="shared" si="23"/>
        <v>0</v>
      </c>
      <c r="BK20" s="92">
        <f t="shared" si="36"/>
        <v>0</v>
      </c>
      <c r="BL20" s="93">
        <f t="shared" si="25"/>
        <v>0</v>
      </c>
      <c r="BM20" s="94">
        <f t="shared" si="26"/>
        <v>0</v>
      </c>
      <c r="BO20" s="240">
        <f t="shared" si="27"/>
        <v>0</v>
      </c>
      <c r="BP20" s="240">
        <f t="shared" si="28"/>
        <v>0</v>
      </c>
      <c r="BQ20" s="240">
        <f t="shared" si="29"/>
        <v>0</v>
      </c>
      <c r="BR20" s="240">
        <f t="shared" si="30"/>
        <v>0</v>
      </c>
      <c r="BS20" s="240">
        <f t="shared" si="31"/>
        <v>0</v>
      </c>
      <c r="BT20" s="240">
        <f t="shared" si="32"/>
        <v>0</v>
      </c>
      <c r="BU20" s="240">
        <f t="shared" si="33"/>
        <v>0</v>
      </c>
      <c r="BV20" s="240">
        <f t="shared" si="34"/>
        <v>0</v>
      </c>
      <c r="BW20" s="240" t="str">
        <f t="shared" si="35"/>
        <v>#DIV/0!</v>
      </c>
    </row>
    <row r="21" ht="15.75" customHeight="1">
      <c r="A21" s="168">
        <f>'LUCERO RECOLETA'!A21</f>
        <v>46155</v>
      </c>
      <c r="B21" s="162"/>
      <c r="C21" s="73"/>
      <c r="D21" s="165"/>
      <c r="E21" s="165" t="str">
        <f t="shared" ref="E21:E40" si="40">IF(C21="","",C21+D21-1)</f>
        <v/>
      </c>
      <c r="F21" s="73"/>
      <c r="G21" s="74"/>
      <c r="H21" s="75"/>
      <c r="I21" s="75">
        <f t="shared" si="3"/>
        <v>0</v>
      </c>
      <c r="J21" s="76"/>
      <c r="K21" s="83">
        <f t="shared" si="4"/>
        <v>0</v>
      </c>
      <c r="L21" s="78"/>
      <c r="M21" s="78"/>
      <c r="N21" s="79"/>
      <c r="O21" s="80">
        <f t="shared" si="5"/>
        <v>0</v>
      </c>
      <c r="P21" s="166"/>
      <c r="Q21" s="83">
        <f t="shared" si="6"/>
        <v>0</v>
      </c>
      <c r="R21" s="165"/>
      <c r="S21" s="165"/>
      <c r="T21" s="79"/>
      <c r="U21" s="80">
        <f t="shared" si="7"/>
        <v>0</v>
      </c>
      <c r="V21" s="166"/>
      <c r="W21" s="82">
        <f t="shared" si="8"/>
        <v>0</v>
      </c>
      <c r="X21" s="165"/>
      <c r="Y21" s="165"/>
      <c r="Z21" s="79"/>
      <c r="AA21" s="80">
        <f t="shared" si="9"/>
        <v>0</v>
      </c>
      <c r="AB21" s="166"/>
      <c r="AC21" s="81">
        <f t="shared" si="10"/>
        <v>0</v>
      </c>
      <c r="AD21" s="84">
        <f t="shared" si="11"/>
        <v>0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0</v>
      </c>
      <c r="AQ21" s="75"/>
      <c r="AR21" s="96"/>
      <c r="AS21" s="90"/>
      <c r="AT21" s="90">
        <f t="shared" si="17"/>
        <v>0</v>
      </c>
      <c r="AU21" s="75"/>
      <c r="AV21" s="75"/>
      <c r="AW21" s="90">
        <v>0.0</v>
      </c>
      <c r="AX21" s="88"/>
      <c r="AY21" s="75"/>
      <c r="AZ21" s="90">
        <f t="shared" si="18"/>
        <v>0</v>
      </c>
      <c r="BA21" s="75"/>
      <c r="BB21" s="90">
        <f t="shared" si="37"/>
        <v>0</v>
      </c>
      <c r="BC21" s="75"/>
      <c r="BD21" s="90">
        <f t="shared" si="39"/>
        <v>0</v>
      </c>
      <c r="BE21" s="75"/>
      <c r="BF21" s="90">
        <f t="shared" si="38"/>
        <v>0</v>
      </c>
      <c r="BG21" s="75"/>
      <c r="BH21" s="90">
        <f t="shared" si="22"/>
        <v>0</v>
      </c>
      <c r="BI21" s="75"/>
      <c r="BJ21" s="90">
        <f t="shared" si="23"/>
        <v>0</v>
      </c>
      <c r="BK21" s="92">
        <f t="shared" si="36"/>
        <v>0</v>
      </c>
      <c r="BL21" s="93">
        <f t="shared" si="25"/>
        <v>0</v>
      </c>
      <c r="BM21" s="94">
        <f t="shared" si="26"/>
        <v>0</v>
      </c>
      <c r="BO21" s="240">
        <f t="shared" si="27"/>
        <v>0</v>
      </c>
      <c r="BP21" s="240">
        <f t="shared" si="28"/>
        <v>0</v>
      </c>
      <c r="BQ21" s="240">
        <f t="shared" si="29"/>
        <v>0</v>
      </c>
      <c r="BR21" s="240">
        <f t="shared" si="30"/>
        <v>0</v>
      </c>
      <c r="BS21" s="240">
        <f t="shared" si="31"/>
        <v>0</v>
      </c>
      <c r="BT21" s="240">
        <f t="shared" si="32"/>
        <v>0</v>
      </c>
      <c r="BU21" s="240">
        <f t="shared" si="33"/>
        <v>0</v>
      </c>
      <c r="BV21" s="240">
        <f t="shared" si="34"/>
        <v>0</v>
      </c>
      <c r="BW21" s="240" t="str">
        <f t="shared" si="35"/>
        <v>#DIV/0!</v>
      </c>
    </row>
    <row r="22" ht="15.75" customHeight="1">
      <c r="A22" s="168">
        <f>'LUCERO RECOLETA'!A22</f>
        <v>46156</v>
      </c>
      <c r="B22" s="162"/>
      <c r="C22" s="73"/>
      <c r="D22" s="165"/>
      <c r="E22" s="165" t="str">
        <f t="shared" si="40"/>
        <v/>
      </c>
      <c r="F22" s="73"/>
      <c r="G22" s="74"/>
      <c r="H22" s="75"/>
      <c r="I22" s="75">
        <f t="shared" si="3"/>
        <v>0</v>
      </c>
      <c r="J22" s="76"/>
      <c r="K22" s="83">
        <f t="shared" si="4"/>
        <v>0</v>
      </c>
      <c r="L22" s="78"/>
      <c r="M22" s="78"/>
      <c r="N22" s="79"/>
      <c r="O22" s="80">
        <f t="shared" si="5"/>
        <v>0</v>
      </c>
      <c r="P22" s="166"/>
      <c r="Q22" s="83">
        <f t="shared" si="6"/>
        <v>0</v>
      </c>
      <c r="R22" s="165"/>
      <c r="S22" s="165"/>
      <c r="T22" s="79"/>
      <c r="U22" s="80">
        <f t="shared" si="7"/>
        <v>0</v>
      </c>
      <c r="V22" s="166"/>
      <c r="W22" s="82">
        <f t="shared" si="8"/>
        <v>0</v>
      </c>
      <c r="X22" s="165"/>
      <c r="Y22" s="165"/>
      <c r="Z22" s="79"/>
      <c r="AA22" s="80">
        <f t="shared" si="9"/>
        <v>0</v>
      </c>
      <c r="AB22" s="166"/>
      <c r="AC22" s="81">
        <f t="shared" si="10"/>
        <v>0</v>
      </c>
      <c r="AD22" s="84">
        <f t="shared" si="11"/>
        <v>0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0</v>
      </c>
      <c r="AQ22" s="75"/>
      <c r="AR22" s="96"/>
      <c r="AS22" s="90"/>
      <c r="AT22" s="90">
        <f t="shared" si="17"/>
        <v>0</v>
      </c>
      <c r="AU22" s="75"/>
      <c r="AV22" s="75"/>
      <c r="AW22" s="90">
        <v>0.0</v>
      </c>
      <c r="AX22" s="88"/>
      <c r="AY22" s="75"/>
      <c r="AZ22" s="90">
        <f t="shared" si="18"/>
        <v>0</v>
      </c>
      <c r="BA22" s="75"/>
      <c r="BB22" s="90">
        <f t="shared" si="37"/>
        <v>0</v>
      </c>
      <c r="BC22" s="75"/>
      <c r="BD22" s="90">
        <f t="shared" si="39"/>
        <v>0</v>
      </c>
      <c r="BE22" s="75"/>
      <c r="BF22" s="90">
        <f t="shared" si="38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6"/>
        <v>0</v>
      </c>
      <c r="BL22" s="93">
        <f t="shared" si="25"/>
        <v>0</v>
      </c>
      <c r="BM22" s="94">
        <f t="shared" si="26"/>
        <v>0</v>
      </c>
      <c r="BO22" s="240">
        <f t="shared" si="27"/>
        <v>0</v>
      </c>
      <c r="BP22" s="240">
        <f t="shared" si="28"/>
        <v>0</v>
      </c>
      <c r="BQ22" s="240">
        <f t="shared" si="29"/>
        <v>0</v>
      </c>
      <c r="BR22" s="240">
        <f t="shared" si="30"/>
        <v>0</v>
      </c>
      <c r="BS22" s="240">
        <f t="shared" si="31"/>
        <v>0</v>
      </c>
      <c r="BT22" s="240">
        <f t="shared" si="32"/>
        <v>0</v>
      </c>
      <c r="BU22" s="240">
        <f t="shared" si="33"/>
        <v>0</v>
      </c>
      <c r="BV22" s="240">
        <f t="shared" si="34"/>
        <v>0</v>
      </c>
      <c r="BW22" s="240" t="str">
        <f t="shared" si="35"/>
        <v>#DIV/0!</v>
      </c>
    </row>
    <row r="23" ht="15.75" customHeight="1">
      <c r="A23" s="168">
        <f>'LUCERO RECOLETA'!A23</f>
        <v>46157</v>
      </c>
      <c r="B23" s="162"/>
      <c r="C23" s="73"/>
      <c r="D23" s="165"/>
      <c r="E23" s="165" t="str">
        <f t="shared" si="40"/>
        <v/>
      </c>
      <c r="F23" s="73"/>
      <c r="G23" s="74"/>
      <c r="H23" s="75"/>
      <c r="I23" s="75">
        <f t="shared" si="3"/>
        <v>0</v>
      </c>
      <c r="J23" s="76"/>
      <c r="K23" s="83">
        <f t="shared" si="4"/>
        <v>0</v>
      </c>
      <c r="L23" s="78"/>
      <c r="M23" s="78"/>
      <c r="N23" s="79"/>
      <c r="O23" s="80">
        <f t="shared" si="5"/>
        <v>0</v>
      </c>
      <c r="P23" s="166"/>
      <c r="Q23" s="83">
        <f t="shared" si="6"/>
        <v>0</v>
      </c>
      <c r="R23" s="165"/>
      <c r="S23" s="165"/>
      <c r="T23" s="79"/>
      <c r="U23" s="80">
        <f t="shared" si="7"/>
        <v>0</v>
      </c>
      <c r="V23" s="166"/>
      <c r="W23" s="82">
        <f t="shared" si="8"/>
        <v>0</v>
      </c>
      <c r="X23" s="165"/>
      <c r="Y23" s="165"/>
      <c r="Z23" s="79"/>
      <c r="AA23" s="80">
        <f t="shared" si="9"/>
        <v>0</v>
      </c>
      <c r="AB23" s="166"/>
      <c r="AC23" s="81">
        <f t="shared" si="10"/>
        <v>0</v>
      </c>
      <c r="AD23" s="84">
        <f t="shared" si="11"/>
        <v>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0</v>
      </c>
      <c r="AQ23" s="75"/>
      <c r="AR23" s="96"/>
      <c r="AS23" s="90"/>
      <c r="AT23" s="90">
        <f t="shared" si="17"/>
        <v>0</v>
      </c>
      <c r="AU23" s="75"/>
      <c r="AV23" s="75"/>
      <c r="AW23" s="90">
        <v>0.0</v>
      </c>
      <c r="AX23" s="88"/>
      <c r="AY23" s="75"/>
      <c r="AZ23" s="90">
        <f t="shared" si="18"/>
        <v>0</v>
      </c>
      <c r="BA23" s="75"/>
      <c r="BB23" s="90">
        <f t="shared" si="37"/>
        <v>0</v>
      </c>
      <c r="BC23" s="75"/>
      <c r="BD23" s="90">
        <f t="shared" si="39"/>
        <v>0</v>
      </c>
      <c r="BE23" s="75"/>
      <c r="BF23" s="90">
        <f t="shared" si="38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6"/>
        <v>0</v>
      </c>
      <c r="BL23" s="93">
        <f t="shared" si="25"/>
        <v>0</v>
      </c>
      <c r="BM23" s="94">
        <f t="shared" si="26"/>
        <v>0</v>
      </c>
      <c r="BO23" s="240">
        <f t="shared" si="27"/>
        <v>0</v>
      </c>
      <c r="BP23" s="240">
        <f t="shared" si="28"/>
        <v>0</v>
      </c>
      <c r="BQ23" s="240">
        <f t="shared" si="29"/>
        <v>0</v>
      </c>
      <c r="BR23" s="240">
        <f t="shared" si="30"/>
        <v>0</v>
      </c>
      <c r="BS23" s="240">
        <f t="shared" si="31"/>
        <v>0</v>
      </c>
      <c r="BT23" s="240">
        <f t="shared" si="32"/>
        <v>0</v>
      </c>
      <c r="BU23" s="240">
        <f t="shared" si="33"/>
        <v>0</v>
      </c>
      <c r="BV23" s="240">
        <f t="shared" si="34"/>
        <v>0</v>
      </c>
      <c r="BW23" s="240" t="str">
        <f t="shared" si="35"/>
        <v>#DIV/0!</v>
      </c>
    </row>
    <row r="24" ht="15.75" customHeight="1">
      <c r="A24" s="168">
        <f>'LUCERO RECOLETA'!A24</f>
        <v>46158</v>
      </c>
      <c r="B24" s="162"/>
      <c r="C24" s="73"/>
      <c r="D24" s="165"/>
      <c r="E24" s="165" t="str">
        <f t="shared" si="40"/>
        <v/>
      </c>
      <c r="F24" s="73"/>
      <c r="G24" s="74"/>
      <c r="H24" s="75"/>
      <c r="I24" s="75">
        <f t="shared" si="3"/>
        <v>0</v>
      </c>
      <c r="J24" s="76"/>
      <c r="K24" s="83">
        <f t="shared" si="4"/>
        <v>0</v>
      </c>
      <c r="L24" s="78"/>
      <c r="M24" s="78"/>
      <c r="N24" s="79"/>
      <c r="O24" s="80">
        <f t="shared" si="5"/>
        <v>0</v>
      </c>
      <c r="P24" s="166"/>
      <c r="Q24" s="83">
        <f t="shared" si="6"/>
        <v>0</v>
      </c>
      <c r="R24" s="165"/>
      <c r="S24" s="165"/>
      <c r="T24" s="175"/>
      <c r="U24" s="80">
        <f t="shared" si="7"/>
        <v>0</v>
      </c>
      <c r="V24" s="166"/>
      <c r="W24" s="82">
        <f t="shared" si="8"/>
        <v>0</v>
      </c>
      <c r="X24" s="165"/>
      <c r="Y24" s="165"/>
      <c r="Z24" s="79"/>
      <c r="AA24" s="80">
        <f t="shared" si="9"/>
        <v>0</v>
      </c>
      <c r="AB24" s="166"/>
      <c r="AC24" s="81">
        <f t="shared" si="10"/>
        <v>0</v>
      </c>
      <c r="AD24" s="84">
        <f t="shared" si="11"/>
        <v>0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0</v>
      </c>
      <c r="AQ24" s="75"/>
      <c r="AR24" s="96"/>
      <c r="AS24" s="90"/>
      <c r="AT24" s="90">
        <f t="shared" si="17"/>
        <v>0</v>
      </c>
      <c r="AU24" s="75"/>
      <c r="AV24" s="75"/>
      <c r="AW24" s="90">
        <v>0.0</v>
      </c>
      <c r="AX24" s="88"/>
      <c r="AY24" s="75"/>
      <c r="AZ24" s="90">
        <f t="shared" si="18"/>
        <v>0</v>
      </c>
      <c r="BA24" s="75"/>
      <c r="BB24" s="90">
        <f t="shared" si="37"/>
        <v>0</v>
      </c>
      <c r="BC24" s="75"/>
      <c r="BD24" s="90">
        <f t="shared" si="39"/>
        <v>0</v>
      </c>
      <c r="BE24" s="75"/>
      <c r="BF24" s="90">
        <f t="shared" si="38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6"/>
        <v>0</v>
      </c>
      <c r="BL24" s="93">
        <f t="shared" si="25"/>
        <v>0</v>
      </c>
      <c r="BM24" s="94">
        <f t="shared" si="26"/>
        <v>0</v>
      </c>
      <c r="BN24" s="222"/>
      <c r="BO24" s="240">
        <f t="shared" si="27"/>
        <v>0</v>
      </c>
      <c r="BP24" s="240">
        <f t="shared" si="28"/>
        <v>0</v>
      </c>
      <c r="BQ24" s="240">
        <f t="shared" si="29"/>
        <v>0</v>
      </c>
      <c r="BR24" s="240">
        <f t="shared" si="30"/>
        <v>0</v>
      </c>
      <c r="BS24" s="240">
        <f t="shared" si="31"/>
        <v>0</v>
      </c>
      <c r="BT24" s="240">
        <f t="shared" si="32"/>
        <v>0</v>
      </c>
      <c r="BU24" s="240">
        <f t="shared" si="33"/>
        <v>0</v>
      </c>
      <c r="BV24" s="240">
        <f t="shared" si="34"/>
        <v>0</v>
      </c>
      <c r="BW24" s="240" t="str">
        <f t="shared" si="35"/>
        <v>#DIV/0!</v>
      </c>
    </row>
    <row r="25" ht="15.75" customHeight="1">
      <c r="A25" s="168">
        <f>'LUCERO RECOLETA'!A25</f>
        <v>46159</v>
      </c>
      <c r="B25" s="162"/>
      <c r="C25" s="101"/>
      <c r="D25" s="165"/>
      <c r="E25" s="165" t="str">
        <f t="shared" si="40"/>
        <v/>
      </c>
      <c r="F25" s="73"/>
      <c r="G25" s="74"/>
      <c r="H25" s="75"/>
      <c r="I25" s="75">
        <f t="shared" si="3"/>
        <v>0</v>
      </c>
      <c r="J25" s="76"/>
      <c r="K25" s="83">
        <f t="shared" si="4"/>
        <v>0</v>
      </c>
      <c r="L25" s="78"/>
      <c r="M25" s="78"/>
      <c r="N25" s="79"/>
      <c r="O25" s="80">
        <f t="shared" si="5"/>
        <v>0</v>
      </c>
      <c r="P25" s="166"/>
      <c r="Q25" s="83">
        <f t="shared" si="6"/>
        <v>0</v>
      </c>
      <c r="R25" s="165"/>
      <c r="S25" s="165"/>
      <c r="T25" s="177"/>
      <c r="U25" s="80">
        <f t="shared" si="7"/>
        <v>0</v>
      </c>
      <c r="V25" s="166"/>
      <c r="W25" s="82">
        <f t="shared" si="8"/>
        <v>0</v>
      </c>
      <c r="X25" s="165"/>
      <c r="Y25" s="165"/>
      <c r="Z25" s="79"/>
      <c r="AA25" s="80">
        <f t="shared" si="9"/>
        <v>0</v>
      </c>
      <c r="AB25" s="166"/>
      <c r="AC25" s="81">
        <f t="shared" si="10"/>
        <v>0</v>
      </c>
      <c r="AD25" s="84">
        <f t="shared" si="11"/>
        <v>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0</v>
      </c>
      <c r="AQ25" s="75"/>
      <c r="AR25" s="97"/>
      <c r="AS25" s="90"/>
      <c r="AT25" s="90">
        <f t="shared" si="17"/>
        <v>0</v>
      </c>
      <c r="AU25" s="75"/>
      <c r="AV25" s="75"/>
      <c r="AW25" s="90">
        <v>0.0</v>
      </c>
      <c r="AX25" s="88"/>
      <c r="AY25" s="75"/>
      <c r="AZ25" s="90">
        <f t="shared" si="18"/>
        <v>0</v>
      </c>
      <c r="BA25" s="75"/>
      <c r="BB25" s="90">
        <f t="shared" si="37"/>
        <v>0</v>
      </c>
      <c r="BC25" s="75"/>
      <c r="BD25" s="90">
        <f t="shared" si="39"/>
        <v>0</v>
      </c>
      <c r="BE25" s="75"/>
      <c r="BF25" s="90">
        <f t="shared" si="38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6"/>
        <v>0</v>
      </c>
      <c r="BL25" s="93">
        <f t="shared" si="25"/>
        <v>0</v>
      </c>
      <c r="BM25" s="94">
        <f t="shared" si="26"/>
        <v>0</v>
      </c>
      <c r="BO25" s="240">
        <f t="shared" si="27"/>
        <v>0</v>
      </c>
      <c r="BP25" s="240">
        <f t="shared" si="28"/>
        <v>0</v>
      </c>
      <c r="BQ25" s="240">
        <f t="shared" si="29"/>
        <v>0</v>
      </c>
      <c r="BR25" s="240">
        <f t="shared" si="30"/>
        <v>0</v>
      </c>
      <c r="BS25" s="240">
        <f t="shared" si="31"/>
        <v>0</v>
      </c>
      <c r="BT25" s="240">
        <f t="shared" si="32"/>
        <v>0</v>
      </c>
      <c r="BU25" s="240">
        <f t="shared" si="33"/>
        <v>0</v>
      </c>
      <c r="BV25" s="240">
        <f t="shared" si="34"/>
        <v>0</v>
      </c>
      <c r="BW25" s="240" t="str">
        <f t="shared" si="35"/>
        <v>#DIV/0!</v>
      </c>
    </row>
    <row r="26" ht="15.75" customHeight="1">
      <c r="A26" s="168">
        <f>'LUCERO RECOLETA'!A26</f>
        <v>46160</v>
      </c>
      <c r="B26" s="162"/>
      <c r="C26" s="73"/>
      <c r="D26" s="165"/>
      <c r="E26" s="165" t="str">
        <f t="shared" si="40"/>
        <v/>
      </c>
      <c r="F26" s="73"/>
      <c r="G26" s="74"/>
      <c r="H26" s="75"/>
      <c r="I26" s="75">
        <f t="shared" si="3"/>
        <v>0</v>
      </c>
      <c r="J26" s="76"/>
      <c r="K26" s="83">
        <f t="shared" si="4"/>
        <v>0</v>
      </c>
      <c r="L26" s="78"/>
      <c r="M26" s="78"/>
      <c r="N26" s="79"/>
      <c r="O26" s="80">
        <f t="shared" si="5"/>
        <v>0</v>
      </c>
      <c r="P26" s="166"/>
      <c r="Q26" s="83">
        <f t="shared" si="6"/>
        <v>0</v>
      </c>
      <c r="R26" s="165"/>
      <c r="S26" s="165"/>
      <c r="T26" s="79"/>
      <c r="U26" s="80">
        <f t="shared" si="7"/>
        <v>0</v>
      </c>
      <c r="V26" s="166"/>
      <c r="W26" s="82">
        <f t="shared" si="8"/>
        <v>0</v>
      </c>
      <c r="X26" s="165"/>
      <c r="Y26" s="165"/>
      <c r="Z26" s="79"/>
      <c r="AA26" s="80">
        <f t="shared" si="9"/>
        <v>0</v>
      </c>
      <c r="AB26" s="166"/>
      <c r="AC26" s="81">
        <f t="shared" si="10"/>
        <v>0</v>
      </c>
      <c r="AD26" s="84">
        <f t="shared" si="11"/>
        <v>0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0</v>
      </c>
      <c r="AQ26" s="75"/>
      <c r="AR26" s="96"/>
      <c r="AS26" s="90"/>
      <c r="AT26" s="90">
        <f t="shared" si="17"/>
        <v>0</v>
      </c>
      <c r="AU26" s="75"/>
      <c r="AV26" s="75"/>
      <c r="AW26" s="90">
        <v>0.0</v>
      </c>
      <c r="AX26" s="88"/>
      <c r="AY26" s="75"/>
      <c r="AZ26" s="90">
        <f t="shared" si="18"/>
        <v>0</v>
      </c>
      <c r="BA26" s="75"/>
      <c r="BB26" s="90">
        <f t="shared" si="37"/>
        <v>0</v>
      </c>
      <c r="BC26" s="75"/>
      <c r="BD26" s="90">
        <f t="shared" si="39"/>
        <v>0</v>
      </c>
      <c r="BE26" s="75"/>
      <c r="BF26" s="90">
        <f t="shared" si="38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6"/>
        <v>0</v>
      </c>
      <c r="BL26" s="93">
        <f t="shared" si="25"/>
        <v>0</v>
      </c>
      <c r="BM26" s="94">
        <f t="shared" si="26"/>
        <v>0</v>
      </c>
      <c r="BN26" s="222"/>
      <c r="BO26" s="240">
        <f t="shared" si="27"/>
        <v>0</v>
      </c>
      <c r="BP26" s="240">
        <f t="shared" si="28"/>
        <v>0</v>
      </c>
      <c r="BQ26" s="240">
        <f t="shared" si="29"/>
        <v>0</v>
      </c>
      <c r="BR26" s="240">
        <f t="shared" si="30"/>
        <v>0</v>
      </c>
      <c r="BS26" s="240">
        <f t="shared" si="31"/>
        <v>0</v>
      </c>
      <c r="BT26" s="240">
        <f t="shared" si="32"/>
        <v>0</v>
      </c>
      <c r="BU26" s="240">
        <f t="shared" si="33"/>
        <v>0</v>
      </c>
      <c r="BV26" s="240">
        <f t="shared" si="34"/>
        <v>0</v>
      </c>
      <c r="BW26" s="240" t="str">
        <f t="shared" si="35"/>
        <v>#DIV/0!</v>
      </c>
    </row>
    <row r="27" ht="15.75" customHeight="1">
      <c r="A27" s="168">
        <f>'LUCERO RECOLETA'!A27</f>
        <v>46161</v>
      </c>
      <c r="B27" s="162"/>
      <c r="C27" s="73"/>
      <c r="D27" s="165"/>
      <c r="E27" s="165" t="str">
        <f t="shared" si="40"/>
        <v/>
      </c>
      <c r="F27" s="73"/>
      <c r="G27" s="74"/>
      <c r="H27" s="75"/>
      <c r="I27" s="75">
        <f t="shared" si="3"/>
        <v>0</v>
      </c>
      <c r="J27" s="76"/>
      <c r="K27" s="83">
        <f t="shared" si="4"/>
        <v>0</v>
      </c>
      <c r="L27" s="78"/>
      <c r="M27" s="78"/>
      <c r="N27" s="79"/>
      <c r="O27" s="80">
        <f t="shared" si="5"/>
        <v>0</v>
      </c>
      <c r="P27" s="166"/>
      <c r="Q27" s="83">
        <f t="shared" si="6"/>
        <v>0</v>
      </c>
      <c r="R27" s="165"/>
      <c r="S27" s="165"/>
      <c r="T27" s="79"/>
      <c r="U27" s="80">
        <f t="shared" si="7"/>
        <v>0</v>
      </c>
      <c r="V27" s="166"/>
      <c r="W27" s="82">
        <f t="shared" si="8"/>
        <v>0</v>
      </c>
      <c r="X27" s="165"/>
      <c r="Y27" s="165"/>
      <c r="Z27" s="79"/>
      <c r="AA27" s="80">
        <f t="shared" si="9"/>
        <v>0</v>
      </c>
      <c r="AB27" s="166"/>
      <c r="AC27" s="81">
        <f t="shared" si="10"/>
        <v>0</v>
      </c>
      <c r="AD27" s="84">
        <f t="shared" si="11"/>
        <v>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0</v>
      </c>
      <c r="AQ27" s="75"/>
      <c r="AR27" s="96"/>
      <c r="AS27" s="90"/>
      <c r="AT27" s="90">
        <f t="shared" si="17"/>
        <v>0</v>
      </c>
      <c r="AU27" s="75"/>
      <c r="AV27" s="75"/>
      <c r="AW27" s="90">
        <v>0.0</v>
      </c>
      <c r="AX27" s="88"/>
      <c r="AY27" s="75"/>
      <c r="AZ27" s="90">
        <f t="shared" si="18"/>
        <v>0</v>
      </c>
      <c r="BA27" s="75"/>
      <c r="BB27" s="90">
        <f t="shared" si="37"/>
        <v>0</v>
      </c>
      <c r="BC27" s="75"/>
      <c r="BD27" s="90">
        <f t="shared" si="39"/>
        <v>0</v>
      </c>
      <c r="BE27" s="75"/>
      <c r="BF27" s="90">
        <f t="shared" si="38"/>
        <v>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6"/>
        <v>0</v>
      </c>
      <c r="BL27" s="93">
        <f t="shared" si="25"/>
        <v>0</v>
      </c>
      <c r="BM27" s="94">
        <f t="shared" si="26"/>
        <v>0</v>
      </c>
      <c r="BN27" s="222"/>
      <c r="BO27" s="240">
        <f t="shared" si="27"/>
        <v>0</v>
      </c>
      <c r="BP27" s="240">
        <f t="shared" si="28"/>
        <v>0</v>
      </c>
      <c r="BQ27" s="240">
        <f t="shared" si="29"/>
        <v>0</v>
      </c>
      <c r="BR27" s="240">
        <f t="shared" si="30"/>
        <v>0</v>
      </c>
      <c r="BS27" s="240">
        <f t="shared" si="31"/>
        <v>0</v>
      </c>
      <c r="BT27" s="240">
        <f t="shared" si="32"/>
        <v>0</v>
      </c>
      <c r="BU27" s="240">
        <f t="shared" si="33"/>
        <v>0</v>
      </c>
      <c r="BV27" s="240">
        <f t="shared" si="34"/>
        <v>0</v>
      </c>
      <c r="BW27" s="240" t="str">
        <f t="shared" si="35"/>
        <v>#DIV/0!</v>
      </c>
    </row>
    <row r="28" ht="15.75" customHeight="1">
      <c r="A28" s="168">
        <f>'LUCERO RECOLETA'!A28</f>
        <v>46162</v>
      </c>
      <c r="B28" s="162"/>
      <c r="C28" s="73"/>
      <c r="D28" s="165"/>
      <c r="E28" s="165" t="str">
        <f t="shared" si="40"/>
        <v/>
      </c>
      <c r="F28" s="73"/>
      <c r="G28" s="74"/>
      <c r="H28" s="75"/>
      <c r="I28" s="75">
        <f t="shared" si="3"/>
        <v>0</v>
      </c>
      <c r="J28" s="76"/>
      <c r="K28" s="83">
        <f t="shared" si="4"/>
        <v>0</v>
      </c>
      <c r="L28" s="78"/>
      <c r="M28" s="78"/>
      <c r="N28" s="79"/>
      <c r="O28" s="80">
        <f t="shared" si="5"/>
        <v>0</v>
      </c>
      <c r="P28" s="166"/>
      <c r="Q28" s="83">
        <f t="shared" si="6"/>
        <v>0</v>
      </c>
      <c r="R28" s="165"/>
      <c r="S28" s="165"/>
      <c r="T28" s="79"/>
      <c r="U28" s="80">
        <f t="shared" si="7"/>
        <v>0</v>
      </c>
      <c r="V28" s="166"/>
      <c r="W28" s="82">
        <f t="shared" si="8"/>
        <v>0</v>
      </c>
      <c r="X28" s="165"/>
      <c r="Y28" s="165"/>
      <c r="Z28" s="79"/>
      <c r="AA28" s="80">
        <f t="shared" si="9"/>
        <v>0</v>
      </c>
      <c r="AB28" s="166"/>
      <c r="AC28" s="81">
        <f t="shared" si="10"/>
        <v>0</v>
      </c>
      <c r="AD28" s="84">
        <f t="shared" si="11"/>
        <v>0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0</v>
      </c>
      <c r="AQ28" s="75"/>
      <c r="AR28" s="99"/>
      <c r="AS28" s="90"/>
      <c r="AT28" s="90">
        <f t="shared" si="17"/>
        <v>0</v>
      </c>
      <c r="AU28" s="75"/>
      <c r="AV28" s="75"/>
      <c r="AW28" s="90">
        <v>0.0</v>
      </c>
      <c r="AX28" s="88"/>
      <c r="AY28" s="75"/>
      <c r="AZ28" s="90">
        <f t="shared" si="18"/>
        <v>0</v>
      </c>
      <c r="BA28" s="75"/>
      <c r="BB28" s="90">
        <f t="shared" si="37"/>
        <v>0</v>
      </c>
      <c r="BC28" s="75"/>
      <c r="BD28" s="90">
        <f t="shared" si="39"/>
        <v>0</v>
      </c>
      <c r="BE28" s="75"/>
      <c r="BF28" s="90">
        <f t="shared" si="38"/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6"/>
        <v>0</v>
      </c>
      <c r="BL28" s="93">
        <f t="shared" si="25"/>
        <v>0</v>
      </c>
      <c r="BM28" s="94">
        <f t="shared" si="26"/>
        <v>0</v>
      </c>
      <c r="BO28" s="240">
        <f t="shared" si="27"/>
        <v>0</v>
      </c>
      <c r="BP28" s="240">
        <f t="shared" si="28"/>
        <v>0</v>
      </c>
      <c r="BQ28" s="240">
        <f t="shared" si="29"/>
        <v>0</v>
      </c>
      <c r="BR28" s="240">
        <f t="shared" si="30"/>
        <v>0</v>
      </c>
      <c r="BS28" s="240">
        <f t="shared" si="31"/>
        <v>0</v>
      </c>
      <c r="BT28" s="240">
        <f t="shared" si="32"/>
        <v>0</v>
      </c>
      <c r="BU28" s="240">
        <f t="shared" si="33"/>
        <v>0</v>
      </c>
      <c r="BV28" s="240">
        <f t="shared" si="34"/>
        <v>0</v>
      </c>
      <c r="BW28" s="240" t="str">
        <f t="shared" si="35"/>
        <v>#DIV/0!</v>
      </c>
    </row>
    <row r="29" ht="15.75" customHeight="1">
      <c r="A29" s="168">
        <f>'LUCERO RECOLETA'!A29</f>
        <v>46163</v>
      </c>
      <c r="B29" s="162"/>
      <c r="C29" s="73"/>
      <c r="D29" s="165"/>
      <c r="E29" s="165" t="str">
        <f t="shared" si="40"/>
        <v/>
      </c>
      <c r="F29" s="73"/>
      <c r="G29" s="74"/>
      <c r="H29" s="75"/>
      <c r="I29" s="75">
        <f t="shared" si="3"/>
        <v>0</v>
      </c>
      <c r="J29" s="76"/>
      <c r="K29" s="83">
        <f t="shared" si="4"/>
        <v>0</v>
      </c>
      <c r="L29" s="78"/>
      <c r="M29" s="78"/>
      <c r="N29" s="79"/>
      <c r="O29" s="80">
        <f t="shared" si="5"/>
        <v>0</v>
      </c>
      <c r="P29" s="166"/>
      <c r="Q29" s="83">
        <f t="shared" si="6"/>
        <v>0</v>
      </c>
      <c r="R29" s="165"/>
      <c r="S29" s="165"/>
      <c r="T29" s="79"/>
      <c r="U29" s="80">
        <f t="shared" si="7"/>
        <v>0</v>
      </c>
      <c r="V29" s="166"/>
      <c r="W29" s="82">
        <f t="shared" si="8"/>
        <v>0</v>
      </c>
      <c r="X29" s="165"/>
      <c r="Y29" s="165"/>
      <c r="Z29" s="79"/>
      <c r="AA29" s="80">
        <f t="shared" si="9"/>
        <v>0</v>
      </c>
      <c r="AB29" s="166"/>
      <c r="AC29" s="81">
        <f t="shared" si="10"/>
        <v>0</v>
      </c>
      <c r="AD29" s="84">
        <f t="shared" si="11"/>
        <v>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0</v>
      </c>
      <c r="AQ29" s="75"/>
      <c r="AR29" s="99"/>
      <c r="AS29" s="90"/>
      <c r="AT29" s="90">
        <f t="shared" si="17"/>
        <v>0</v>
      </c>
      <c r="AU29" s="75"/>
      <c r="AV29" s="75"/>
      <c r="AW29" s="90">
        <v>0.0</v>
      </c>
      <c r="AX29" s="88"/>
      <c r="AY29" s="75"/>
      <c r="AZ29" s="90">
        <f t="shared" si="18"/>
        <v>0</v>
      </c>
      <c r="BA29" s="75"/>
      <c r="BB29" s="90">
        <f t="shared" si="37"/>
        <v>0</v>
      </c>
      <c r="BC29" s="75"/>
      <c r="BD29" s="90">
        <f t="shared" si="39"/>
        <v>0</v>
      </c>
      <c r="BE29" s="75"/>
      <c r="BF29" s="90">
        <f t="shared" si="38"/>
        <v>0</v>
      </c>
      <c r="BG29" s="75"/>
      <c r="BH29" s="90">
        <f t="shared" si="22"/>
        <v>0</v>
      </c>
      <c r="BI29" s="75"/>
      <c r="BJ29" s="90">
        <f t="shared" si="23"/>
        <v>0</v>
      </c>
      <c r="BK29" s="92">
        <f t="shared" si="36"/>
        <v>0</v>
      </c>
      <c r="BL29" s="93">
        <f t="shared" si="25"/>
        <v>0</v>
      </c>
      <c r="BM29" s="94">
        <f t="shared" si="26"/>
        <v>0</v>
      </c>
      <c r="BO29" s="240">
        <f t="shared" si="27"/>
        <v>0</v>
      </c>
      <c r="BP29" s="240">
        <f t="shared" si="28"/>
        <v>0</v>
      </c>
      <c r="BQ29" s="240">
        <f t="shared" si="29"/>
        <v>0</v>
      </c>
      <c r="BR29" s="240">
        <f t="shared" si="30"/>
        <v>0</v>
      </c>
      <c r="BS29" s="240">
        <f t="shared" si="31"/>
        <v>0</v>
      </c>
      <c r="BT29" s="240">
        <f t="shared" si="32"/>
        <v>0</v>
      </c>
      <c r="BU29" s="240">
        <f t="shared" si="33"/>
        <v>0</v>
      </c>
      <c r="BV29" s="240">
        <f t="shared" si="34"/>
        <v>0</v>
      </c>
      <c r="BW29" s="240" t="str">
        <f t="shared" si="35"/>
        <v>#DIV/0!</v>
      </c>
    </row>
    <row r="30" ht="15.75" customHeight="1">
      <c r="A30" s="168">
        <f>'LUCERO RECOLETA'!A30</f>
        <v>46164</v>
      </c>
      <c r="B30" s="162"/>
      <c r="C30" s="73"/>
      <c r="D30" s="165"/>
      <c r="E30" s="165" t="str">
        <f t="shared" si="40"/>
        <v/>
      </c>
      <c r="F30" s="73"/>
      <c r="G30" s="74"/>
      <c r="H30" s="75"/>
      <c r="I30" s="75">
        <f t="shared" si="3"/>
        <v>0</v>
      </c>
      <c r="J30" s="76"/>
      <c r="K30" s="83">
        <f t="shared" si="4"/>
        <v>0</v>
      </c>
      <c r="L30" s="78"/>
      <c r="M30" s="78"/>
      <c r="N30" s="79"/>
      <c r="O30" s="80">
        <f t="shared" si="5"/>
        <v>0</v>
      </c>
      <c r="P30" s="166"/>
      <c r="Q30" s="83">
        <f t="shared" si="6"/>
        <v>0</v>
      </c>
      <c r="R30" s="165"/>
      <c r="S30" s="165"/>
      <c r="T30" s="79"/>
      <c r="U30" s="80">
        <f t="shared" si="7"/>
        <v>0</v>
      </c>
      <c r="V30" s="166"/>
      <c r="W30" s="82">
        <f t="shared" si="8"/>
        <v>0</v>
      </c>
      <c r="X30" s="165"/>
      <c r="Y30" s="165"/>
      <c r="Z30" s="79"/>
      <c r="AA30" s="80">
        <f t="shared" si="9"/>
        <v>0</v>
      </c>
      <c r="AB30" s="166"/>
      <c r="AC30" s="81">
        <f t="shared" si="10"/>
        <v>0</v>
      </c>
      <c r="AD30" s="84">
        <f t="shared" si="11"/>
        <v>0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0</v>
      </c>
      <c r="AQ30" s="75"/>
      <c r="AR30" s="99"/>
      <c r="AS30" s="90"/>
      <c r="AT30" s="90">
        <f t="shared" si="17"/>
        <v>0</v>
      </c>
      <c r="AU30" s="75"/>
      <c r="AV30" s="75"/>
      <c r="AW30" s="90">
        <v>0.0</v>
      </c>
      <c r="AX30" s="88"/>
      <c r="AY30" s="75"/>
      <c r="AZ30" s="90">
        <f t="shared" si="18"/>
        <v>0</v>
      </c>
      <c r="BA30" s="75"/>
      <c r="BB30" s="90">
        <f t="shared" si="37"/>
        <v>0</v>
      </c>
      <c r="BC30" s="75"/>
      <c r="BD30" s="90">
        <f t="shared" si="39"/>
        <v>0</v>
      </c>
      <c r="BE30" s="75"/>
      <c r="BF30" s="90">
        <f t="shared" si="38"/>
        <v>0</v>
      </c>
      <c r="BG30" s="75"/>
      <c r="BH30" s="90">
        <f t="shared" si="22"/>
        <v>0</v>
      </c>
      <c r="BI30" s="75"/>
      <c r="BJ30" s="90">
        <f t="shared" si="23"/>
        <v>0</v>
      </c>
      <c r="BK30" s="92">
        <f t="shared" si="36"/>
        <v>0</v>
      </c>
      <c r="BL30" s="93">
        <f t="shared" si="25"/>
        <v>0</v>
      </c>
      <c r="BM30" s="94">
        <f t="shared" si="26"/>
        <v>0</v>
      </c>
      <c r="BO30" s="240">
        <f t="shared" si="27"/>
        <v>0</v>
      </c>
      <c r="BP30" s="240">
        <f t="shared" si="28"/>
        <v>0</v>
      </c>
      <c r="BQ30" s="240">
        <f t="shared" si="29"/>
        <v>0</v>
      </c>
      <c r="BR30" s="240">
        <f t="shared" si="30"/>
        <v>0</v>
      </c>
      <c r="BS30" s="240">
        <f t="shared" si="31"/>
        <v>0</v>
      </c>
      <c r="BT30" s="240">
        <f t="shared" si="32"/>
        <v>0</v>
      </c>
      <c r="BU30" s="240">
        <f t="shared" si="33"/>
        <v>0</v>
      </c>
      <c r="BV30" s="240">
        <f t="shared" si="34"/>
        <v>0</v>
      </c>
      <c r="BW30" s="240" t="str">
        <f t="shared" si="35"/>
        <v>#DIV/0!</v>
      </c>
    </row>
    <row r="31" ht="15.75" customHeight="1">
      <c r="A31" s="168">
        <f>'LUCERO RECOLETA'!A31</f>
        <v>46165</v>
      </c>
      <c r="B31" s="162"/>
      <c r="C31" s="73"/>
      <c r="D31" s="165"/>
      <c r="E31" s="165" t="str">
        <f t="shared" si="40"/>
        <v/>
      </c>
      <c r="F31" s="73"/>
      <c r="G31" s="74"/>
      <c r="H31" s="75"/>
      <c r="I31" s="75">
        <f t="shared" si="3"/>
        <v>0</v>
      </c>
      <c r="J31" s="76"/>
      <c r="K31" s="83">
        <f t="shared" si="4"/>
        <v>0</v>
      </c>
      <c r="L31" s="78"/>
      <c r="M31" s="78"/>
      <c r="N31" s="79"/>
      <c r="O31" s="80">
        <f t="shared" si="5"/>
        <v>0</v>
      </c>
      <c r="P31" s="166"/>
      <c r="Q31" s="83">
        <f t="shared" si="6"/>
        <v>0</v>
      </c>
      <c r="R31" s="165"/>
      <c r="S31" s="165"/>
      <c r="T31" s="79"/>
      <c r="U31" s="80">
        <f t="shared" si="7"/>
        <v>0</v>
      </c>
      <c r="V31" s="166"/>
      <c r="W31" s="82">
        <f t="shared" si="8"/>
        <v>0</v>
      </c>
      <c r="X31" s="165"/>
      <c r="Y31" s="165"/>
      <c r="Z31" s="79"/>
      <c r="AA31" s="80">
        <f t="shared" si="9"/>
        <v>0</v>
      </c>
      <c r="AB31" s="166"/>
      <c r="AC31" s="81">
        <f t="shared" si="10"/>
        <v>0</v>
      </c>
      <c r="AD31" s="84">
        <f t="shared" si="11"/>
        <v>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0</v>
      </c>
      <c r="AQ31" s="75"/>
      <c r="AR31" s="96"/>
      <c r="AS31" s="90"/>
      <c r="AT31" s="90">
        <f t="shared" si="17"/>
        <v>0</v>
      </c>
      <c r="AU31" s="75"/>
      <c r="AV31" s="75"/>
      <c r="AW31" s="90">
        <v>0.0</v>
      </c>
      <c r="AX31" s="88"/>
      <c r="AY31" s="75"/>
      <c r="AZ31" s="90">
        <f t="shared" si="18"/>
        <v>0</v>
      </c>
      <c r="BA31" s="75"/>
      <c r="BB31" s="90">
        <f t="shared" si="37"/>
        <v>0</v>
      </c>
      <c r="BC31" s="75"/>
      <c r="BD31" s="90">
        <f t="shared" si="39"/>
        <v>0</v>
      </c>
      <c r="BE31" s="75"/>
      <c r="BF31" s="90">
        <f t="shared" si="38"/>
        <v>0</v>
      </c>
      <c r="BG31" s="75"/>
      <c r="BH31" s="90">
        <f t="shared" si="22"/>
        <v>0</v>
      </c>
      <c r="BI31" s="75"/>
      <c r="BJ31" s="90">
        <f t="shared" si="23"/>
        <v>0</v>
      </c>
      <c r="BK31" s="92">
        <f t="shared" si="36"/>
        <v>0</v>
      </c>
      <c r="BL31" s="93">
        <f t="shared" si="25"/>
        <v>0</v>
      </c>
      <c r="BM31" s="94">
        <f t="shared" si="26"/>
        <v>0</v>
      </c>
      <c r="BO31" s="240">
        <f t="shared" si="27"/>
        <v>0</v>
      </c>
      <c r="BP31" s="240">
        <f t="shared" si="28"/>
        <v>0</v>
      </c>
      <c r="BQ31" s="240">
        <f t="shared" si="29"/>
        <v>0</v>
      </c>
      <c r="BR31" s="240">
        <f t="shared" si="30"/>
        <v>0</v>
      </c>
      <c r="BS31" s="240">
        <f t="shared" si="31"/>
        <v>0</v>
      </c>
      <c r="BT31" s="240">
        <f t="shared" si="32"/>
        <v>0</v>
      </c>
      <c r="BU31" s="240">
        <f t="shared" si="33"/>
        <v>0</v>
      </c>
      <c r="BV31" s="240">
        <f t="shared" si="34"/>
        <v>0</v>
      </c>
      <c r="BW31" s="240" t="str">
        <f t="shared" si="35"/>
        <v>#DIV/0!</v>
      </c>
    </row>
    <row r="32" ht="15.75" customHeight="1">
      <c r="A32" s="168">
        <f>'LUCERO RECOLETA'!A32</f>
        <v>46166</v>
      </c>
      <c r="B32" s="162"/>
      <c r="C32" s="73"/>
      <c r="D32" s="165"/>
      <c r="E32" s="73" t="str">
        <f t="shared" si="40"/>
        <v/>
      </c>
      <c r="F32" s="73"/>
      <c r="G32" s="74"/>
      <c r="H32" s="75"/>
      <c r="I32" s="75">
        <f t="shared" si="3"/>
        <v>0</v>
      </c>
      <c r="J32" s="76"/>
      <c r="K32" s="83">
        <f t="shared" si="4"/>
        <v>0</v>
      </c>
      <c r="L32" s="78"/>
      <c r="M32" s="78"/>
      <c r="N32" s="79"/>
      <c r="O32" s="80">
        <f t="shared" si="5"/>
        <v>0</v>
      </c>
      <c r="P32" s="166"/>
      <c r="Q32" s="83">
        <f t="shared" si="6"/>
        <v>0</v>
      </c>
      <c r="R32" s="165"/>
      <c r="S32" s="165"/>
      <c r="T32" s="79"/>
      <c r="U32" s="80">
        <f t="shared" si="7"/>
        <v>0</v>
      </c>
      <c r="V32" s="166"/>
      <c r="W32" s="82">
        <f t="shared" si="8"/>
        <v>0</v>
      </c>
      <c r="X32" s="165"/>
      <c r="Y32" s="165"/>
      <c r="Z32" s="79"/>
      <c r="AA32" s="80">
        <f t="shared" si="9"/>
        <v>0</v>
      </c>
      <c r="AB32" s="166"/>
      <c r="AC32" s="81">
        <f t="shared" si="10"/>
        <v>0</v>
      </c>
      <c r="AD32" s="84">
        <f t="shared" si="11"/>
        <v>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0</v>
      </c>
      <c r="AQ32" s="75"/>
      <c r="AR32" s="96"/>
      <c r="AS32" s="90"/>
      <c r="AT32" s="90">
        <f t="shared" si="17"/>
        <v>0</v>
      </c>
      <c r="AU32" s="75"/>
      <c r="AV32" s="75"/>
      <c r="AW32" s="90">
        <v>0.0</v>
      </c>
      <c r="AX32" s="88"/>
      <c r="AY32" s="75"/>
      <c r="AZ32" s="90">
        <f t="shared" si="18"/>
        <v>0</v>
      </c>
      <c r="BA32" s="75"/>
      <c r="BB32" s="90">
        <f t="shared" si="37"/>
        <v>0</v>
      </c>
      <c r="BC32" s="75"/>
      <c r="BD32" s="90">
        <f t="shared" si="39"/>
        <v>0</v>
      </c>
      <c r="BE32" s="75"/>
      <c r="BF32" s="90">
        <f t="shared" si="38"/>
        <v>0</v>
      </c>
      <c r="BG32" s="75"/>
      <c r="BH32" s="90">
        <f t="shared" si="22"/>
        <v>0</v>
      </c>
      <c r="BI32" s="75"/>
      <c r="BJ32" s="90">
        <f t="shared" si="23"/>
        <v>0</v>
      </c>
      <c r="BK32" s="92">
        <f t="shared" si="36"/>
        <v>0</v>
      </c>
      <c r="BL32" s="93">
        <f t="shared" si="25"/>
        <v>0</v>
      </c>
      <c r="BM32" s="94">
        <f t="shared" si="26"/>
        <v>0</v>
      </c>
      <c r="BO32" s="240">
        <f t="shared" si="27"/>
        <v>0</v>
      </c>
      <c r="BP32" s="240">
        <f t="shared" si="28"/>
        <v>0</v>
      </c>
      <c r="BQ32" s="240">
        <f t="shared" si="29"/>
        <v>0</v>
      </c>
      <c r="BR32" s="240">
        <f t="shared" si="30"/>
        <v>0</v>
      </c>
      <c r="BS32" s="240">
        <f t="shared" si="31"/>
        <v>0</v>
      </c>
      <c r="BT32" s="240">
        <f t="shared" si="32"/>
        <v>0</v>
      </c>
      <c r="BU32" s="240">
        <f t="shared" si="33"/>
        <v>0</v>
      </c>
      <c r="BV32" s="240">
        <f t="shared" si="34"/>
        <v>0</v>
      </c>
      <c r="BW32" s="240" t="str">
        <f t="shared" si="35"/>
        <v>#DIV/0!</v>
      </c>
    </row>
    <row r="33" ht="15.75" customHeight="1">
      <c r="A33" s="168">
        <f>'LUCERO RECOLETA'!A33</f>
        <v>46167</v>
      </c>
      <c r="B33" s="162"/>
      <c r="C33" s="101"/>
      <c r="D33" s="165"/>
      <c r="E33" s="165" t="str">
        <f t="shared" si="40"/>
        <v/>
      </c>
      <c r="F33" s="73"/>
      <c r="G33" s="74"/>
      <c r="H33" s="75"/>
      <c r="I33" s="75">
        <f t="shared" si="3"/>
        <v>0</v>
      </c>
      <c r="J33" s="76"/>
      <c r="K33" s="83">
        <f t="shared" si="4"/>
        <v>0</v>
      </c>
      <c r="L33" s="78"/>
      <c r="M33" s="78"/>
      <c r="N33" s="79"/>
      <c r="O33" s="80">
        <f t="shared" si="5"/>
        <v>0</v>
      </c>
      <c r="P33" s="166"/>
      <c r="Q33" s="83">
        <f t="shared" si="6"/>
        <v>0</v>
      </c>
      <c r="R33" s="165"/>
      <c r="S33" s="165"/>
      <c r="T33" s="79"/>
      <c r="U33" s="80">
        <f t="shared" si="7"/>
        <v>0</v>
      </c>
      <c r="V33" s="166"/>
      <c r="W33" s="82">
        <f t="shared" si="8"/>
        <v>0</v>
      </c>
      <c r="X33" s="165"/>
      <c r="Y33" s="165"/>
      <c r="Z33" s="79"/>
      <c r="AA33" s="80">
        <f t="shared" si="9"/>
        <v>0</v>
      </c>
      <c r="AB33" s="166"/>
      <c r="AC33" s="81">
        <f t="shared" si="10"/>
        <v>0</v>
      </c>
      <c r="AD33" s="84">
        <f t="shared" si="11"/>
        <v>0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0</v>
      </c>
      <c r="AQ33" s="75"/>
      <c r="AR33" s="96"/>
      <c r="AS33" s="90"/>
      <c r="AT33" s="90">
        <f t="shared" si="17"/>
        <v>0</v>
      </c>
      <c r="AU33" s="75"/>
      <c r="AV33" s="75"/>
      <c r="AW33" s="90">
        <v>0.0</v>
      </c>
      <c r="AX33" s="88"/>
      <c r="AY33" s="75"/>
      <c r="AZ33" s="90">
        <f t="shared" si="18"/>
        <v>0</v>
      </c>
      <c r="BA33" s="75"/>
      <c r="BB33" s="90">
        <f t="shared" si="37"/>
        <v>0</v>
      </c>
      <c r="BC33" s="75"/>
      <c r="BD33" s="90">
        <f t="shared" si="39"/>
        <v>0</v>
      </c>
      <c r="BE33" s="75"/>
      <c r="BF33" s="90">
        <f t="shared" si="38"/>
        <v>0</v>
      </c>
      <c r="BG33" s="75"/>
      <c r="BH33" s="90">
        <f t="shared" si="22"/>
        <v>0</v>
      </c>
      <c r="BI33" s="75"/>
      <c r="BJ33" s="90">
        <f t="shared" si="23"/>
        <v>0</v>
      </c>
      <c r="BK33" s="92">
        <f t="shared" si="36"/>
        <v>0</v>
      </c>
      <c r="BL33" s="93">
        <f t="shared" si="25"/>
        <v>0</v>
      </c>
      <c r="BM33" s="94">
        <f t="shared" si="26"/>
        <v>0</v>
      </c>
      <c r="BO33" s="240">
        <f t="shared" si="27"/>
        <v>0</v>
      </c>
      <c r="BP33" s="240">
        <f t="shared" si="28"/>
        <v>0</v>
      </c>
      <c r="BQ33" s="240">
        <f t="shared" si="29"/>
        <v>0</v>
      </c>
      <c r="BR33" s="240">
        <f t="shared" si="30"/>
        <v>0</v>
      </c>
      <c r="BS33" s="240">
        <f t="shared" si="31"/>
        <v>0</v>
      </c>
      <c r="BT33" s="240">
        <f t="shared" si="32"/>
        <v>0</v>
      </c>
      <c r="BU33" s="240">
        <f t="shared" si="33"/>
        <v>0</v>
      </c>
      <c r="BV33" s="240">
        <f t="shared" si="34"/>
        <v>0</v>
      </c>
      <c r="BW33" s="240" t="str">
        <f t="shared" si="35"/>
        <v>#DIV/0!</v>
      </c>
    </row>
    <row r="34" ht="15.75" customHeight="1">
      <c r="A34" s="168">
        <f>'LUCERO RECOLETA'!A34</f>
        <v>46168</v>
      </c>
      <c r="B34" s="162"/>
      <c r="C34" s="101"/>
      <c r="D34" s="165"/>
      <c r="E34" s="165" t="str">
        <f t="shared" si="40"/>
        <v/>
      </c>
      <c r="F34" s="73"/>
      <c r="G34" s="74"/>
      <c r="H34" s="75"/>
      <c r="I34" s="75">
        <f t="shared" si="3"/>
        <v>0</v>
      </c>
      <c r="J34" s="76"/>
      <c r="K34" s="83">
        <f t="shared" si="4"/>
        <v>0</v>
      </c>
      <c r="L34" s="78"/>
      <c r="M34" s="78"/>
      <c r="N34" s="79"/>
      <c r="O34" s="80">
        <f t="shared" si="5"/>
        <v>0</v>
      </c>
      <c r="P34" s="166"/>
      <c r="Q34" s="83">
        <f t="shared" si="6"/>
        <v>0</v>
      </c>
      <c r="R34" s="165"/>
      <c r="S34" s="165"/>
      <c r="T34" s="79"/>
      <c r="U34" s="80">
        <f t="shared" si="7"/>
        <v>0</v>
      </c>
      <c r="V34" s="166"/>
      <c r="W34" s="82">
        <f t="shared" si="8"/>
        <v>0</v>
      </c>
      <c r="X34" s="165"/>
      <c r="Y34" s="165"/>
      <c r="Z34" s="79"/>
      <c r="AA34" s="80">
        <f t="shared" si="9"/>
        <v>0</v>
      </c>
      <c r="AB34" s="166"/>
      <c r="AC34" s="81">
        <f t="shared" si="10"/>
        <v>0</v>
      </c>
      <c r="AD34" s="84">
        <f t="shared" si="11"/>
        <v>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0</v>
      </c>
      <c r="AQ34" s="98"/>
      <c r="AR34" s="96"/>
      <c r="AS34" s="90"/>
      <c r="AT34" s="90">
        <f t="shared" si="17"/>
        <v>0</v>
      </c>
      <c r="AU34" s="75"/>
      <c r="AV34" s="75"/>
      <c r="AW34" s="90">
        <v>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6"/>
        <v>0</v>
      </c>
      <c r="BL34" s="93">
        <f t="shared" si="25"/>
        <v>0</v>
      </c>
      <c r="BM34" s="94">
        <f t="shared" si="26"/>
        <v>0</v>
      </c>
      <c r="BN34" s="222"/>
      <c r="BO34" s="240">
        <f t="shared" si="27"/>
        <v>0</v>
      </c>
      <c r="BP34" s="240">
        <f t="shared" si="28"/>
        <v>0</v>
      </c>
      <c r="BQ34" s="240">
        <f t="shared" si="29"/>
        <v>0</v>
      </c>
      <c r="BR34" s="240">
        <f t="shared" si="30"/>
        <v>0</v>
      </c>
      <c r="BS34" s="240">
        <f t="shared" si="31"/>
        <v>0</v>
      </c>
      <c r="BT34" s="240">
        <f t="shared" si="32"/>
        <v>0</v>
      </c>
      <c r="BU34" s="240">
        <f t="shared" si="33"/>
        <v>0</v>
      </c>
      <c r="BV34" s="240">
        <f t="shared" si="34"/>
        <v>0</v>
      </c>
      <c r="BW34" s="240" t="str">
        <f t="shared" si="35"/>
        <v>#DIV/0!</v>
      </c>
    </row>
    <row r="35" ht="15.75" customHeight="1">
      <c r="A35" s="168">
        <f>'LUCERO RECOLETA'!A35</f>
        <v>46169</v>
      </c>
      <c r="B35" s="162"/>
      <c r="C35" s="73"/>
      <c r="D35" s="165"/>
      <c r="E35" s="165" t="str">
        <f t="shared" si="40"/>
        <v/>
      </c>
      <c r="F35" s="73"/>
      <c r="G35" s="74"/>
      <c r="H35" s="75"/>
      <c r="I35" s="75">
        <f t="shared" si="3"/>
        <v>0</v>
      </c>
      <c r="J35" s="76"/>
      <c r="K35" s="83">
        <f t="shared" si="4"/>
        <v>0</v>
      </c>
      <c r="L35" s="78"/>
      <c r="M35" s="78"/>
      <c r="N35" s="79"/>
      <c r="O35" s="80">
        <f t="shared" si="5"/>
        <v>0</v>
      </c>
      <c r="P35" s="166"/>
      <c r="Q35" s="83">
        <f t="shared" si="6"/>
        <v>0</v>
      </c>
      <c r="R35" s="165"/>
      <c r="S35" s="165"/>
      <c r="T35" s="79"/>
      <c r="U35" s="80">
        <f t="shared" si="7"/>
        <v>0</v>
      </c>
      <c r="V35" s="166"/>
      <c r="W35" s="82">
        <f t="shared" si="8"/>
        <v>0</v>
      </c>
      <c r="X35" s="165"/>
      <c r="Y35" s="165"/>
      <c r="Z35" s="79"/>
      <c r="AA35" s="80">
        <f t="shared" si="9"/>
        <v>0</v>
      </c>
      <c r="AB35" s="166"/>
      <c r="AC35" s="81">
        <f t="shared" si="10"/>
        <v>0</v>
      </c>
      <c r="AD35" s="84">
        <f t="shared" si="11"/>
        <v>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0</v>
      </c>
      <c r="AQ35" s="98"/>
      <c r="AR35" s="96"/>
      <c r="AS35" s="90"/>
      <c r="AT35" s="90">
        <f t="shared" si="17"/>
        <v>0</v>
      </c>
      <c r="AU35" s="75"/>
      <c r="AV35" s="75"/>
      <c r="AW35" s="90">
        <v>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6"/>
        <v>0</v>
      </c>
      <c r="BL35" s="93">
        <f t="shared" si="25"/>
        <v>0</v>
      </c>
      <c r="BM35" s="94">
        <f t="shared" si="26"/>
        <v>0</v>
      </c>
      <c r="BO35" s="240">
        <f t="shared" si="27"/>
        <v>0</v>
      </c>
      <c r="BP35" s="240">
        <f t="shared" si="28"/>
        <v>0</v>
      </c>
      <c r="BQ35" s="240">
        <f t="shared" si="29"/>
        <v>0</v>
      </c>
      <c r="BR35" s="240">
        <f t="shared" si="30"/>
        <v>0</v>
      </c>
      <c r="BS35" s="240">
        <f t="shared" si="31"/>
        <v>0</v>
      </c>
      <c r="BT35" s="240">
        <f t="shared" si="32"/>
        <v>0</v>
      </c>
      <c r="BU35" s="240">
        <f t="shared" si="33"/>
        <v>0</v>
      </c>
      <c r="BV35" s="240">
        <f t="shared" si="34"/>
        <v>0</v>
      </c>
      <c r="BW35" s="240" t="str">
        <f t="shared" si="35"/>
        <v>#DIV/0!</v>
      </c>
    </row>
    <row r="36" ht="15.75" customHeight="1">
      <c r="A36" s="168">
        <f>'LUCERO RECOLETA'!A36</f>
        <v>46170</v>
      </c>
      <c r="B36" s="162"/>
      <c r="C36" s="73"/>
      <c r="D36" s="165"/>
      <c r="E36" s="165" t="str">
        <f t="shared" si="40"/>
        <v/>
      </c>
      <c r="F36" s="73"/>
      <c r="G36" s="74"/>
      <c r="H36" s="75"/>
      <c r="I36" s="75">
        <f t="shared" si="3"/>
        <v>0</v>
      </c>
      <c r="J36" s="76"/>
      <c r="K36" s="83">
        <f t="shared" si="4"/>
        <v>0</v>
      </c>
      <c r="L36" s="78"/>
      <c r="M36" s="78"/>
      <c r="N36" s="79"/>
      <c r="O36" s="80">
        <f t="shared" si="5"/>
        <v>0</v>
      </c>
      <c r="P36" s="166"/>
      <c r="Q36" s="83">
        <f t="shared" si="6"/>
        <v>0</v>
      </c>
      <c r="R36" s="165"/>
      <c r="S36" s="165"/>
      <c r="T36" s="79"/>
      <c r="U36" s="80">
        <f t="shared" si="7"/>
        <v>0</v>
      </c>
      <c r="V36" s="166"/>
      <c r="W36" s="82">
        <f t="shared" si="8"/>
        <v>0</v>
      </c>
      <c r="X36" s="165"/>
      <c r="Y36" s="165"/>
      <c r="Z36" s="79"/>
      <c r="AA36" s="80">
        <f t="shared" si="9"/>
        <v>0</v>
      </c>
      <c r="AB36" s="166"/>
      <c r="AC36" s="81">
        <f t="shared" si="10"/>
        <v>0</v>
      </c>
      <c r="AD36" s="84">
        <f t="shared" si="11"/>
        <v>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0</v>
      </c>
      <c r="AQ36" s="98"/>
      <c r="AR36" s="96"/>
      <c r="AS36" s="90"/>
      <c r="AT36" s="90">
        <f t="shared" si="17"/>
        <v>0</v>
      </c>
      <c r="AU36" s="75"/>
      <c r="AV36" s="75"/>
      <c r="AW36" s="90">
        <v>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6"/>
        <v>0</v>
      </c>
      <c r="BL36" s="93">
        <f t="shared" si="25"/>
        <v>0</v>
      </c>
      <c r="BM36" s="94">
        <f t="shared" si="26"/>
        <v>0</v>
      </c>
      <c r="BO36" s="240">
        <f t="shared" si="27"/>
        <v>0</v>
      </c>
      <c r="BP36" s="240">
        <f t="shared" si="28"/>
        <v>0</v>
      </c>
      <c r="BQ36" s="240">
        <f t="shared" si="29"/>
        <v>0</v>
      </c>
      <c r="BR36" s="240">
        <f t="shared" si="30"/>
        <v>0</v>
      </c>
      <c r="BS36" s="240">
        <f t="shared" si="31"/>
        <v>0</v>
      </c>
      <c r="BT36" s="240">
        <f t="shared" si="32"/>
        <v>0</v>
      </c>
      <c r="BU36" s="240">
        <f t="shared" si="33"/>
        <v>0</v>
      </c>
      <c r="BV36" s="240">
        <f t="shared" si="34"/>
        <v>0</v>
      </c>
      <c r="BW36" s="240" t="str">
        <f t="shared" si="35"/>
        <v>#DIV/0!</v>
      </c>
    </row>
    <row r="37" ht="15.75" customHeight="1">
      <c r="A37" s="168">
        <f>'LUCERO RECOLETA'!A37</f>
        <v>46171</v>
      </c>
      <c r="B37" s="162"/>
      <c r="C37" s="73"/>
      <c r="D37" s="165"/>
      <c r="E37" s="165" t="str">
        <f t="shared" si="40"/>
        <v/>
      </c>
      <c r="F37" s="73"/>
      <c r="G37" s="74"/>
      <c r="H37" s="75"/>
      <c r="I37" s="75">
        <f t="shared" si="3"/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6"/>
      <c r="Q37" s="83">
        <f t="shared" si="6"/>
        <v>0</v>
      </c>
      <c r="R37" s="165"/>
      <c r="S37" s="165"/>
      <c r="T37" s="79"/>
      <c r="U37" s="80">
        <f t="shared" si="7"/>
        <v>0</v>
      </c>
      <c r="V37" s="166"/>
      <c r="W37" s="82">
        <f t="shared" si="8"/>
        <v>0</v>
      </c>
      <c r="X37" s="165"/>
      <c r="Y37" s="165"/>
      <c r="Z37" s="79"/>
      <c r="AA37" s="80">
        <f t="shared" si="9"/>
        <v>0</v>
      </c>
      <c r="AB37" s="166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/>
      <c r="AT37" s="90">
        <f t="shared" si="17"/>
        <v>0</v>
      </c>
      <c r="AU37" s="75"/>
      <c r="AV37" s="75"/>
      <c r="AW37" s="90">
        <v>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6"/>
        <v>0</v>
      </c>
      <c r="BL37" s="93">
        <f t="shared" si="25"/>
        <v>0</v>
      </c>
      <c r="BM37" s="94">
        <f t="shared" si="26"/>
        <v>0</v>
      </c>
      <c r="BO37" s="240">
        <f t="shared" si="27"/>
        <v>0</v>
      </c>
      <c r="BP37" s="240">
        <f t="shared" si="28"/>
        <v>0</v>
      </c>
      <c r="BQ37" s="240">
        <f t="shared" si="29"/>
        <v>0</v>
      </c>
      <c r="BR37" s="240">
        <f t="shared" si="30"/>
        <v>0</v>
      </c>
      <c r="BS37" s="240">
        <f t="shared" si="31"/>
        <v>0</v>
      </c>
      <c r="BT37" s="240">
        <f t="shared" si="32"/>
        <v>0</v>
      </c>
      <c r="BU37" s="240">
        <f t="shared" si="33"/>
        <v>0</v>
      </c>
      <c r="BV37" s="240">
        <f t="shared" si="34"/>
        <v>0</v>
      </c>
      <c r="BW37" s="240" t="str">
        <f t="shared" si="35"/>
        <v>#DIV/0!</v>
      </c>
    </row>
    <row r="38" ht="15.75" customHeight="1">
      <c r="A38" s="168">
        <f>'LUCERO RECOLETA'!A38</f>
        <v>46172</v>
      </c>
      <c r="B38" s="162"/>
      <c r="C38" s="73"/>
      <c r="D38" s="165">
        <f t="shared" ref="D38:D39" si="46">E37+1</f>
        <v>1</v>
      </c>
      <c r="E38" s="165" t="str">
        <f t="shared" si="40"/>
        <v/>
      </c>
      <c r="F38" s="73"/>
      <c r="G38" s="74"/>
      <c r="H38" s="75"/>
      <c r="I38" s="75">
        <f t="shared" si="3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6"/>
      <c r="Q38" s="83">
        <f t="shared" si="6"/>
        <v>0</v>
      </c>
      <c r="R38" s="165"/>
      <c r="S38" s="165"/>
      <c r="T38" s="79"/>
      <c r="U38" s="80">
        <f t="shared" si="7"/>
        <v>0</v>
      </c>
      <c r="V38" s="166"/>
      <c r="W38" s="82">
        <f t="shared" si="8"/>
        <v>0</v>
      </c>
      <c r="X38" s="165"/>
      <c r="Y38" s="165"/>
      <c r="Z38" s="79"/>
      <c r="AA38" s="80">
        <f t="shared" si="9"/>
        <v>0</v>
      </c>
      <c r="AB38" s="166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>AG38</f>
        <v/>
      </c>
      <c r="AT38" s="90">
        <f t="shared" si="17"/>
        <v>0</v>
      </c>
      <c r="AU38" s="75"/>
      <c r="AV38" s="75"/>
      <c r="AW38" s="90">
        <v>0.0</v>
      </c>
      <c r="AX38" s="88"/>
      <c r="AY38" s="75"/>
      <c r="AZ38" s="90">
        <f t="shared" si="41"/>
        <v>0</v>
      </c>
      <c r="BA38" s="75"/>
      <c r="BB38" s="90">
        <f t="shared" ref="BB38:BB40" si="47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6"/>
        <v>0</v>
      </c>
      <c r="BL38" s="93">
        <f t="shared" si="25"/>
        <v>0</v>
      </c>
      <c r="BM38" s="94">
        <f t="shared" si="26"/>
        <v>0</v>
      </c>
      <c r="BN38" s="222"/>
      <c r="BO38" s="240">
        <f t="shared" si="27"/>
        <v>0</v>
      </c>
      <c r="BP38" s="240">
        <f t="shared" si="28"/>
        <v>0</v>
      </c>
      <c r="BQ38" s="240">
        <f t="shared" si="29"/>
        <v>0</v>
      </c>
      <c r="BR38" s="240">
        <f t="shared" si="30"/>
        <v>0</v>
      </c>
      <c r="BS38" s="240">
        <f t="shared" si="31"/>
        <v>0</v>
      </c>
      <c r="BT38" s="240">
        <f t="shared" si="32"/>
        <v>0</v>
      </c>
      <c r="BU38" s="240">
        <f t="shared" si="33"/>
        <v>0</v>
      </c>
      <c r="BV38" s="240">
        <f t="shared" si="34"/>
        <v>0</v>
      </c>
      <c r="BW38" s="240" t="str">
        <f t="shared" si="35"/>
        <v>#DIV/0!</v>
      </c>
    </row>
    <row r="39" ht="15.75" customHeight="1">
      <c r="A39" s="168">
        <f>'LUCERO RECOLETA'!A39</f>
        <v>46173</v>
      </c>
      <c r="B39" s="162"/>
      <c r="C39" s="73"/>
      <c r="D39" s="165">
        <f t="shared" si="46"/>
        <v>1</v>
      </c>
      <c r="E39" s="73" t="str">
        <f t="shared" si="40"/>
        <v/>
      </c>
      <c r="F39" s="73"/>
      <c r="G39" s="74"/>
      <c r="H39" s="75"/>
      <c r="I39" s="75">
        <f t="shared" si="3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6"/>
      <c r="Q39" s="83">
        <f t="shared" si="6"/>
        <v>0</v>
      </c>
      <c r="R39" s="165"/>
      <c r="S39" s="165"/>
      <c r="T39" s="79"/>
      <c r="U39" s="80">
        <f t="shared" si="7"/>
        <v>0</v>
      </c>
      <c r="V39" s="166"/>
      <c r="W39" s="82">
        <f t="shared" si="8"/>
        <v>0</v>
      </c>
      <c r="X39" s="165"/>
      <c r="Y39" s="165"/>
      <c r="Z39" s="79"/>
      <c r="AA39" s="80">
        <f t="shared" si="9"/>
        <v>0</v>
      </c>
      <c r="AB39" s="166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 t="shared" si="17"/>
        <v>0</v>
      </c>
      <c r="AU39" s="75"/>
      <c r="AV39" s="75"/>
      <c r="AW39" s="90">
        <v>0.0</v>
      </c>
      <c r="AX39" s="88"/>
      <c r="AY39" s="75"/>
      <c r="AZ39" s="90">
        <f t="shared" si="41"/>
        <v>0</v>
      </c>
      <c r="BA39" s="75"/>
      <c r="BB39" s="90">
        <f t="shared" si="47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6"/>
        <v>0</v>
      </c>
      <c r="BL39" s="93">
        <f t="shared" si="25"/>
        <v>0</v>
      </c>
      <c r="BM39" s="94">
        <f t="shared" si="26"/>
        <v>0</v>
      </c>
      <c r="BN39" s="222"/>
      <c r="BO39" s="240"/>
      <c r="BP39" s="240"/>
      <c r="BQ39" s="240"/>
      <c r="BR39" s="240"/>
      <c r="BS39" s="240"/>
      <c r="BT39" s="240"/>
      <c r="BU39" s="240"/>
      <c r="BV39" s="240"/>
      <c r="BW39" s="240" t="str">
        <f t="shared" si="35"/>
        <v>#DIV/0!</v>
      </c>
    </row>
    <row r="40" ht="15.75" customHeight="1">
      <c r="A40" s="72"/>
      <c r="B40" s="73"/>
      <c r="C40" s="73"/>
      <c r="D40" s="165"/>
      <c r="E40" s="73" t="str">
        <f t="shared" si="40"/>
        <v/>
      </c>
      <c r="F40" s="73"/>
      <c r="G40" s="74"/>
      <c r="H40" s="75"/>
      <c r="I40" s="75">
        <f t="shared" si="3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6"/>
      <c r="Q40" s="83"/>
      <c r="R40" s="165"/>
      <c r="S40" s="165"/>
      <c r="T40" s="79"/>
      <c r="U40" s="80">
        <f t="shared" si="7"/>
        <v>0</v>
      </c>
      <c r="V40" s="166"/>
      <c r="W40" s="82"/>
      <c r="X40" s="165">
        <v>0.0</v>
      </c>
      <c r="Y40" s="165"/>
      <c r="Z40" s="79"/>
      <c r="AA40" s="80">
        <f t="shared" si="9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7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6"/>
        <v>0</v>
      </c>
      <c r="BL40" s="93"/>
      <c r="BM40" s="94">
        <f t="shared" si="26"/>
        <v>0</v>
      </c>
      <c r="BN40" s="222"/>
      <c r="BO40" s="240"/>
      <c r="BP40" s="240"/>
      <c r="BQ40" s="240"/>
      <c r="BR40" s="240"/>
      <c r="BS40" s="240"/>
      <c r="BT40" s="240"/>
      <c r="BU40" s="240"/>
      <c r="BV40" s="240"/>
      <c r="BW40" s="240"/>
    </row>
    <row r="41" ht="20.25" customHeight="1">
      <c r="A41" s="242" t="s">
        <v>54</v>
      </c>
      <c r="B41" s="243">
        <f>MAX(B9:B40)</f>
        <v>0</v>
      </c>
      <c r="C41" s="244">
        <f>SUM(C9:C40)</f>
        <v>0</v>
      </c>
      <c r="D41" s="243">
        <f>MIN(D9:D40)</f>
        <v>1</v>
      </c>
      <c r="E41" s="243">
        <f>MAX(E9:E40)</f>
        <v>0</v>
      </c>
      <c r="F41" s="244">
        <f t="shared" ref="F41:I41" si="48">SUM(F9:F40)</f>
        <v>0</v>
      </c>
      <c r="G41" s="244">
        <f t="shared" si="48"/>
        <v>0</v>
      </c>
      <c r="H41" s="245">
        <f t="shared" si="48"/>
        <v>0</v>
      </c>
      <c r="I41" s="245">
        <f t="shared" si="48"/>
        <v>0</v>
      </c>
      <c r="J41" s="245"/>
      <c r="K41" s="245">
        <f>SUM(K9:K40)</f>
        <v>0</v>
      </c>
      <c r="L41" s="246">
        <f>MIN(L9:L40)</f>
        <v>0</v>
      </c>
      <c r="M41" s="246">
        <f>MAX(M9:M40)</f>
        <v>0</v>
      </c>
      <c r="N41" s="247">
        <f t="shared" ref="N41:O41" si="49">SUM(N9:N40)</f>
        <v>0</v>
      </c>
      <c r="O41" s="247">
        <f t="shared" si="49"/>
        <v>0</v>
      </c>
      <c r="P41" s="247"/>
      <c r="Q41" s="247">
        <f>SUM(Q9:Q40)</f>
        <v>0</v>
      </c>
      <c r="R41" s="248">
        <f>MIN(R9:R40)</f>
        <v>0</v>
      </c>
      <c r="S41" s="248">
        <f>MAX(S9:S40)</f>
        <v>0</v>
      </c>
      <c r="T41" s="249">
        <f t="shared" ref="T41:U41" si="50">SUM(T9:T40)</f>
        <v>0</v>
      </c>
      <c r="U41" s="249">
        <f t="shared" si="50"/>
        <v>0</v>
      </c>
      <c r="V41" s="249"/>
      <c r="W41" s="249">
        <f>SUM(W9:W40)</f>
        <v>0</v>
      </c>
      <c r="X41" s="246">
        <f>MIN(X9:X40)</f>
        <v>0</v>
      </c>
      <c r="Y41" s="246">
        <f>MAX(Y9:Y40)</f>
        <v>0</v>
      </c>
      <c r="Z41" s="247">
        <f>SUM(Z9:Z40)</f>
        <v>0</v>
      </c>
      <c r="AA41" s="247">
        <f>ROUND(Z41*21%,2)</f>
        <v>0</v>
      </c>
      <c r="AB41" s="247"/>
      <c r="AC41" s="247">
        <f t="shared" ref="AC41:AD41" si="51">SUM(AC9:AC40)</f>
        <v>0</v>
      </c>
      <c r="AD41" s="250">
        <f t="shared" si="51"/>
        <v>0</v>
      </c>
      <c r="AE41" s="251">
        <f t="shared" ref="AE41:AP41" si="52">SUM(AE9:AE38)</f>
        <v>0</v>
      </c>
      <c r="AF41" s="251">
        <f t="shared" si="52"/>
        <v>0</v>
      </c>
      <c r="AG41" s="251">
        <f t="shared" si="52"/>
        <v>0</v>
      </c>
      <c r="AH41" s="251">
        <f t="shared" si="52"/>
        <v>0</v>
      </c>
      <c r="AI41" s="251">
        <f t="shared" si="52"/>
        <v>0</v>
      </c>
      <c r="AJ41" s="252">
        <f t="shared" si="52"/>
        <v>0</v>
      </c>
      <c r="AK41" s="251">
        <f t="shared" si="52"/>
        <v>0</v>
      </c>
      <c r="AL41" s="252">
        <f t="shared" si="52"/>
        <v>0</v>
      </c>
      <c r="AM41" s="251">
        <f t="shared" si="52"/>
        <v>0</v>
      </c>
      <c r="AN41" s="251">
        <f t="shared" si="52"/>
        <v>0</v>
      </c>
      <c r="AO41" s="253">
        <f t="shared" si="52"/>
        <v>0</v>
      </c>
      <c r="AP41" s="254">
        <f t="shared" si="52"/>
        <v>0</v>
      </c>
      <c r="AQ41" s="254">
        <f t="shared" ref="AQ41:BM41" si="53">SUM(AQ9:AQ40)</f>
        <v>0</v>
      </c>
      <c r="AR41" s="254">
        <f t="shared" si="53"/>
        <v>0</v>
      </c>
      <c r="AS41" s="254">
        <f t="shared" si="53"/>
        <v>0</v>
      </c>
      <c r="AT41" s="254">
        <f t="shared" si="53"/>
        <v>0</v>
      </c>
      <c r="AU41" s="254">
        <f t="shared" si="53"/>
        <v>0</v>
      </c>
      <c r="AV41" s="254">
        <f t="shared" si="53"/>
        <v>0</v>
      </c>
      <c r="AW41" s="254">
        <f t="shared" si="53"/>
        <v>0</v>
      </c>
      <c r="AX41" s="254">
        <f t="shared" si="53"/>
        <v>0</v>
      </c>
      <c r="AY41" s="254">
        <f t="shared" si="53"/>
        <v>0</v>
      </c>
      <c r="AZ41" s="254">
        <f t="shared" si="53"/>
        <v>0</v>
      </c>
      <c r="BA41" s="254">
        <f t="shared" si="53"/>
        <v>0</v>
      </c>
      <c r="BB41" s="254">
        <f t="shared" si="53"/>
        <v>0</v>
      </c>
      <c r="BC41" s="254">
        <f t="shared" si="53"/>
        <v>0</v>
      </c>
      <c r="BD41" s="254">
        <f t="shared" si="53"/>
        <v>0</v>
      </c>
      <c r="BE41" s="254">
        <f t="shared" si="53"/>
        <v>0</v>
      </c>
      <c r="BF41" s="254">
        <f t="shared" si="53"/>
        <v>0</v>
      </c>
      <c r="BG41" s="254">
        <f t="shared" si="53"/>
        <v>0</v>
      </c>
      <c r="BH41" s="254">
        <f t="shared" si="53"/>
        <v>0</v>
      </c>
      <c r="BI41" s="254">
        <f t="shared" si="53"/>
        <v>0</v>
      </c>
      <c r="BJ41" s="254">
        <f t="shared" si="53"/>
        <v>0</v>
      </c>
      <c r="BK41" s="254">
        <f t="shared" si="53"/>
        <v>0</v>
      </c>
      <c r="BL41" s="254">
        <f t="shared" si="53"/>
        <v>0</v>
      </c>
      <c r="BM41" s="254">
        <f t="shared" si="53"/>
        <v>0</v>
      </c>
      <c r="BN41" s="222"/>
      <c r="BO41" s="95">
        <f>IF(AD41=0,0,(AQ41+AR41)/AD41)</f>
        <v>0</v>
      </c>
      <c r="BP41" s="95">
        <f>IF(AD41=0,0,(AU41)/AD41)</f>
        <v>0</v>
      </c>
      <c r="BQ41" s="95">
        <f>IF(AD41=0,0,(AV41)/AD41)</f>
        <v>0</v>
      </c>
      <c r="BR41" s="95">
        <f t="shared" ref="BR41:BS41" si="54">IF($AD$41=0,0,(AW41)/$AD$41)</f>
        <v>0</v>
      </c>
      <c r="BS41" s="95">
        <f t="shared" si="54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0</v>
      </c>
      <c r="BW41" s="255"/>
    </row>
    <row r="42" ht="14.25" customHeight="1">
      <c r="A42" s="181"/>
      <c r="B42" s="7"/>
      <c r="C42" s="14"/>
      <c r="D42" s="182">
        <v>210.0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56" t="s">
        <v>55</v>
      </c>
      <c r="B43" s="256">
        <f>B9-B42</f>
        <v>0</v>
      </c>
      <c r="C43" s="256"/>
      <c r="D43" s="256">
        <f>D41-D42</f>
        <v>-209</v>
      </c>
      <c r="E43" s="256"/>
      <c r="F43" s="256"/>
      <c r="G43" s="256"/>
      <c r="H43" s="256"/>
      <c r="I43" s="256"/>
      <c r="J43" s="256"/>
      <c r="K43" s="257"/>
      <c r="L43" s="256">
        <f>L41-L42</f>
        <v>0</v>
      </c>
      <c r="M43" s="256"/>
      <c r="N43" s="257"/>
      <c r="O43" s="257"/>
      <c r="P43" s="257"/>
      <c r="Q43" s="257"/>
      <c r="R43" s="256">
        <f>R41-R42</f>
        <v>0</v>
      </c>
      <c r="S43" s="256"/>
      <c r="T43" s="258"/>
      <c r="U43" s="258"/>
      <c r="V43" s="258"/>
      <c r="W43" s="258"/>
      <c r="X43" s="256">
        <f>X41-X42</f>
        <v>-3</v>
      </c>
      <c r="Y43" s="256"/>
      <c r="Z43" s="259"/>
      <c r="AA43" s="258"/>
      <c r="AB43" s="258"/>
      <c r="AC43" s="260"/>
      <c r="AD43" s="260"/>
      <c r="AE43" s="261">
        <v>0.0</v>
      </c>
      <c r="AF43" s="261">
        <v>0.0</v>
      </c>
      <c r="AG43" s="261">
        <v>0.0</v>
      </c>
      <c r="AH43" s="261">
        <v>0.0</v>
      </c>
      <c r="AI43" s="261">
        <v>0.0</v>
      </c>
      <c r="AJ43" s="261">
        <v>0.0</v>
      </c>
      <c r="AK43" s="261">
        <v>0.0</v>
      </c>
      <c r="AL43" s="261">
        <v>0.0</v>
      </c>
      <c r="AM43" s="261">
        <v>0.0</v>
      </c>
      <c r="AN43" s="261">
        <v>0.0</v>
      </c>
      <c r="AO43" s="262">
        <v>0.0</v>
      </c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60"/>
      <c r="BO43" s="263"/>
      <c r="BP43" s="263"/>
      <c r="BQ43" s="263"/>
      <c r="BR43" s="263"/>
      <c r="BS43" s="263"/>
      <c r="BT43" s="263"/>
      <c r="BU43" s="263"/>
      <c r="BV43" s="263"/>
      <c r="BW43" s="263"/>
    </row>
    <row r="44" ht="15.0" customHeight="1">
      <c r="A44" s="210"/>
      <c r="C44" s="212"/>
      <c r="D44" s="212"/>
      <c r="E44" s="212"/>
      <c r="F44" s="212"/>
      <c r="G44" s="212"/>
      <c r="H44" s="213"/>
      <c r="I44" s="213"/>
      <c r="J44" s="213"/>
      <c r="K44" s="214"/>
      <c r="L44" s="214"/>
      <c r="M44" s="214"/>
      <c r="N44" s="214"/>
      <c r="O44" s="214"/>
      <c r="P44" s="214"/>
      <c r="Q44" s="214"/>
      <c r="R44" s="264"/>
      <c r="S44" s="264"/>
      <c r="T44" s="215"/>
      <c r="U44" s="215"/>
      <c r="V44" s="215"/>
      <c r="W44" s="215"/>
      <c r="X44" s="216"/>
      <c r="Y44" s="217"/>
      <c r="Z44" s="218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65"/>
      <c r="AS44" s="222"/>
      <c r="AT44" s="222"/>
      <c r="BO44" s="222"/>
      <c r="BP44" s="222"/>
      <c r="BQ44" s="222"/>
      <c r="BR44" s="222"/>
      <c r="BS44" s="222"/>
      <c r="BT44" s="222"/>
      <c r="BU44" s="222"/>
      <c r="BV44" s="222"/>
      <c r="BW44" s="222"/>
    </row>
    <row r="45" ht="15.0" customHeight="1">
      <c r="A45" s="210"/>
      <c r="C45" s="212"/>
      <c r="D45" s="212"/>
      <c r="E45" s="212"/>
      <c r="F45" s="212"/>
      <c r="G45" s="212"/>
      <c r="H45" s="213"/>
      <c r="I45" s="213"/>
      <c r="J45" s="213"/>
      <c r="K45" s="214"/>
      <c r="L45" s="214"/>
      <c r="M45" s="214"/>
      <c r="N45" s="214"/>
      <c r="O45" s="214"/>
      <c r="P45" s="214"/>
      <c r="Q45" s="214"/>
      <c r="R45" s="264"/>
      <c r="S45" s="264"/>
      <c r="T45" s="215"/>
      <c r="U45" s="215"/>
      <c r="V45" s="215"/>
      <c r="W45" s="215"/>
      <c r="X45" s="216"/>
      <c r="Y45" s="217"/>
      <c r="Z45" s="218"/>
      <c r="AC45" s="266"/>
      <c r="AD45" s="266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65"/>
      <c r="AS45" s="222"/>
      <c r="AT45" s="222"/>
      <c r="BO45" s="222"/>
      <c r="BP45" s="222"/>
      <c r="BQ45" s="222"/>
      <c r="BR45" s="222"/>
      <c r="BS45" s="222"/>
      <c r="BT45" s="222"/>
      <c r="BU45" s="222"/>
      <c r="BV45" s="222"/>
      <c r="BW45" s="222"/>
    </row>
    <row r="46" ht="15.0" customHeight="1">
      <c r="A46" s="210"/>
      <c r="C46" s="212"/>
      <c r="D46" s="212"/>
      <c r="E46" s="212"/>
      <c r="F46" s="212"/>
      <c r="G46" s="212"/>
      <c r="H46" s="213"/>
      <c r="I46" s="213"/>
      <c r="J46" s="213"/>
      <c r="K46" s="214"/>
      <c r="L46" s="214"/>
      <c r="M46" s="214"/>
      <c r="N46" s="214"/>
      <c r="O46" s="214"/>
      <c r="P46" s="214"/>
      <c r="Q46" s="214"/>
      <c r="R46" s="264"/>
      <c r="S46" s="264"/>
      <c r="T46" s="215"/>
      <c r="U46" s="215"/>
      <c r="V46" s="215"/>
      <c r="W46" s="215"/>
      <c r="X46" s="216"/>
      <c r="Y46" s="217"/>
      <c r="Z46" s="218"/>
      <c r="AC46" s="267" t="s">
        <v>56</v>
      </c>
      <c r="AD46" s="268">
        <f>AD41+AD45</f>
        <v>0</v>
      </c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69"/>
      <c r="AP46" s="270"/>
      <c r="AQ46" s="271" t="s">
        <v>37</v>
      </c>
      <c r="AR46" s="271" t="s">
        <v>38</v>
      </c>
      <c r="AS46" s="271" t="s">
        <v>41</v>
      </c>
      <c r="AT46" s="271" t="s">
        <v>42</v>
      </c>
      <c r="AU46" s="271" t="s">
        <v>43</v>
      </c>
      <c r="AV46" s="271" t="s">
        <v>33</v>
      </c>
      <c r="AW46" s="272" t="s">
        <v>57</v>
      </c>
      <c r="AX46" s="273" t="s">
        <v>58</v>
      </c>
      <c r="BO46" s="222"/>
      <c r="BP46" s="222"/>
      <c r="BQ46" s="222"/>
      <c r="BR46" s="222"/>
      <c r="BS46" s="222"/>
      <c r="BT46" s="222"/>
      <c r="BU46" s="222"/>
      <c r="BV46" s="222"/>
      <c r="BW46" s="222"/>
    </row>
    <row r="47" ht="15.0" customHeight="1">
      <c r="A47" s="210"/>
      <c r="C47" s="212"/>
      <c r="D47" s="212"/>
      <c r="E47" s="212"/>
      <c r="F47" s="212"/>
      <c r="G47" s="212"/>
      <c r="H47" s="213"/>
      <c r="I47" s="213"/>
      <c r="J47" s="213"/>
      <c r="K47" s="214"/>
      <c r="L47" s="214"/>
      <c r="M47" s="214"/>
      <c r="N47" s="214"/>
      <c r="O47" s="214"/>
      <c r="P47" s="214"/>
      <c r="Q47" s="214"/>
      <c r="R47" s="264"/>
      <c r="S47" s="264"/>
      <c r="T47" s="215"/>
      <c r="U47" s="215"/>
      <c r="V47" s="215"/>
      <c r="W47" s="215"/>
      <c r="X47" s="216"/>
      <c r="Y47" s="217"/>
      <c r="Z47" s="218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74"/>
      <c r="AP47" s="275" t="s">
        <v>59</v>
      </c>
      <c r="AQ47" s="276">
        <f t="shared" ref="AQ47:AR47" si="55">AQ41</f>
        <v>0</v>
      </c>
      <c r="AR47" s="276">
        <f t="shared" si="55"/>
        <v>0</v>
      </c>
      <c r="AS47" s="276">
        <f t="shared" ref="AS47:AU47" si="56">AU41</f>
        <v>0</v>
      </c>
      <c r="AT47" s="276">
        <f t="shared" si="56"/>
        <v>0</v>
      </c>
      <c r="AU47" s="276">
        <f t="shared" si="56"/>
        <v>0</v>
      </c>
      <c r="AV47" s="276">
        <f>AZ41</f>
        <v>0</v>
      </c>
      <c r="AW47" s="276">
        <f>BD41+BF41+BH41+BB41</f>
        <v>0</v>
      </c>
      <c r="AX47" s="277">
        <f>BJ41</f>
        <v>0</v>
      </c>
      <c r="BO47" s="222"/>
      <c r="BP47" s="222"/>
      <c r="BQ47" s="222"/>
      <c r="BR47" s="222"/>
      <c r="BS47" s="222"/>
      <c r="BT47" s="222"/>
      <c r="BU47" s="222"/>
      <c r="BV47" s="222"/>
      <c r="BW47" s="222"/>
    </row>
    <row r="48" ht="15.0" customHeight="1">
      <c r="A48" s="210"/>
      <c r="C48" s="212"/>
      <c r="D48" s="212"/>
      <c r="E48" s="212"/>
      <c r="F48" s="212"/>
      <c r="G48" s="212"/>
      <c r="H48" s="213"/>
      <c r="I48" s="213"/>
      <c r="J48" s="213"/>
      <c r="K48" s="214"/>
      <c r="L48" s="214"/>
      <c r="M48" s="214"/>
      <c r="N48" s="214"/>
      <c r="O48" s="214"/>
      <c r="P48" s="214"/>
      <c r="Q48" s="214"/>
      <c r="R48" s="264"/>
      <c r="S48" s="264"/>
      <c r="T48" s="215"/>
      <c r="U48" s="215"/>
      <c r="V48" s="215"/>
      <c r="W48" s="215"/>
      <c r="X48" s="216"/>
      <c r="Y48" s="217"/>
      <c r="Z48" s="218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65"/>
      <c r="AQ48" s="255" t="str">
        <f t="shared" ref="AQ48:AX48" si="57">AQ47/$AD$41</f>
        <v>#DIV/0!</v>
      </c>
      <c r="AR48" s="255" t="str">
        <f t="shared" si="57"/>
        <v>#DIV/0!</v>
      </c>
      <c r="AS48" s="255" t="str">
        <f t="shared" si="57"/>
        <v>#DIV/0!</v>
      </c>
      <c r="AT48" s="255" t="str">
        <f t="shared" si="57"/>
        <v>#DIV/0!</v>
      </c>
      <c r="AU48" s="255" t="str">
        <f t="shared" si="57"/>
        <v>#DIV/0!</v>
      </c>
      <c r="AV48" s="255" t="str">
        <f t="shared" si="57"/>
        <v>#DIV/0!</v>
      </c>
      <c r="AW48" s="255" t="str">
        <f t="shared" si="57"/>
        <v>#DIV/0!</v>
      </c>
      <c r="AX48" s="255" t="str">
        <f t="shared" si="57"/>
        <v>#DIV/0!</v>
      </c>
      <c r="BO48" s="222"/>
      <c r="BP48" s="222"/>
      <c r="BQ48" s="222"/>
      <c r="BR48" s="222"/>
      <c r="BS48" s="222"/>
      <c r="BT48" s="222"/>
      <c r="BU48" s="222"/>
      <c r="BV48" s="222"/>
      <c r="BW48" s="222"/>
    </row>
    <row r="49" ht="15.0" customHeight="1">
      <c r="A49" s="210"/>
      <c r="C49" s="212"/>
      <c r="D49" s="212"/>
      <c r="E49" s="212"/>
      <c r="F49" s="212"/>
      <c r="G49" s="212"/>
      <c r="H49" s="213"/>
      <c r="I49" s="213"/>
      <c r="J49" s="213"/>
      <c r="K49" s="214"/>
      <c r="L49" s="214"/>
      <c r="M49" s="214"/>
      <c r="N49" s="214"/>
      <c r="O49" s="214"/>
      <c r="P49" s="214"/>
      <c r="Q49" s="214"/>
      <c r="R49" s="264"/>
      <c r="S49" s="264"/>
      <c r="T49" s="215"/>
      <c r="U49" s="215"/>
      <c r="V49" s="215"/>
      <c r="W49" s="215"/>
      <c r="X49" s="216"/>
      <c r="Y49" s="217"/>
      <c r="Z49" s="218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65"/>
      <c r="AS49" s="222"/>
      <c r="AT49" s="222"/>
      <c r="BO49" s="222"/>
      <c r="BP49" s="222"/>
      <c r="BQ49" s="222"/>
      <c r="BR49" s="222"/>
      <c r="BS49" s="222"/>
      <c r="BT49" s="222"/>
      <c r="BU49" s="222"/>
      <c r="BV49" s="222"/>
      <c r="BW49" s="222"/>
    </row>
    <row r="50" ht="15.0" customHeight="1">
      <c r="A50" s="210"/>
      <c r="C50" s="212"/>
      <c r="D50" s="212"/>
      <c r="E50" s="212"/>
      <c r="F50" s="212"/>
      <c r="G50" s="212"/>
      <c r="H50" s="213"/>
      <c r="I50" s="213"/>
      <c r="J50" s="213"/>
      <c r="K50" s="214"/>
      <c r="L50" s="214"/>
      <c r="M50" s="214"/>
      <c r="N50" s="214"/>
      <c r="O50" s="214"/>
      <c r="P50" s="214"/>
      <c r="Q50" s="214"/>
      <c r="R50" s="264"/>
      <c r="S50" s="264"/>
      <c r="T50" s="215"/>
      <c r="U50" s="215"/>
      <c r="V50" s="215"/>
      <c r="W50" s="215"/>
      <c r="X50" s="216"/>
      <c r="Y50" s="217"/>
      <c r="Z50" s="218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65"/>
      <c r="AS50" s="222"/>
      <c r="AT50" s="222"/>
      <c r="BO50" s="222"/>
      <c r="BP50" s="222"/>
      <c r="BQ50" s="222"/>
      <c r="BR50" s="222"/>
      <c r="BS50" s="222"/>
      <c r="BT50" s="222"/>
      <c r="BU50" s="222"/>
      <c r="BV50" s="222"/>
      <c r="BW50" s="222"/>
    </row>
    <row r="51" ht="15.0" customHeight="1">
      <c r="A51" s="210"/>
      <c r="C51" s="212"/>
      <c r="D51" s="212"/>
      <c r="E51" s="212"/>
      <c r="F51" s="212"/>
      <c r="G51" s="212"/>
      <c r="H51" s="213"/>
      <c r="I51" s="213"/>
      <c r="J51" s="213"/>
      <c r="K51" s="214"/>
      <c r="L51" s="214"/>
      <c r="M51" s="214"/>
      <c r="N51" s="214"/>
      <c r="O51" s="214"/>
      <c r="P51" s="214"/>
      <c r="Q51" s="214"/>
      <c r="R51" s="264"/>
      <c r="S51" s="264"/>
      <c r="T51" s="215"/>
      <c r="U51" s="215"/>
      <c r="V51" s="215"/>
      <c r="W51" s="215"/>
      <c r="X51" s="216"/>
      <c r="Y51" s="217"/>
      <c r="Z51" s="218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65"/>
      <c r="AS51" s="222"/>
      <c r="AT51" s="222"/>
      <c r="BO51" s="222"/>
      <c r="BP51" s="222"/>
      <c r="BQ51" s="222"/>
      <c r="BR51" s="222"/>
      <c r="BS51" s="222"/>
      <c r="BT51" s="222"/>
      <c r="BU51" s="222"/>
      <c r="BV51" s="222"/>
      <c r="BW51" s="222"/>
    </row>
    <row r="52" ht="15.0" customHeight="1">
      <c r="A52" s="210"/>
      <c r="C52" s="212"/>
      <c r="D52" s="212"/>
      <c r="E52" s="212"/>
      <c r="F52" s="212"/>
      <c r="G52" s="212"/>
      <c r="H52" s="213"/>
      <c r="I52" s="213"/>
      <c r="J52" s="213"/>
      <c r="K52" s="214"/>
      <c r="L52" s="214"/>
      <c r="M52" s="214"/>
      <c r="N52" s="214"/>
      <c r="O52" s="214"/>
      <c r="P52" s="214"/>
      <c r="Q52" s="214"/>
      <c r="R52" s="264"/>
      <c r="S52" s="264"/>
      <c r="T52" s="215"/>
      <c r="U52" s="215"/>
      <c r="V52" s="215"/>
      <c r="W52" s="215"/>
      <c r="X52" s="216"/>
      <c r="Y52" s="217"/>
      <c r="Z52" s="218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65"/>
      <c r="AS52" s="222"/>
      <c r="AT52" s="222"/>
      <c r="BO52" s="222"/>
      <c r="BP52" s="222"/>
      <c r="BQ52" s="222"/>
      <c r="BR52" s="222"/>
      <c r="BS52" s="222"/>
      <c r="BT52" s="222"/>
      <c r="BU52" s="222"/>
      <c r="BV52" s="222"/>
      <c r="BW52" s="222"/>
    </row>
    <row r="53" ht="15.0" customHeight="1">
      <c r="A53" s="210"/>
      <c r="C53" s="212"/>
      <c r="D53" s="212"/>
      <c r="E53" s="212"/>
      <c r="F53" s="212"/>
      <c r="G53" s="212"/>
      <c r="H53" s="213"/>
      <c r="I53" s="213"/>
      <c r="J53" s="213"/>
      <c r="K53" s="214"/>
      <c r="L53" s="214"/>
      <c r="M53" s="214"/>
      <c r="N53" s="214"/>
      <c r="O53" s="214"/>
      <c r="P53" s="214"/>
      <c r="Q53" s="214"/>
      <c r="R53" s="264"/>
      <c r="S53" s="264"/>
      <c r="T53" s="215"/>
      <c r="U53" s="215"/>
      <c r="V53" s="215"/>
      <c r="W53" s="215"/>
      <c r="X53" s="216"/>
      <c r="Y53" s="217"/>
      <c r="Z53" s="218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65"/>
      <c r="AS53" s="222"/>
      <c r="AT53" s="222"/>
      <c r="BO53" s="222"/>
      <c r="BP53" s="222"/>
      <c r="BQ53" s="222"/>
      <c r="BR53" s="222"/>
      <c r="BS53" s="222"/>
      <c r="BT53" s="222"/>
      <c r="BU53" s="222"/>
      <c r="BV53" s="222"/>
      <c r="BW53" s="222"/>
    </row>
    <row r="54" ht="15.0" customHeight="1">
      <c r="A54" s="210"/>
      <c r="C54" s="212"/>
      <c r="D54" s="212"/>
      <c r="E54" s="212"/>
      <c r="F54" s="212"/>
      <c r="G54" s="212"/>
      <c r="H54" s="213"/>
      <c r="I54" s="213"/>
      <c r="J54" s="213"/>
      <c r="K54" s="214"/>
      <c r="L54" s="215"/>
      <c r="M54" s="215"/>
      <c r="N54" s="215"/>
      <c r="O54" s="215"/>
      <c r="P54" s="215"/>
      <c r="Q54" s="215"/>
      <c r="R54" s="216"/>
      <c r="S54" s="217"/>
      <c r="T54" s="218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65"/>
      <c r="AN54" s="222"/>
      <c r="AO54" s="222"/>
      <c r="BO54" s="222"/>
      <c r="BP54" s="222"/>
      <c r="BQ54" s="222"/>
      <c r="BR54" s="222"/>
      <c r="BS54" s="222"/>
      <c r="BT54" s="222"/>
      <c r="BU54" s="222"/>
      <c r="BV54" s="222"/>
      <c r="BW54" s="222"/>
    </row>
    <row r="55" ht="15.0" customHeight="1">
      <c r="A55" s="210"/>
      <c r="C55" s="212"/>
      <c r="D55" s="212"/>
      <c r="E55" s="212"/>
      <c r="F55" s="212"/>
      <c r="G55" s="212"/>
      <c r="H55" s="213"/>
      <c r="I55" s="213"/>
      <c r="J55" s="213"/>
      <c r="K55" s="214"/>
      <c r="L55" s="215"/>
      <c r="M55" s="215"/>
      <c r="N55" s="215"/>
      <c r="O55" s="215"/>
      <c r="P55" s="215"/>
      <c r="Q55" s="215"/>
      <c r="R55" s="216"/>
      <c r="S55" s="217"/>
      <c r="T55" s="218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65"/>
      <c r="AN55" s="222"/>
      <c r="AO55" s="222"/>
      <c r="BO55" s="222"/>
      <c r="BP55" s="222"/>
      <c r="BQ55" s="222"/>
      <c r="BR55" s="222"/>
      <c r="BS55" s="222"/>
      <c r="BT55" s="222"/>
      <c r="BU55" s="222"/>
      <c r="BV55" s="222"/>
      <c r="BW55" s="222"/>
    </row>
    <row r="56" ht="15.0" customHeight="1">
      <c r="A56" s="210"/>
      <c r="C56" s="212"/>
      <c r="D56" s="212"/>
      <c r="E56" s="212"/>
      <c r="F56" s="212"/>
      <c r="G56" s="212"/>
      <c r="H56" s="213"/>
      <c r="I56" s="213"/>
      <c r="J56" s="213"/>
      <c r="K56" s="214"/>
      <c r="L56" s="215"/>
      <c r="M56" s="215"/>
      <c r="N56" s="215"/>
      <c r="O56" s="215"/>
      <c r="P56" s="215"/>
      <c r="Q56" s="215"/>
      <c r="R56" s="216"/>
      <c r="S56" s="217"/>
      <c r="T56" s="218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65"/>
      <c r="AN56" s="222"/>
      <c r="AO56" s="222"/>
      <c r="BO56" s="222"/>
      <c r="BP56" s="222"/>
      <c r="BQ56" s="222"/>
      <c r="BR56" s="222"/>
      <c r="BS56" s="222"/>
      <c r="BT56" s="222"/>
      <c r="BU56" s="222"/>
      <c r="BV56" s="222"/>
      <c r="BW56" s="222"/>
    </row>
    <row r="57" ht="15.0" customHeight="1">
      <c r="A57" s="210"/>
      <c r="C57" s="212"/>
      <c r="D57" s="212"/>
      <c r="E57" s="212"/>
      <c r="F57" s="212"/>
      <c r="G57" s="212"/>
      <c r="H57" s="213"/>
      <c r="I57" s="213"/>
      <c r="J57" s="213"/>
      <c r="K57" s="214"/>
      <c r="L57" s="215"/>
      <c r="M57" s="215"/>
      <c r="N57" s="215"/>
      <c r="O57" s="215"/>
      <c r="P57" s="215"/>
      <c r="Q57" s="215"/>
      <c r="R57" s="216"/>
      <c r="S57" s="217"/>
      <c r="T57" s="218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65"/>
      <c r="AN57" s="222"/>
      <c r="AO57" s="222"/>
      <c r="BO57" s="222"/>
      <c r="BP57" s="222"/>
      <c r="BQ57" s="222"/>
      <c r="BR57" s="222"/>
      <c r="BS57" s="222"/>
      <c r="BT57" s="222"/>
      <c r="BU57" s="222"/>
      <c r="BV57" s="222"/>
      <c r="BW57" s="222"/>
    </row>
    <row r="58" ht="15.0" customHeight="1">
      <c r="A58" s="210"/>
      <c r="C58" s="212"/>
      <c r="D58" s="212"/>
      <c r="E58" s="212"/>
      <c r="F58" s="212"/>
      <c r="G58" s="212"/>
      <c r="H58" s="213"/>
      <c r="I58" s="213"/>
      <c r="J58" s="213"/>
      <c r="K58" s="214"/>
      <c r="L58" s="215"/>
      <c r="M58" s="215"/>
      <c r="N58" s="215"/>
      <c r="O58" s="215"/>
      <c r="P58" s="215"/>
      <c r="Q58" s="215"/>
      <c r="R58" s="216"/>
      <c r="S58" s="217"/>
      <c r="T58" s="218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65"/>
      <c r="AN58" s="222"/>
      <c r="AO58" s="222"/>
      <c r="BO58" s="222"/>
      <c r="BP58" s="222"/>
      <c r="BQ58" s="222"/>
      <c r="BR58" s="222"/>
      <c r="BS58" s="222"/>
      <c r="BT58" s="222"/>
      <c r="BU58" s="222"/>
      <c r="BV58" s="222"/>
      <c r="BW58" s="222"/>
    </row>
    <row r="59" ht="15.0" customHeight="1">
      <c r="A59" s="210"/>
      <c r="C59" s="212"/>
      <c r="D59" s="212"/>
      <c r="E59" s="212"/>
      <c r="F59" s="212"/>
      <c r="G59" s="212"/>
      <c r="H59" s="213"/>
      <c r="I59" s="213"/>
      <c r="J59" s="213"/>
      <c r="K59" s="214"/>
      <c r="L59" s="215"/>
      <c r="M59" s="215"/>
      <c r="N59" s="215"/>
      <c r="O59" s="215"/>
      <c r="P59" s="215"/>
      <c r="Q59" s="215"/>
      <c r="R59" s="216"/>
      <c r="S59" s="217"/>
      <c r="T59" s="218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65"/>
      <c r="AN59" s="222"/>
      <c r="AO59" s="222"/>
      <c r="BO59" s="222"/>
      <c r="BP59" s="222"/>
      <c r="BQ59" s="222"/>
      <c r="BR59" s="222"/>
      <c r="BS59" s="222"/>
      <c r="BT59" s="222"/>
      <c r="BU59" s="222"/>
      <c r="BV59" s="222"/>
      <c r="BW59" s="222"/>
    </row>
    <row r="60" ht="15.0" customHeight="1">
      <c r="A60" s="210"/>
      <c r="C60" s="212"/>
      <c r="D60" s="212"/>
      <c r="E60" s="212"/>
      <c r="F60" s="212"/>
      <c r="G60" s="212"/>
      <c r="H60" s="213"/>
      <c r="I60" s="213"/>
      <c r="J60" s="213"/>
      <c r="K60" s="214"/>
      <c r="L60" s="215"/>
      <c r="M60" s="215"/>
      <c r="N60" s="215"/>
      <c r="O60" s="215"/>
      <c r="P60" s="215"/>
      <c r="Q60" s="215"/>
      <c r="R60" s="216"/>
      <c r="S60" s="217"/>
      <c r="T60" s="218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65"/>
      <c r="AN60" s="222"/>
      <c r="AO60" s="222"/>
      <c r="BO60" s="222"/>
      <c r="BP60" s="222"/>
      <c r="BQ60" s="222"/>
      <c r="BR60" s="222"/>
      <c r="BS60" s="222"/>
      <c r="BT60" s="222"/>
      <c r="BU60" s="222"/>
      <c r="BV60" s="222"/>
      <c r="BW60" s="222"/>
    </row>
    <row r="61" ht="15.0" customHeight="1">
      <c r="A61" s="210"/>
      <c r="C61" s="212"/>
      <c r="D61" s="212"/>
      <c r="E61" s="212"/>
      <c r="F61" s="212"/>
      <c r="G61" s="212"/>
      <c r="H61" s="213"/>
      <c r="I61" s="213"/>
      <c r="J61" s="213"/>
      <c r="K61" s="214"/>
      <c r="L61" s="215"/>
      <c r="M61" s="215"/>
      <c r="N61" s="215"/>
      <c r="O61" s="215"/>
      <c r="P61" s="215"/>
      <c r="Q61" s="215"/>
      <c r="R61" s="216"/>
      <c r="S61" s="217"/>
      <c r="T61" s="218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65"/>
      <c r="AN61" s="222"/>
      <c r="AO61" s="222"/>
      <c r="BO61" s="222"/>
      <c r="BP61" s="222"/>
      <c r="BQ61" s="222"/>
      <c r="BR61" s="222"/>
      <c r="BS61" s="222"/>
      <c r="BT61" s="222"/>
      <c r="BU61" s="222"/>
      <c r="BV61" s="222"/>
      <c r="BW61" s="222"/>
    </row>
    <row r="62" ht="15.0" customHeight="1">
      <c r="A62" s="210"/>
      <c r="C62" s="212"/>
      <c r="D62" s="212"/>
      <c r="E62" s="212"/>
      <c r="F62" s="212"/>
      <c r="G62" s="212"/>
      <c r="H62" s="213"/>
      <c r="I62" s="213"/>
      <c r="J62" s="213"/>
      <c r="K62" s="214"/>
      <c r="L62" s="215"/>
      <c r="M62" s="215"/>
      <c r="N62" s="215"/>
      <c r="O62" s="215"/>
      <c r="P62" s="215"/>
      <c r="Q62" s="215"/>
      <c r="R62" s="216"/>
      <c r="S62" s="217"/>
      <c r="T62" s="218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65"/>
      <c r="AN62" s="222"/>
      <c r="AO62" s="222"/>
      <c r="BO62" s="222"/>
      <c r="BP62" s="222"/>
      <c r="BQ62" s="222"/>
      <c r="BR62" s="222"/>
      <c r="BS62" s="222"/>
      <c r="BT62" s="222"/>
      <c r="BU62" s="222"/>
      <c r="BV62" s="222"/>
      <c r="BW62" s="222"/>
    </row>
    <row r="63" ht="15.0" customHeight="1">
      <c r="A63" s="210"/>
      <c r="C63" s="212"/>
      <c r="D63" s="212"/>
      <c r="E63" s="212"/>
      <c r="F63" s="212"/>
      <c r="G63" s="212"/>
      <c r="H63" s="213"/>
      <c r="I63" s="213"/>
      <c r="J63" s="213"/>
      <c r="K63" s="214"/>
      <c r="L63" s="215"/>
      <c r="M63" s="215"/>
      <c r="N63" s="215"/>
      <c r="O63" s="215"/>
      <c r="P63" s="215"/>
      <c r="Q63" s="215"/>
      <c r="R63" s="216"/>
      <c r="S63" s="217"/>
      <c r="T63" s="218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65"/>
      <c r="AN63" s="222"/>
      <c r="AO63" s="222"/>
      <c r="BO63" s="222"/>
      <c r="BP63" s="222"/>
      <c r="BQ63" s="222"/>
      <c r="BR63" s="222"/>
      <c r="BS63" s="222"/>
      <c r="BT63" s="222"/>
      <c r="BU63" s="222"/>
      <c r="BV63" s="222"/>
      <c r="BW63" s="222"/>
    </row>
    <row r="64" ht="15.0" customHeight="1">
      <c r="A64" s="210"/>
      <c r="C64" s="212"/>
      <c r="D64" s="212"/>
      <c r="E64" s="212"/>
      <c r="F64" s="212"/>
      <c r="G64" s="212"/>
      <c r="H64" s="213"/>
      <c r="I64" s="213"/>
      <c r="J64" s="213"/>
      <c r="K64" s="214"/>
      <c r="L64" s="215"/>
      <c r="M64" s="215"/>
      <c r="N64" s="215"/>
      <c r="O64" s="215"/>
      <c r="P64" s="215"/>
      <c r="Q64" s="215"/>
      <c r="R64" s="216"/>
      <c r="S64" s="217"/>
      <c r="T64" s="218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65"/>
      <c r="AN64" s="222"/>
      <c r="AO64" s="222"/>
      <c r="BO64" s="222"/>
      <c r="BP64" s="222"/>
      <c r="BQ64" s="222"/>
      <c r="BR64" s="222"/>
      <c r="BS64" s="222"/>
      <c r="BT64" s="222"/>
      <c r="BU64" s="222"/>
      <c r="BV64" s="222"/>
      <c r="BW64" s="222"/>
    </row>
    <row r="65" ht="15.0" customHeight="1">
      <c r="A65" s="210"/>
      <c r="C65" s="212"/>
      <c r="D65" s="212"/>
      <c r="E65" s="212"/>
      <c r="F65" s="212"/>
      <c r="G65" s="212"/>
      <c r="H65" s="213"/>
      <c r="I65" s="213"/>
      <c r="J65" s="213"/>
      <c r="K65" s="214"/>
      <c r="L65" s="215"/>
      <c r="M65" s="215"/>
      <c r="N65" s="215"/>
      <c r="O65" s="215"/>
      <c r="P65" s="215"/>
      <c r="Q65" s="215"/>
      <c r="R65" s="216"/>
      <c r="S65" s="217"/>
      <c r="T65" s="218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65"/>
      <c r="AN65" s="222"/>
      <c r="AO65" s="222"/>
      <c r="BO65" s="222"/>
      <c r="BP65" s="222"/>
      <c r="BQ65" s="222"/>
      <c r="BR65" s="222"/>
      <c r="BS65" s="222"/>
      <c r="BT65" s="222"/>
      <c r="BU65" s="222"/>
      <c r="BV65" s="222"/>
      <c r="BW65" s="222"/>
    </row>
    <row r="66" ht="15.0" customHeight="1">
      <c r="A66" s="210"/>
      <c r="C66" s="212"/>
      <c r="D66" s="212"/>
      <c r="E66" s="212"/>
      <c r="F66" s="212"/>
      <c r="G66" s="212"/>
      <c r="H66" s="213"/>
      <c r="I66" s="213"/>
      <c r="J66" s="213"/>
      <c r="K66" s="214"/>
      <c r="L66" s="215"/>
      <c r="M66" s="215"/>
      <c r="N66" s="215"/>
      <c r="O66" s="215"/>
      <c r="P66" s="215"/>
      <c r="Q66" s="215"/>
      <c r="R66" s="216"/>
      <c r="S66" s="217"/>
      <c r="T66" s="218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65"/>
      <c r="AN66" s="222"/>
      <c r="AO66" s="222"/>
      <c r="BO66" s="222"/>
      <c r="BP66" s="222"/>
      <c r="BQ66" s="222"/>
      <c r="BR66" s="222"/>
      <c r="BS66" s="222"/>
      <c r="BT66" s="222"/>
      <c r="BU66" s="222"/>
      <c r="BV66" s="222"/>
      <c r="BW66" s="222"/>
    </row>
    <row r="67" ht="15.0" customHeight="1">
      <c r="A67" s="210"/>
      <c r="C67" s="212"/>
      <c r="D67" s="212"/>
      <c r="E67" s="212"/>
      <c r="F67" s="212"/>
      <c r="G67" s="212"/>
      <c r="H67" s="213"/>
      <c r="I67" s="213"/>
      <c r="J67" s="213"/>
      <c r="K67" s="214"/>
      <c r="L67" s="215"/>
      <c r="M67" s="215"/>
      <c r="N67" s="215"/>
      <c r="O67" s="215"/>
      <c r="P67" s="215"/>
      <c r="Q67" s="215"/>
      <c r="R67" s="216"/>
      <c r="S67" s="217"/>
      <c r="T67" s="218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65"/>
      <c r="AN67" s="222"/>
      <c r="AO67" s="222"/>
      <c r="BO67" s="222"/>
      <c r="BP67" s="222"/>
      <c r="BQ67" s="222"/>
      <c r="BR67" s="222"/>
      <c r="BS67" s="222"/>
      <c r="BT67" s="222"/>
      <c r="BU67" s="222"/>
      <c r="BV67" s="222"/>
      <c r="BW67" s="222"/>
    </row>
    <row r="68" ht="15.0" customHeight="1">
      <c r="A68" s="210"/>
      <c r="C68" s="212"/>
      <c r="D68" s="212"/>
      <c r="E68" s="212"/>
      <c r="F68" s="212"/>
      <c r="G68" s="212"/>
      <c r="H68" s="213"/>
      <c r="I68" s="213"/>
      <c r="J68" s="213"/>
      <c r="K68" s="214"/>
      <c r="L68" s="215"/>
      <c r="M68" s="215"/>
      <c r="N68" s="215"/>
      <c r="O68" s="215"/>
      <c r="P68" s="215"/>
      <c r="Q68" s="215"/>
      <c r="R68" s="216"/>
      <c r="S68" s="217"/>
      <c r="T68" s="218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65"/>
      <c r="AN68" s="222"/>
      <c r="AO68" s="222"/>
      <c r="BO68" s="222"/>
      <c r="BP68" s="222"/>
      <c r="BQ68" s="222"/>
      <c r="BR68" s="222"/>
      <c r="BS68" s="222"/>
      <c r="BT68" s="222"/>
      <c r="BU68" s="222"/>
      <c r="BV68" s="222"/>
      <c r="BW68" s="222"/>
    </row>
    <row r="69" ht="15.0" customHeight="1">
      <c r="A69" s="210"/>
      <c r="C69" s="212"/>
      <c r="D69" s="212"/>
      <c r="E69" s="212"/>
      <c r="F69" s="212"/>
      <c r="G69" s="212"/>
      <c r="H69" s="213"/>
      <c r="I69" s="213"/>
      <c r="J69" s="213"/>
      <c r="K69" s="214"/>
      <c r="L69" s="215"/>
      <c r="M69" s="215"/>
      <c r="N69" s="215"/>
      <c r="O69" s="215"/>
      <c r="P69" s="215"/>
      <c r="Q69" s="215"/>
      <c r="R69" s="216"/>
      <c r="S69" s="217"/>
      <c r="T69" s="218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65"/>
      <c r="AN69" s="222"/>
      <c r="AO69" s="222"/>
      <c r="BO69" s="222"/>
      <c r="BP69" s="222"/>
      <c r="BQ69" s="222"/>
      <c r="BR69" s="222"/>
      <c r="BS69" s="222"/>
      <c r="BT69" s="222"/>
      <c r="BU69" s="222"/>
      <c r="BV69" s="222"/>
      <c r="BW69" s="222"/>
    </row>
    <row r="70" ht="15.0" customHeight="1">
      <c r="A70" s="210"/>
      <c r="C70" s="212"/>
      <c r="D70" s="212"/>
      <c r="E70" s="212"/>
      <c r="F70" s="212"/>
      <c r="G70" s="212"/>
      <c r="H70" s="213"/>
      <c r="I70" s="213"/>
      <c r="J70" s="213"/>
      <c r="K70" s="214"/>
      <c r="L70" s="215"/>
      <c r="M70" s="215"/>
      <c r="N70" s="215"/>
      <c r="O70" s="215"/>
      <c r="P70" s="215"/>
      <c r="Q70" s="215"/>
      <c r="R70" s="216"/>
      <c r="S70" s="217"/>
      <c r="T70" s="218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65"/>
      <c r="AN70" s="222"/>
      <c r="AO70" s="222"/>
      <c r="BO70" s="222"/>
      <c r="BP70" s="222"/>
      <c r="BQ70" s="222"/>
      <c r="BR70" s="222"/>
      <c r="BS70" s="222"/>
      <c r="BT70" s="222"/>
      <c r="BU70" s="222"/>
      <c r="BV70" s="222"/>
      <c r="BW70" s="222"/>
    </row>
    <row r="71" ht="15.0" customHeight="1">
      <c r="A71" s="210"/>
      <c r="C71" s="212"/>
      <c r="D71" s="212"/>
      <c r="E71" s="212"/>
      <c r="F71" s="212"/>
      <c r="G71" s="212"/>
      <c r="H71" s="213"/>
      <c r="I71" s="213"/>
      <c r="J71" s="213"/>
      <c r="K71" s="214"/>
      <c r="L71" s="215"/>
      <c r="M71" s="215"/>
      <c r="N71" s="215"/>
      <c r="O71" s="215"/>
      <c r="P71" s="215"/>
      <c r="Q71" s="215"/>
      <c r="R71" s="216"/>
      <c r="S71" s="217"/>
      <c r="T71" s="218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65"/>
      <c r="AN71" s="222"/>
      <c r="AO71" s="222"/>
      <c r="BO71" s="222"/>
      <c r="BP71" s="222"/>
      <c r="BQ71" s="222"/>
      <c r="BR71" s="222"/>
      <c r="BS71" s="222"/>
      <c r="BT71" s="222"/>
      <c r="BU71" s="222"/>
      <c r="BV71" s="222"/>
      <c r="BW71" s="222"/>
    </row>
    <row r="72" ht="15.0" customHeight="1">
      <c r="A72" s="210"/>
      <c r="C72" s="212"/>
      <c r="D72" s="212"/>
      <c r="E72" s="212"/>
      <c r="F72" s="212"/>
      <c r="G72" s="212"/>
      <c r="H72" s="213"/>
      <c r="I72" s="213"/>
      <c r="J72" s="213"/>
      <c r="K72" s="214"/>
      <c r="L72" s="215"/>
      <c r="M72" s="215"/>
      <c r="N72" s="215"/>
      <c r="O72" s="215"/>
      <c r="P72" s="215"/>
      <c r="Q72" s="215"/>
      <c r="R72" s="216"/>
      <c r="S72" s="217"/>
      <c r="T72" s="218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65"/>
      <c r="AN72" s="222"/>
      <c r="AO72" s="222"/>
      <c r="BO72" s="222"/>
      <c r="BP72" s="222"/>
      <c r="BQ72" s="222"/>
      <c r="BR72" s="222"/>
      <c r="BS72" s="222"/>
      <c r="BT72" s="222"/>
      <c r="BU72" s="222"/>
      <c r="BV72" s="222"/>
      <c r="BW72" s="222"/>
    </row>
    <row r="73" ht="15.0" customHeight="1">
      <c r="A73" s="210"/>
      <c r="C73" s="212"/>
      <c r="D73" s="212"/>
      <c r="E73" s="212"/>
      <c r="F73" s="212"/>
      <c r="G73" s="212"/>
      <c r="H73" s="213"/>
      <c r="I73" s="213"/>
      <c r="J73" s="213"/>
      <c r="K73" s="214"/>
      <c r="L73" s="215"/>
      <c r="M73" s="215"/>
      <c r="N73" s="215"/>
      <c r="O73" s="215"/>
      <c r="P73" s="215"/>
      <c r="Q73" s="215"/>
      <c r="R73" s="216"/>
      <c r="S73" s="217"/>
      <c r="T73" s="218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65"/>
      <c r="AN73" s="222"/>
      <c r="AO73" s="222"/>
      <c r="BO73" s="222"/>
      <c r="BP73" s="222"/>
      <c r="BQ73" s="222"/>
      <c r="BR73" s="222"/>
      <c r="BS73" s="222"/>
      <c r="BT73" s="222"/>
      <c r="BU73" s="222"/>
      <c r="BV73" s="222"/>
      <c r="BW73" s="222"/>
    </row>
    <row r="74" ht="15.0" customHeight="1">
      <c r="A74" s="210"/>
      <c r="C74" s="212"/>
      <c r="D74" s="212"/>
      <c r="E74" s="212"/>
      <c r="F74" s="212"/>
      <c r="G74" s="212"/>
      <c r="H74" s="213"/>
      <c r="I74" s="213"/>
      <c r="J74" s="213"/>
      <c r="K74" s="214"/>
      <c r="L74" s="215"/>
      <c r="M74" s="215"/>
      <c r="N74" s="215"/>
      <c r="O74" s="215"/>
      <c r="P74" s="215"/>
      <c r="Q74" s="215"/>
      <c r="R74" s="216"/>
      <c r="S74" s="217"/>
      <c r="T74" s="218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65"/>
      <c r="AN74" s="222"/>
      <c r="AO74" s="222"/>
      <c r="BO74" s="222"/>
      <c r="BP74" s="222"/>
      <c r="BQ74" s="222"/>
      <c r="BR74" s="222"/>
      <c r="BS74" s="222"/>
      <c r="BT74" s="222"/>
      <c r="BU74" s="222"/>
      <c r="BV74" s="222"/>
      <c r="BW74" s="222"/>
    </row>
    <row r="75" ht="15.0" customHeight="1">
      <c r="A75" s="210"/>
      <c r="C75" s="212"/>
      <c r="D75" s="212"/>
      <c r="E75" s="212"/>
      <c r="F75" s="212"/>
      <c r="G75" s="212"/>
      <c r="H75" s="213"/>
      <c r="I75" s="213"/>
      <c r="J75" s="213"/>
      <c r="K75" s="214"/>
      <c r="L75" s="215"/>
      <c r="M75" s="215"/>
      <c r="N75" s="215"/>
      <c r="O75" s="215"/>
      <c r="P75" s="215"/>
      <c r="Q75" s="215"/>
      <c r="R75" s="216"/>
      <c r="S75" s="217"/>
      <c r="T75" s="218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65"/>
      <c r="AN75" s="222"/>
      <c r="AO75" s="222"/>
      <c r="BO75" s="222"/>
      <c r="BP75" s="222"/>
      <c r="BQ75" s="222"/>
      <c r="BR75" s="222"/>
      <c r="BS75" s="222"/>
      <c r="BT75" s="222"/>
      <c r="BU75" s="222"/>
      <c r="BV75" s="222"/>
      <c r="BW75" s="222"/>
    </row>
    <row r="76" ht="15.0" customHeight="1">
      <c r="A76" s="210"/>
      <c r="C76" s="212"/>
      <c r="D76" s="212"/>
      <c r="E76" s="212"/>
      <c r="F76" s="212"/>
      <c r="G76" s="212"/>
      <c r="H76" s="213"/>
      <c r="I76" s="213"/>
      <c r="J76" s="213"/>
      <c r="K76" s="214"/>
      <c r="L76" s="215"/>
      <c r="M76" s="215"/>
      <c r="N76" s="215"/>
      <c r="O76" s="215"/>
      <c r="P76" s="215"/>
      <c r="Q76" s="215"/>
      <c r="R76" s="216"/>
      <c r="S76" s="217"/>
      <c r="T76" s="218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65"/>
      <c r="AN76" s="222"/>
      <c r="AO76" s="222"/>
      <c r="BO76" s="222"/>
      <c r="BP76" s="222"/>
      <c r="BQ76" s="222"/>
      <c r="BR76" s="222"/>
      <c r="BS76" s="222"/>
      <c r="BT76" s="222"/>
      <c r="BU76" s="222"/>
      <c r="BV76" s="222"/>
      <c r="BW76" s="222"/>
    </row>
    <row r="77" ht="15.0" customHeight="1">
      <c r="A77" s="210"/>
      <c r="C77" s="212"/>
      <c r="D77" s="212"/>
      <c r="E77" s="212"/>
      <c r="F77" s="212"/>
      <c r="G77" s="212"/>
      <c r="H77" s="213"/>
      <c r="I77" s="213"/>
      <c r="J77" s="213"/>
      <c r="K77" s="214"/>
      <c r="L77" s="215"/>
      <c r="M77" s="215"/>
      <c r="N77" s="215"/>
      <c r="O77" s="215"/>
      <c r="P77" s="215"/>
      <c r="Q77" s="215"/>
      <c r="R77" s="216"/>
      <c r="S77" s="217"/>
      <c r="T77" s="218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65"/>
      <c r="AN77" s="222"/>
      <c r="AO77" s="222"/>
      <c r="BO77" s="222"/>
      <c r="BP77" s="222"/>
      <c r="BQ77" s="222"/>
      <c r="BR77" s="222"/>
      <c r="BS77" s="222"/>
      <c r="BT77" s="222"/>
      <c r="BU77" s="222"/>
      <c r="BV77" s="222"/>
      <c r="BW77" s="222"/>
    </row>
    <row r="78" ht="15.0" customHeight="1">
      <c r="A78" s="210"/>
      <c r="C78" s="212"/>
      <c r="D78" s="212"/>
      <c r="E78" s="212"/>
      <c r="F78" s="212"/>
      <c r="G78" s="212"/>
      <c r="H78" s="213"/>
      <c r="I78" s="213"/>
      <c r="J78" s="213"/>
      <c r="K78" s="214"/>
      <c r="L78" s="215"/>
      <c r="M78" s="215"/>
      <c r="N78" s="215"/>
      <c r="O78" s="215"/>
      <c r="P78" s="215"/>
      <c r="Q78" s="215"/>
      <c r="R78" s="216"/>
      <c r="S78" s="217"/>
      <c r="T78" s="218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65"/>
      <c r="AN78" s="222"/>
      <c r="AO78" s="222"/>
      <c r="BO78" s="222"/>
      <c r="BP78" s="222"/>
      <c r="BQ78" s="222"/>
      <c r="BR78" s="222"/>
      <c r="BS78" s="222"/>
      <c r="BT78" s="222"/>
      <c r="BU78" s="222"/>
      <c r="BV78" s="222"/>
      <c r="BW78" s="222"/>
    </row>
    <row r="79" ht="15.0" customHeight="1">
      <c r="A79" s="210"/>
      <c r="C79" s="212"/>
      <c r="D79" s="212"/>
      <c r="E79" s="212"/>
      <c r="F79" s="212"/>
      <c r="G79" s="212"/>
      <c r="H79" s="213"/>
      <c r="I79" s="213"/>
      <c r="J79" s="213"/>
      <c r="K79" s="214"/>
      <c r="L79" s="215"/>
      <c r="M79" s="215"/>
      <c r="N79" s="215"/>
      <c r="O79" s="215"/>
      <c r="P79" s="215"/>
      <c r="Q79" s="215"/>
      <c r="R79" s="216"/>
      <c r="S79" s="217"/>
      <c r="T79" s="218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65"/>
      <c r="AN79" s="222"/>
      <c r="AO79" s="222"/>
      <c r="BO79" s="222"/>
      <c r="BP79" s="222"/>
      <c r="BQ79" s="222"/>
      <c r="BR79" s="222"/>
      <c r="BS79" s="222"/>
      <c r="BT79" s="222"/>
      <c r="BU79" s="222"/>
      <c r="BV79" s="222"/>
      <c r="BW79" s="222"/>
    </row>
    <row r="80" ht="15.0" customHeight="1">
      <c r="A80" s="210"/>
      <c r="C80" s="212"/>
      <c r="D80" s="212"/>
      <c r="E80" s="212"/>
      <c r="F80" s="212"/>
      <c r="G80" s="212"/>
      <c r="H80" s="213"/>
      <c r="I80" s="213"/>
      <c r="J80" s="213"/>
      <c r="K80" s="214"/>
      <c r="L80" s="215"/>
      <c r="M80" s="215"/>
      <c r="N80" s="215"/>
      <c r="O80" s="215"/>
      <c r="P80" s="215"/>
      <c r="Q80" s="215"/>
      <c r="R80" s="216"/>
      <c r="S80" s="217"/>
      <c r="T80" s="218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65"/>
      <c r="AN80" s="222"/>
      <c r="AO80" s="222"/>
      <c r="BO80" s="222"/>
      <c r="BP80" s="222"/>
      <c r="BQ80" s="222"/>
      <c r="BR80" s="222"/>
      <c r="BS80" s="222"/>
      <c r="BT80" s="222"/>
      <c r="BU80" s="222"/>
      <c r="BV80" s="222"/>
      <c r="BW80" s="222"/>
    </row>
    <row r="81" ht="15.0" customHeight="1">
      <c r="A81" s="210"/>
      <c r="C81" s="212"/>
      <c r="D81" s="212"/>
      <c r="E81" s="212"/>
      <c r="F81" s="212"/>
      <c r="G81" s="212"/>
      <c r="H81" s="213"/>
      <c r="I81" s="213"/>
      <c r="J81" s="213"/>
      <c r="K81" s="214"/>
      <c r="L81" s="215"/>
      <c r="M81" s="215"/>
      <c r="N81" s="215"/>
      <c r="O81" s="215"/>
      <c r="P81" s="215"/>
      <c r="Q81" s="215"/>
      <c r="R81" s="216"/>
      <c r="S81" s="217"/>
      <c r="T81" s="218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65"/>
      <c r="AN81" s="222"/>
      <c r="AO81" s="222"/>
      <c r="BO81" s="222"/>
      <c r="BP81" s="222"/>
      <c r="BQ81" s="222"/>
      <c r="BR81" s="222"/>
      <c r="BS81" s="222"/>
      <c r="BT81" s="222"/>
      <c r="BU81" s="222"/>
      <c r="BV81" s="222"/>
      <c r="BW81" s="222"/>
    </row>
    <row r="82" ht="15.0" customHeight="1">
      <c r="A82" s="210"/>
      <c r="C82" s="212"/>
      <c r="D82" s="212"/>
      <c r="E82" s="212"/>
      <c r="F82" s="212"/>
      <c r="G82" s="212"/>
      <c r="H82" s="213"/>
      <c r="I82" s="213"/>
      <c r="J82" s="213"/>
      <c r="K82" s="214"/>
      <c r="L82" s="215"/>
      <c r="M82" s="215"/>
      <c r="N82" s="215"/>
      <c r="O82" s="215"/>
      <c r="P82" s="215"/>
      <c r="Q82" s="215"/>
      <c r="R82" s="216"/>
      <c r="S82" s="217"/>
      <c r="T82" s="218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65"/>
      <c r="AN82" s="222"/>
      <c r="AO82" s="222"/>
      <c r="BO82" s="222"/>
      <c r="BP82" s="222"/>
      <c r="BQ82" s="222"/>
      <c r="BR82" s="222"/>
      <c r="BS82" s="222"/>
      <c r="BT82" s="222"/>
      <c r="BU82" s="222"/>
      <c r="BV82" s="222"/>
      <c r="BW82" s="222"/>
    </row>
    <row r="83" ht="15.0" customHeight="1">
      <c r="A83" s="210"/>
      <c r="C83" s="212"/>
      <c r="D83" s="212"/>
      <c r="E83" s="212"/>
      <c r="F83" s="212"/>
      <c r="G83" s="212"/>
      <c r="H83" s="213"/>
      <c r="I83" s="213"/>
      <c r="J83" s="213"/>
      <c r="K83" s="214"/>
      <c r="L83" s="215"/>
      <c r="M83" s="215"/>
      <c r="N83" s="215"/>
      <c r="O83" s="215"/>
      <c r="P83" s="215"/>
      <c r="Q83" s="215"/>
      <c r="R83" s="216"/>
      <c r="S83" s="217"/>
      <c r="T83" s="218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65"/>
      <c r="AN83" s="222"/>
      <c r="AO83" s="222"/>
      <c r="BO83" s="222"/>
      <c r="BP83" s="222"/>
      <c r="BQ83" s="222"/>
      <c r="BR83" s="222"/>
      <c r="BS83" s="222"/>
      <c r="BT83" s="222"/>
      <c r="BU83" s="222"/>
      <c r="BV83" s="222"/>
      <c r="BW83" s="222"/>
    </row>
    <row r="84" ht="15.0" customHeight="1">
      <c r="A84" s="210"/>
      <c r="C84" s="212"/>
      <c r="D84" s="212"/>
      <c r="E84" s="212"/>
      <c r="F84" s="212"/>
      <c r="G84" s="212"/>
      <c r="H84" s="213"/>
      <c r="I84" s="213"/>
      <c r="J84" s="213"/>
      <c r="K84" s="214"/>
      <c r="L84" s="215"/>
      <c r="M84" s="215"/>
      <c r="N84" s="215"/>
      <c r="O84" s="215"/>
      <c r="P84" s="215"/>
      <c r="Q84" s="215"/>
      <c r="R84" s="216"/>
      <c r="S84" s="217"/>
      <c r="T84" s="218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65"/>
      <c r="AN84" s="222"/>
      <c r="AO84" s="222"/>
      <c r="BO84" s="222"/>
      <c r="BP84" s="222"/>
      <c r="BQ84" s="222"/>
      <c r="BR84" s="222"/>
      <c r="BS84" s="222"/>
      <c r="BT84" s="222"/>
      <c r="BU84" s="222"/>
      <c r="BV84" s="222"/>
      <c r="BW84" s="222"/>
    </row>
    <row r="85" ht="15.0" customHeight="1">
      <c r="A85" s="210"/>
      <c r="C85" s="212"/>
      <c r="D85" s="212"/>
      <c r="E85" s="212"/>
      <c r="F85" s="212"/>
      <c r="G85" s="212"/>
      <c r="H85" s="213"/>
      <c r="I85" s="213"/>
      <c r="J85" s="213"/>
      <c r="K85" s="214"/>
      <c r="L85" s="215"/>
      <c r="M85" s="215"/>
      <c r="N85" s="215"/>
      <c r="O85" s="215"/>
      <c r="P85" s="215"/>
      <c r="Q85" s="215"/>
      <c r="R85" s="216"/>
      <c r="S85" s="217"/>
      <c r="T85" s="218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65"/>
      <c r="AN85" s="222"/>
      <c r="AO85" s="222"/>
      <c r="BO85" s="222"/>
      <c r="BP85" s="222"/>
      <c r="BQ85" s="222"/>
      <c r="BR85" s="222"/>
      <c r="BS85" s="222"/>
      <c r="BT85" s="222"/>
      <c r="BU85" s="222"/>
      <c r="BV85" s="222"/>
      <c r="BW85" s="222"/>
    </row>
    <row r="86" ht="15.0" customHeight="1">
      <c r="A86" s="210"/>
      <c r="C86" s="212"/>
      <c r="D86" s="212"/>
      <c r="E86" s="212"/>
      <c r="F86" s="212"/>
      <c r="G86" s="212"/>
      <c r="H86" s="213"/>
      <c r="I86" s="213"/>
      <c r="J86" s="213"/>
      <c r="K86" s="214"/>
      <c r="L86" s="215"/>
      <c r="M86" s="215"/>
      <c r="N86" s="215"/>
      <c r="O86" s="215"/>
      <c r="P86" s="215"/>
      <c r="Q86" s="215"/>
      <c r="R86" s="216"/>
      <c r="S86" s="217"/>
      <c r="T86" s="218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65"/>
      <c r="AN86" s="222"/>
      <c r="AO86" s="222"/>
      <c r="BO86" s="222"/>
      <c r="BP86" s="222"/>
      <c r="BQ86" s="222"/>
      <c r="BR86" s="222"/>
      <c r="BS86" s="222"/>
      <c r="BT86" s="222"/>
      <c r="BU86" s="222"/>
      <c r="BV86" s="222"/>
      <c r="BW86" s="222"/>
    </row>
    <row r="87" ht="15.0" customHeight="1">
      <c r="A87" s="210"/>
      <c r="C87" s="212"/>
      <c r="D87" s="212"/>
      <c r="E87" s="212"/>
      <c r="F87" s="212"/>
      <c r="G87" s="212"/>
      <c r="H87" s="213"/>
      <c r="I87" s="213"/>
      <c r="J87" s="213"/>
      <c r="K87" s="214"/>
      <c r="L87" s="215"/>
      <c r="M87" s="215"/>
      <c r="N87" s="215"/>
      <c r="O87" s="215"/>
      <c r="P87" s="215"/>
      <c r="Q87" s="215"/>
      <c r="R87" s="216"/>
      <c r="S87" s="217"/>
      <c r="T87" s="218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65"/>
      <c r="AN87" s="222"/>
      <c r="AO87" s="222"/>
      <c r="BO87" s="222"/>
      <c r="BP87" s="222"/>
      <c r="BQ87" s="222"/>
      <c r="BR87" s="222"/>
      <c r="BS87" s="222"/>
      <c r="BT87" s="222"/>
      <c r="BU87" s="222"/>
      <c r="BV87" s="222"/>
      <c r="BW87" s="222"/>
    </row>
    <row r="88" ht="15.0" customHeight="1">
      <c r="A88" s="210"/>
      <c r="C88" s="212"/>
      <c r="D88" s="212"/>
      <c r="E88" s="212"/>
      <c r="F88" s="212"/>
      <c r="G88" s="212"/>
      <c r="H88" s="213"/>
      <c r="I88" s="213"/>
      <c r="J88" s="213"/>
      <c r="K88" s="214"/>
      <c r="L88" s="215"/>
      <c r="M88" s="215"/>
      <c r="N88" s="215"/>
      <c r="O88" s="215"/>
      <c r="P88" s="215"/>
      <c r="Q88" s="215"/>
      <c r="R88" s="216"/>
      <c r="S88" s="217"/>
      <c r="T88" s="218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65"/>
      <c r="AN88" s="222"/>
      <c r="AO88" s="222"/>
      <c r="BO88" s="222"/>
      <c r="BP88" s="222"/>
      <c r="BQ88" s="222"/>
      <c r="BR88" s="222"/>
      <c r="BS88" s="222"/>
      <c r="BT88" s="222"/>
      <c r="BU88" s="222"/>
      <c r="BV88" s="222"/>
      <c r="BW88" s="222"/>
    </row>
    <row r="89" ht="15.0" customHeight="1">
      <c r="A89" s="210"/>
      <c r="C89" s="212"/>
      <c r="D89" s="212"/>
      <c r="E89" s="212"/>
      <c r="F89" s="212"/>
      <c r="G89" s="212"/>
      <c r="H89" s="213"/>
      <c r="I89" s="213"/>
      <c r="J89" s="213"/>
      <c r="K89" s="214"/>
      <c r="L89" s="215"/>
      <c r="M89" s="215"/>
      <c r="N89" s="215"/>
      <c r="O89" s="215"/>
      <c r="P89" s="215"/>
      <c r="Q89" s="215"/>
      <c r="R89" s="216"/>
      <c r="S89" s="217"/>
      <c r="T89" s="218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65"/>
      <c r="AN89" s="222"/>
      <c r="AO89" s="222"/>
      <c r="BO89" s="222"/>
      <c r="BP89" s="222"/>
      <c r="BQ89" s="222"/>
      <c r="BR89" s="222"/>
      <c r="BS89" s="222"/>
      <c r="BT89" s="222"/>
      <c r="BU89" s="222"/>
      <c r="BV89" s="222"/>
      <c r="BW89" s="222"/>
    </row>
    <row r="90" ht="15.0" customHeight="1">
      <c r="A90" s="210"/>
      <c r="C90" s="212"/>
      <c r="D90" s="212"/>
      <c r="E90" s="212"/>
      <c r="F90" s="212"/>
      <c r="G90" s="212"/>
      <c r="H90" s="213"/>
      <c r="I90" s="213"/>
      <c r="J90" s="213"/>
      <c r="K90" s="214"/>
      <c r="L90" s="215"/>
      <c r="M90" s="215"/>
      <c r="N90" s="215"/>
      <c r="O90" s="215"/>
      <c r="P90" s="215"/>
      <c r="Q90" s="215"/>
      <c r="R90" s="216"/>
      <c r="S90" s="217"/>
      <c r="T90" s="218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65"/>
      <c r="AN90" s="222"/>
      <c r="AO90" s="222"/>
      <c r="BO90" s="222"/>
      <c r="BP90" s="222"/>
      <c r="BQ90" s="222"/>
      <c r="BR90" s="222"/>
      <c r="BS90" s="222"/>
      <c r="BT90" s="222"/>
      <c r="BU90" s="222"/>
      <c r="BV90" s="222"/>
      <c r="BW90" s="222"/>
    </row>
    <row r="91" ht="15.0" customHeight="1">
      <c r="A91" s="210"/>
      <c r="C91" s="212"/>
      <c r="D91" s="212"/>
      <c r="E91" s="212"/>
      <c r="F91" s="212"/>
      <c r="G91" s="212"/>
      <c r="H91" s="213"/>
      <c r="I91" s="213"/>
      <c r="J91" s="213"/>
      <c r="K91" s="214"/>
      <c r="L91" s="215"/>
      <c r="M91" s="215"/>
      <c r="N91" s="215"/>
      <c r="O91" s="215"/>
      <c r="P91" s="215"/>
      <c r="Q91" s="215"/>
      <c r="R91" s="216"/>
      <c r="S91" s="217"/>
      <c r="T91" s="218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65"/>
      <c r="AN91" s="222"/>
      <c r="AO91" s="222"/>
      <c r="BO91" s="222"/>
      <c r="BP91" s="222"/>
      <c r="BQ91" s="222"/>
      <c r="BR91" s="222"/>
      <c r="BS91" s="222"/>
      <c r="BT91" s="222"/>
      <c r="BU91" s="222"/>
      <c r="BV91" s="222"/>
      <c r="BW91" s="222"/>
    </row>
    <row r="92" ht="15.0" customHeight="1">
      <c r="A92" s="210"/>
      <c r="C92" s="212"/>
      <c r="D92" s="212"/>
      <c r="E92" s="212"/>
      <c r="F92" s="212"/>
      <c r="G92" s="212"/>
      <c r="H92" s="213"/>
      <c r="I92" s="213"/>
      <c r="J92" s="213"/>
      <c r="K92" s="214"/>
      <c r="L92" s="215"/>
      <c r="M92" s="215"/>
      <c r="N92" s="215"/>
      <c r="O92" s="215"/>
      <c r="P92" s="215"/>
      <c r="Q92" s="215"/>
      <c r="R92" s="216"/>
      <c r="S92" s="217"/>
      <c r="T92" s="218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65"/>
      <c r="AN92" s="222"/>
      <c r="AO92" s="222"/>
      <c r="BO92" s="222"/>
      <c r="BP92" s="222"/>
      <c r="BQ92" s="222"/>
      <c r="BR92" s="222"/>
      <c r="BS92" s="222"/>
      <c r="BT92" s="222"/>
      <c r="BU92" s="222"/>
      <c r="BV92" s="222"/>
      <c r="BW92" s="222"/>
    </row>
    <row r="93" ht="15.0" customHeight="1">
      <c r="A93" s="210"/>
      <c r="C93" s="212"/>
      <c r="D93" s="212"/>
      <c r="E93" s="212"/>
      <c r="F93" s="212"/>
      <c r="G93" s="212"/>
      <c r="H93" s="213"/>
      <c r="I93" s="213"/>
      <c r="J93" s="213"/>
      <c r="K93" s="214"/>
      <c r="L93" s="215"/>
      <c r="M93" s="215"/>
      <c r="N93" s="215"/>
      <c r="O93" s="215"/>
      <c r="P93" s="215"/>
      <c r="Q93" s="215"/>
      <c r="R93" s="216"/>
      <c r="S93" s="217"/>
      <c r="T93" s="218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65"/>
      <c r="AN93" s="222"/>
      <c r="AO93" s="222"/>
      <c r="BO93" s="222"/>
      <c r="BP93" s="222"/>
      <c r="BQ93" s="222"/>
      <c r="BR93" s="222"/>
      <c r="BS93" s="222"/>
      <c r="BT93" s="222"/>
      <c r="BU93" s="222"/>
      <c r="BV93" s="222"/>
      <c r="BW93" s="222"/>
    </row>
    <row r="94" ht="15.0" customHeight="1">
      <c r="A94" s="210"/>
      <c r="C94" s="212"/>
      <c r="D94" s="212"/>
      <c r="E94" s="212"/>
      <c r="F94" s="212"/>
      <c r="G94" s="212"/>
      <c r="H94" s="213"/>
      <c r="I94" s="213"/>
      <c r="J94" s="213"/>
      <c r="K94" s="214"/>
      <c r="L94" s="215"/>
      <c r="M94" s="215"/>
      <c r="N94" s="215"/>
      <c r="O94" s="215"/>
      <c r="P94" s="215"/>
      <c r="Q94" s="215"/>
      <c r="R94" s="216"/>
      <c r="S94" s="217"/>
      <c r="T94" s="218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65"/>
      <c r="AN94" s="222"/>
      <c r="AO94" s="222"/>
      <c r="BO94" s="222"/>
      <c r="BP94" s="222"/>
      <c r="BQ94" s="222"/>
      <c r="BR94" s="222"/>
      <c r="BS94" s="222"/>
      <c r="BT94" s="222"/>
      <c r="BU94" s="222"/>
      <c r="BV94" s="222"/>
      <c r="BW94" s="222"/>
    </row>
    <row r="95" ht="15.0" customHeight="1">
      <c r="A95" s="210"/>
      <c r="C95" s="212"/>
      <c r="D95" s="212"/>
      <c r="E95" s="212"/>
      <c r="F95" s="212"/>
      <c r="G95" s="212"/>
      <c r="H95" s="213"/>
      <c r="I95" s="213"/>
      <c r="J95" s="213"/>
      <c r="K95" s="214"/>
      <c r="L95" s="215"/>
      <c r="M95" s="215"/>
      <c r="N95" s="215"/>
      <c r="O95" s="215"/>
      <c r="P95" s="215"/>
      <c r="Q95" s="215"/>
      <c r="R95" s="216"/>
      <c r="S95" s="217"/>
      <c r="T95" s="218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65"/>
      <c r="AN95" s="222"/>
      <c r="AO95" s="222"/>
      <c r="BO95" s="222"/>
      <c r="BP95" s="222"/>
      <c r="BQ95" s="222"/>
      <c r="BR95" s="222"/>
      <c r="BS95" s="222"/>
      <c r="BT95" s="222"/>
      <c r="BU95" s="222"/>
      <c r="BV95" s="222"/>
      <c r="BW95" s="222"/>
    </row>
    <row r="96" ht="15.0" customHeight="1">
      <c r="A96" s="210"/>
      <c r="C96" s="212"/>
      <c r="D96" s="212"/>
      <c r="E96" s="212"/>
      <c r="F96" s="212"/>
      <c r="G96" s="212"/>
      <c r="H96" s="213"/>
      <c r="I96" s="213"/>
      <c r="J96" s="213"/>
      <c r="K96" s="214"/>
      <c r="L96" s="215"/>
      <c r="M96" s="215"/>
      <c r="N96" s="215"/>
      <c r="O96" s="215"/>
      <c r="P96" s="215"/>
      <c r="Q96" s="215"/>
      <c r="R96" s="216"/>
      <c r="S96" s="217"/>
      <c r="T96" s="218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65"/>
      <c r="AN96" s="222"/>
      <c r="AO96" s="222"/>
      <c r="BO96" s="222"/>
      <c r="BP96" s="222"/>
      <c r="BQ96" s="222"/>
      <c r="BR96" s="222"/>
      <c r="BS96" s="222"/>
      <c r="BT96" s="222"/>
      <c r="BU96" s="222"/>
      <c r="BV96" s="222"/>
      <c r="BW96" s="222"/>
    </row>
    <row r="97" ht="15.0" customHeight="1">
      <c r="A97" s="210"/>
      <c r="C97" s="212"/>
      <c r="D97" s="212"/>
      <c r="E97" s="212"/>
      <c r="F97" s="212"/>
      <c r="G97" s="212"/>
      <c r="H97" s="213"/>
      <c r="I97" s="213"/>
      <c r="J97" s="213"/>
      <c r="K97" s="214"/>
      <c r="L97" s="215"/>
      <c r="M97" s="215"/>
      <c r="N97" s="215"/>
      <c r="O97" s="215"/>
      <c r="P97" s="215"/>
      <c r="Q97" s="215"/>
      <c r="R97" s="216"/>
      <c r="S97" s="217"/>
      <c r="T97" s="218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65"/>
      <c r="AN97" s="222"/>
      <c r="AO97" s="222"/>
      <c r="BO97" s="222"/>
      <c r="BP97" s="222"/>
      <c r="BQ97" s="222"/>
      <c r="BR97" s="222"/>
      <c r="BS97" s="222"/>
      <c r="BT97" s="222"/>
      <c r="BU97" s="222"/>
      <c r="BV97" s="222"/>
      <c r="BW97" s="222"/>
    </row>
    <row r="98" ht="15.0" customHeight="1">
      <c r="A98" s="210"/>
      <c r="C98" s="212"/>
      <c r="D98" s="212"/>
      <c r="E98" s="212"/>
      <c r="F98" s="212"/>
      <c r="G98" s="212"/>
      <c r="H98" s="213"/>
      <c r="I98" s="213"/>
      <c r="J98" s="213"/>
      <c r="K98" s="214"/>
      <c r="L98" s="215"/>
      <c r="M98" s="215"/>
      <c r="N98" s="215"/>
      <c r="O98" s="215"/>
      <c r="P98" s="215"/>
      <c r="Q98" s="215"/>
      <c r="R98" s="216"/>
      <c r="S98" s="217"/>
      <c r="T98" s="218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65"/>
      <c r="AN98" s="222"/>
      <c r="AO98" s="222"/>
      <c r="BO98" s="222"/>
      <c r="BP98" s="222"/>
      <c r="BQ98" s="222"/>
      <c r="BR98" s="222"/>
      <c r="BS98" s="222"/>
      <c r="BT98" s="222"/>
      <c r="BU98" s="222"/>
      <c r="BV98" s="222"/>
      <c r="BW98" s="222"/>
    </row>
    <row r="99" ht="15.0" customHeight="1">
      <c r="A99" s="210"/>
      <c r="C99" s="212"/>
      <c r="D99" s="212"/>
      <c r="E99" s="212"/>
      <c r="F99" s="212"/>
      <c r="G99" s="212"/>
      <c r="H99" s="213"/>
      <c r="I99" s="213"/>
      <c r="J99" s="213"/>
      <c r="K99" s="214"/>
      <c r="L99" s="215"/>
      <c r="M99" s="215"/>
      <c r="N99" s="215"/>
      <c r="O99" s="215"/>
      <c r="P99" s="215"/>
      <c r="Q99" s="215"/>
      <c r="R99" s="216"/>
      <c r="S99" s="217"/>
      <c r="T99" s="218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65"/>
      <c r="AN99" s="222"/>
      <c r="AO99" s="222"/>
      <c r="BO99" s="222"/>
      <c r="BP99" s="222"/>
      <c r="BQ99" s="222"/>
      <c r="BR99" s="222"/>
      <c r="BS99" s="222"/>
      <c r="BT99" s="222"/>
      <c r="BU99" s="222"/>
      <c r="BV99" s="222"/>
      <c r="BW99" s="222"/>
    </row>
    <row r="100" ht="15.0" customHeight="1">
      <c r="A100" s="210"/>
      <c r="C100" s="212"/>
      <c r="D100" s="212"/>
      <c r="E100" s="212"/>
      <c r="F100" s="212"/>
      <c r="G100" s="212"/>
      <c r="H100" s="213"/>
      <c r="I100" s="213"/>
      <c r="J100" s="213"/>
      <c r="K100" s="214"/>
      <c r="L100" s="215"/>
      <c r="M100" s="215"/>
      <c r="N100" s="215"/>
      <c r="O100" s="215"/>
      <c r="P100" s="215"/>
      <c r="Q100" s="215"/>
      <c r="R100" s="216"/>
      <c r="S100" s="217"/>
      <c r="T100" s="218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65"/>
      <c r="AN100" s="222"/>
      <c r="AO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</row>
    <row r="101" ht="15.0" customHeight="1">
      <c r="A101" s="210"/>
      <c r="C101" s="212"/>
      <c r="D101" s="212"/>
      <c r="E101" s="212"/>
      <c r="F101" s="212"/>
      <c r="G101" s="212"/>
      <c r="H101" s="213"/>
      <c r="I101" s="213"/>
      <c r="J101" s="213"/>
      <c r="K101" s="214"/>
      <c r="L101" s="215"/>
      <c r="M101" s="215"/>
      <c r="N101" s="215"/>
      <c r="O101" s="215"/>
      <c r="P101" s="215"/>
      <c r="Q101" s="215"/>
      <c r="R101" s="216"/>
      <c r="S101" s="217"/>
      <c r="T101" s="218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65"/>
      <c r="AN101" s="222"/>
      <c r="AO101" s="222"/>
      <c r="BO101" s="222"/>
      <c r="BP101" s="222"/>
      <c r="BQ101" s="222"/>
      <c r="BR101" s="222"/>
      <c r="BS101" s="222"/>
      <c r="BT101" s="222"/>
      <c r="BU101" s="222"/>
      <c r="BV101" s="222"/>
      <c r="BW101" s="222"/>
    </row>
    <row r="102" ht="15.0" customHeight="1">
      <c r="A102" s="210"/>
      <c r="C102" s="212"/>
      <c r="D102" s="212"/>
      <c r="E102" s="212"/>
      <c r="F102" s="212"/>
      <c r="G102" s="212"/>
      <c r="H102" s="213"/>
      <c r="I102" s="213"/>
      <c r="J102" s="213"/>
      <c r="K102" s="214"/>
      <c r="L102" s="215"/>
      <c r="M102" s="215"/>
      <c r="N102" s="215"/>
      <c r="O102" s="215"/>
      <c r="P102" s="215"/>
      <c r="Q102" s="215"/>
      <c r="R102" s="216"/>
      <c r="S102" s="217"/>
      <c r="T102" s="218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65"/>
      <c r="AN102" s="222"/>
      <c r="AO102" s="222"/>
      <c r="BO102" s="222"/>
      <c r="BP102" s="222"/>
      <c r="BQ102" s="222"/>
      <c r="BR102" s="222"/>
      <c r="BS102" s="222"/>
      <c r="BT102" s="222"/>
      <c r="BU102" s="222"/>
      <c r="BV102" s="222"/>
      <c r="BW102" s="222"/>
    </row>
    <row r="103" ht="15.0" customHeight="1">
      <c r="A103" s="210"/>
      <c r="C103" s="212"/>
      <c r="D103" s="212"/>
      <c r="E103" s="212"/>
      <c r="F103" s="212"/>
      <c r="G103" s="212"/>
      <c r="H103" s="213"/>
      <c r="I103" s="213"/>
      <c r="J103" s="213"/>
      <c r="K103" s="214"/>
      <c r="L103" s="215"/>
      <c r="M103" s="215"/>
      <c r="N103" s="215"/>
      <c r="O103" s="215"/>
      <c r="P103" s="215"/>
      <c r="Q103" s="215"/>
      <c r="R103" s="216"/>
      <c r="S103" s="217"/>
      <c r="T103" s="218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65"/>
      <c r="AN103" s="222"/>
      <c r="AO103" s="222"/>
      <c r="BO103" s="222"/>
      <c r="BP103" s="222"/>
      <c r="BQ103" s="222"/>
      <c r="BR103" s="222"/>
      <c r="BS103" s="222"/>
      <c r="BT103" s="222"/>
      <c r="BU103" s="222"/>
      <c r="BV103" s="222"/>
      <c r="BW103" s="222"/>
    </row>
    <row r="104" ht="15.0" customHeight="1">
      <c r="A104" s="210"/>
      <c r="C104" s="212"/>
      <c r="D104" s="212"/>
      <c r="E104" s="212"/>
      <c r="F104" s="212"/>
      <c r="G104" s="212"/>
      <c r="H104" s="213"/>
      <c r="I104" s="213"/>
      <c r="J104" s="213"/>
      <c r="K104" s="214"/>
      <c r="L104" s="215"/>
      <c r="M104" s="215"/>
      <c r="N104" s="215"/>
      <c r="O104" s="215"/>
      <c r="P104" s="215"/>
      <c r="Q104" s="215"/>
      <c r="R104" s="216"/>
      <c r="S104" s="217"/>
      <c r="T104" s="218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65"/>
      <c r="AN104" s="222"/>
      <c r="AO104" s="222"/>
      <c r="BO104" s="222"/>
      <c r="BP104" s="222"/>
      <c r="BQ104" s="222"/>
      <c r="BR104" s="222"/>
      <c r="BS104" s="222"/>
      <c r="BT104" s="222"/>
      <c r="BU104" s="222"/>
      <c r="BV104" s="222"/>
      <c r="BW104" s="222"/>
    </row>
    <row r="105" ht="15.0" customHeight="1">
      <c r="A105" s="210"/>
      <c r="C105" s="212"/>
      <c r="D105" s="212"/>
      <c r="E105" s="212"/>
      <c r="F105" s="212"/>
      <c r="G105" s="212"/>
      <c r="H105" s="213"/>
      <c r="I105" s="213"/>
      <c r="J105" s="213"/>
      <c r="K105" s="214"/>
      <c r="L105" s="215"/>
      <c r="M105" s="215"/>
      <c r="N105" s="215"/>
      <c r="O105" s="215"/>
      <c r="P105" s="215"/>
      <c r="Q105" s="215"/>
      <c r="R105" s="216"/>
      <c r="S105" s="217"/>
      <c r="T105" s="218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65"/>
      <c r="AN105" s="222"/>
      <c r="AO105" s="222"/>
      <c r="BO105" s="222"/>
      <c r="BP105" s="222"/>
      <c r="BQ105" s="222"/>
      <c r="BR105" s="222"/>
      <c r="BS105" s="222"/>
      <c r="BT105" s="222"/>
      <c r="BU105" s="222"/>
      <c r="BV105" s="222"/>
      <c r="BW105" s="222"/>
    </row>
    <row r="106" ht="15.0" customHeight="1">
      <c r="A106" s="210"/>
      <c r="C106" s="212"/>
      <c r="D106" s="212"/>
      <c r="E106" s="212"/>
      <c r="F106" s="212"/>
      <c r="G106" s="212"/>
      <c r="H106" s="213"/>
      <c r="I106" s="213"/>
      <c r="J106" s="213"/>
      <c r="K106" s="214"/>
      <c r="L106" s="215"/>
      <c r="M106" s="215"/>
      <c r="N106" s="215"/>
      <c r="O106" s="215"/>
      <c r="P106" s="215"/>
      <c r="Q106" s="215"/>
      <c r="R106" s="216"/>
      <c r="S106" s="217"/>
      <c r="T106" s="218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65"/>
      <c r="AN106" s="222"/>
      <c r="AO106" s="222"/>
      <c r="BO106" s="222"/>
      <c r="BP106" s="222"/>
      <c r="BQ106" s="222"/>
      <c r="BR106" s="222"/>
      <c r="BS106" s="222"/>
      <c r="BT106" s="222"/>
      <c r="BU106" s="222"/>
      <c r="BV106" s="222"/>
      <c r="BW106" s="222"/>
    </row>
    <row r="107" ht="15.0" customHeight="1">
      <c r="A107" s="210"/>
      <c r="C107" s="212"/>
      <c r="D107" s="212"/>
      <c r="E107" s="212"/>
      <c r="F107" s="212"/>
      <c r="G107" s="212"/>
      <c r="H107" s="213"/>
      <c r="I107" s="213"/>
      <c r="J107" s="213"/>
      <c r="K107" s="214"/>
      <c r="L107" s="215"/>
      <c r="M107" s="215"/>
      <c r="N107" s="215"/>
      <c r="O107" s="215"/>
      <c r="P107" s="215"/>
      <c r="Q107" s="215"/>
      <c r="R107" s="216"/>
      <c r="S107" s="217"/>
      <c r="T107" s="218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65"/>
      <c r="AN107" s="222"/>
      <c r="AO107" s="222"/>
      <c r="BO107" s="222"/>
      <c r="BP107" s="222"/>
      <c r="BQ107" s="222"/>
      <c r="BR107" s="222"/>
      <c r="BS107" s="222"/>
      <c r="BT107" s="222"/>
      <c r="BU107" s="222"/>
      <c r="BV107" s="222"/>
      <c r="BW107" s="222"/>
    </row>
    <row r="108" ht="15.0" customHeight="1">
      <c r="A108" s="210"/>
      <c r="C108" s="212"/>
      <c r="D108" s="212"/>
      <c r="E108" s="212"/>
      <c r="F108" s="212"/>
      <c r="G108" s="212"/>
      <c r="H108" s="213"/>
      <c r="I108" s="213"/>
      <c r="J108" s="213"/>
      <c r="K108" s="214"/>
      <c r="L108" s="215"/>
      <c r="M108" s="215"/>
      <c r="N108" s="215"/>
      <c r="O108" s="215"/>
      <c r="P108" s="215"/>
      <c r="Q108" s="215"/>
      <c r="R108" s="216"/>
      <c r="S108" s="217"/>
      <c r="T108" s="218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65"/>
      <c r="AN108" s="222"/>
      <c r="AO108" s="222"/>
      <c r="BO108" s="222"/>
      <c r="BP108" s="222"/>
      <c r="BQ108" s="222"/>
      <c r="BR108" s="222"/>
      <c r="BS108" s="222"/>
      <c r="BT108" s="222"/>
      <c r="BU108" s="222"/>
      <c r="BV108" s="222"/>
      <c r="BW108" s="222"/>
    </row>
    <row r="109" ht="15.0" customHeight="1">
      <c r="A109" s="210"/>
      <c r="C109" s="212"/>
      <c r="D109" s="212"/>
      <c r="E109" s="212"/>
      <c r="F109" s="212"/>
      <c r="G109" s="212"/>
      <c r="H109" s="213"/>
      <c r="I109" s="213"/>
      <c r="J109" s="213"/>
      <c r="K109" s="214"/>
      <c r="L109" s="215"/>
      <c r="M109" s="215"/>
      <c r="N109" s="215"/>
      <c r="O109" s="215"/>
      <c r="P109" s="215"/>
      <c r="Q109" s="215"/>
      <c r="R109" s="216"/>
      <c r="S109" s="217"/>
      <c r="T109" s="218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65"/>
      <c r="AN109" s="222"/>
      <c r="AO109" s="222"/>
      <c r="BO109" s="222"/>
      <c r="BP109" s="222"/>
      <c r="BQ109" s="222"/>
      <c r="BR109" s="222"/>
      <c r="BS109" s="222"/>
      <c r="BT109" s="222"/>
      <c r="BU109" s="222"/>
      <c r="BV109" s="222"/>
      <c r="BW109" s="222"/>
    </row>
    <row r="110" ht="15.0" customHeight="1">
      <c r="A110" s="210"/>
      <c r="C110" s="212"/>
      <c r="D110" s="212"/>
      <c r="E110" s="212"/>
      <c r="F110" s="212"/>
      <c r="G110" s="212"/>
      <c r="H110" s="213"/>
      <c r="I110" s="213"/>
      <c r="J110" s="213"/>
      <c r="K110" s="214"/>
      <c r="L110" s="215"/>
      <c r="M110" s="215"/>
      <c r="N110" s="215"/>
      <c r="O110" s="215"/>
      <c r="P110" s="215"/>
      <c r="Q110" s="215"/>
      <c r="R110" s="216"/>
      <c r="S110" s="217"/>
      <c r="T110" s="218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65"/>
      <c r="AN110" s="222"/>
      <c r="AO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</row>
    <row r="111" ht="15.0" customHeight="1">
      <c r="A111" s="210"/>
      <c r="C111" s="212"/>
      <c r="D111" s="212"/>
      <c r="E111" s="212"/>
      <c r="F111" s="212"/>
      <c r="G111" s="212"/>
      <c r="H111" s="213"/>
      <c r="I111" s="213"/>
      <c r="J111" s="213"/>
      <c r="K111" s="214"/>
      <c r="L111" s="215"/>
      <c r="M111" s="215"/>
      <c r="N111" s="215"/>
      <c r="O111" s="215"/>
      <c r="P111" s="215"/>
      <c r="Q111" s="215"/>
      <c r="R111" s="216"/>
      <c r="S111" s="217"/>
      <c r="T111" s="218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65"/>
      <c r="AN111" s="222"/>
      <c r="AO111" s="222"/>
      <c r="BO111" s="222"/>
      <c r="BP111" s="222"/>
      <c r="BQ111" s="222"/>
      <c r="BR111" s="222"/>
      <c r="BS111" s="222"/>
      <c r="BT111" s="222"/>
      <c r="BU111" s="222"/>
      <c r="BV111" s="222"/>
      <c r="BW111" s="222"/>
    </row>
    <row r="112" ht="15.0" customHeight="1">
      <c r="A112" s="210"/>
      <c r="C112" s="212"/>
      <c r="D112" s="212"/>
      <c r="E112" s="212"/>
      <c r="F112" s="212"/>
      <c r="G112" s="212"/>
      <c r="H112" s="213"/>
      <c r="I112" s="213"/>
      <c r="J112" s="213"/>
      <c r="K112" s="214"/>
      <c r="L112" s="215"/>
      <c r="M112" s="215"/>
      <c r="N112" s="215"/>
      <c r="O112" s="215"/>
      <c r="P112" s="215"/>
      <c r="Q112" s="215"/>
      <c r="R112" s="216"/>
      <c r="S112" s="217"/>
      <c r="T112" s="218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65"/>
      <c r="AN112" s="222"/>
      <c r="AO112" s="222"/>
      <c r="BO112" s="222"/>
      <c r="BP112" s="222"/>
      <c r="BQ112" s="222"/>
      <c r="BR112" s="222"/>
      <c r="BS112" s="222"/>
      <c r="BT112" s="222"/>
      <c r="BU112" s="222"/>
      <c r="BV112" s="222"/>
      <c r="BW112" s="222"/>
    </row>
    <row r="113" ht="15.0" customHeight="1">
      <c r="A113" s="210"/>
      <c r="C113" s="212"/>
      <c r="D113" s="212"/>
      <c r="E113" s="212"/>
      <c r="F113" s="212"/>
      <c r="G113" s="212"/>
      <c r="H113" s="213"/>
      <c r="I113" s="213"/>
      <c r="J113" s="213"/>
      <c r="K113" s="214"/>
      <c r="L113" s="215"/>
      <c r="M113" s="215"/>
      <c r="N113" s="215"/>
      <c r="O113" s="215"/>
      <c r="P113" s="215"/>
      <c r="Q113" s="215"/>
      <c r="R113" s="216"/>
      <c r="S113" s="217"/>
      <c r="T113" s="218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65"/>
      <c r="AN113" s="222"/>
      <c r="AO113" s="222"/>
      <c r="BO113" s="222"/>
      <c r="BP113" s="222"/>
      <c r="BQ113" s="222"/>
      <c r="BR113" s="222"/>
      <c r="BS113" s="222"/>
      <c r="BT113" s="222"/>
      <c r="BU113" s="222"/>
      <c r="BV113" s="222"/>
      <c r="BW113" s="222"/>
    </row>
    <row r="114" ht="15.0" customHeight="1">
      <c r="A114" s="210"/>
      <c r="C114" s="212"/>
      <c r="D114" s="212"/>
      <c r="E114" s="212"/>
      <c r="F114" s="212"/>
      <c r="G114" s="212"/>
      <c r="H114" s="213"/>
      <c r="I114" s="213"/>
      <c r="J114" s="213"/>
      <c r="K114" s="214"/>
      <c r="L114" s="215"/>
      <c r="M114" s="215"/>
      <c r="N114" s="215"/>
      <c r="O114" s="215"/>
      <c r="P114" s="215"/>
      <c r="Q114" s="215"/>
      <c r="R114" s="216"/>
      <c r="S114" s="217"/>
      <c r="T114" s="218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65"/>
      <c r="AN114" s="222"/>
      <c r="AO114" s="222"/>
      <c r="BO114" s="222"/>
      <c r="BP114" s="222"/>
      <c r="BQ114" s="222"/>
      <c r="BR114" s="222"/>
      <c r="BS114" s="222"/>
      <c r="BT114" s="222"/>
      <c r="BU114" s="222"/>
      <c r="BV114" s="222"/>
      <c r="BW114" s="222"/>
    </row>
    <row r="115" ht="15.0" customHeight="1">
      <c r="A115" s="210"/>
      <c r="C115" s="212"/>
      <c r="D115" s="212"/>
      <c r="E115" s="212"/>
      <c r="F115" s="212"/>
      <c r="G115" s="212"/>
      <c r="H115" s="213"/>
      <c r="I115" s="213"/>
      <c r="J115" s="213"/>
      <c r="K115" s="214"/>
      <c r="L115" s="215"/>
      <c r="M115" s="215"/>
      <c r="N115" s="215"/>
      <c r="O115" s="215"/>
      <c r="P115" s="215"/>
      <c r="Q115" s="215"/>
      <c r="R115" s="216"/>
      <c r="S115" s="217"/>
      <c r="T115" s="218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65"/>
      <c r="AN115" s="222"/>
      <c r="AO115" s="222"/>
      <c r="BO115" s="222"/>
      <c r="BP115" s="222"/>
      <c r="BQ115" s="222"/>
      <c r="BR115" s="222"/>
      <c r="BS115" s="222"/>
      <c r="BT115" s="222"/>
      <c r="BU115" s="222"/>
      <c r="BV115" s="222"/>
      <c r="BW115" s="222"/>
    </row>
    <row r="116" ht="15.0" customHeight="1">
      <c r="A116" s="210"/>
      <c r="C116" s="212"/>
      <c r="D116" s="212"/>
      <c r="E116" s="212"/>
      <c r="F116" s="212"/>
      <c r="G116" s="212"/>
      <c r="H116" s="213"/>
      <c r="I116" s="213"/>
      <c r="J116" s="213"/>
      <c r="K116" s="214"/>
      <c r="L116" s="215"/>
      <c r="M116" s="215"/>
      <c r="N116" s="215"/>
      <c r="O116" s="215"/>
      <c r="P116" s="215"/>
      <c r="Q116" s="215"/>
      <c r="R116" s="216"/>
      <c r="S116" s="217"/>
      <c r="T116" s="218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65"/>
      <c r="AN116" s="222"/>
      <c r="AO116" s="222"/>
      <c r="BO116" s="222"/>
      <c r="BP116" s="222"/>
      <c r="BQ116" s="222"/>
      <c r="BR116" s="222"/>
      <c r="BS116" s="222"/>
      <c r="BT116" s="222"/>
      <c r="BU116" s="222"/>
      <c r="BV116" s="222"/>
      <c r="BW116" s="222"/>
    </row>
    <row r="117" ht="15.0" customHeight="1">
      <c r="A117" s="210"/>
      <c r="C117" s="212"/>
      <c r="D117" s="212"/>
      <c r="E117" s="212"/>
      <c r="F117" s="212"/>
      <c r="G117" s="212"/>
      <c r="H117" s="213"/>
      <c r="I117" s="213"/>
      <c r="J117" s="213"/>
      <c r="K117" s="214"/>
      <c r="L117" s="215"/>
      <c r="M117" s="215"/>
      <c r="N117" s="215"/>
      <c r="O117" s="215"/>
      <c r="P117" s="215"/>
      <c r="Q117" s="215"/>
      <c r="R117" s="216"/>
      <c r="S117" s="217"/>
      <c r="T117" s="218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65"/>
      <c r="AN117" s="222"/>
      <c r="AO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</row>
    <row r="118" ht="15.0" customHeight="1">
      <c r="A118" s="210"/>
      <c r="C118" s="212"/>
      <c r="D118" s="212"/>
      <c r="E118" s="212"/>
      <c r="F118" s="212"/>
      <c r="G118" s="212"/>
      <c r="H118" s="213"/>
      <c r="I118" s="213"/>
      <c r="J118" s="213"/>
      <c r="K118" s="214"/>
      <c r="L118" s="215"/>
      <c r="M118" s="215"/>
      <c r="N118" s="215"/>
      <c r="O118" s="215"/>
      <c r="P118" s="215"/>
      <c r="Q118" s="215"/>
      <c r="R118" s="216"/>
      <c r="S118" s="217"/>
      <c r="T118" s="218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65"/>
      <c r="AN118" s="222"/>
      <c r="AO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</row>
    <row r="119" ht="15.0" customHeight="1">
      <c r="A119" s="210"/>
      <c r="C119" s="212"/>
      <c r="D119" s="212"/>
      <c r="E119" s="212"/>
      <c r="F119" s="212"/>
      <c r="G119" s="212"/>
      <c r="H119" s="213"/>
      <c r="I119" s="213"/>
      <c r="J119" s="213"/>
      <c r="K119" s="214"/>
      <c r="L119" s="215"/>
      <c r="M119" s="215"/>
      <c r="N119" s="215"/>
      <c r="O119" s="215"/>
      <c r="P119" s="215"/>
      <c r="Q119" s="215"/>
      <c r="R119" s="216"/>
      <c r="S119" s="217"/>
      <c r="T119" s="218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65"/>
      <c r="AN119" s="222"/>
      <c r="AO119" s="222"/>
      <c r="BO119" s="222"/>
      <c r="BP119" s="222"/>
      <c r="BQ119" s="222"/>
      <c r="BR119" s="222"/>
      <c r="BS119" s="222"/>
      <c r="BT119" s="222"/>
      <c r="BU119" s="222"/>
      <c r="BV119" s="222"/>
      <c r="BW119" s="222"/>
    </row>
    <row r="120" ht="15.0" customHeight="1">
      <c r="A120" s="210"/>
      <c r="C120" s="212"/>
      <c r="D120" s="212"/>
      <c r="E120" s="212"/>
      <c r="F120" s="212"/>
      <c r="G120" s="212"/>
      <c r="H120" s="213"/>
      <c r="I120" s="213"/>
      <c r="J120" s="213"/>
      <c r="K120" s="214"/>
      <c r="L120" s="215"/>
      <c r="M120" s="215"/>
      <c r="N120" s="215"/>
      <c r="O120" s="215"/>
      <c r="P120" s="215"/>
      <c r="Q120" s="215"/>
      <c r="R120" s="216"/>
      <c r="S120" s="217"/>
      <c r="T120" s="218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65"/>
      <c r="AN120" s="222"/>
      <c r="AO120" s="222"/>
      <c r="BO120" s="222"/>
      <c r="BP120" s="222"/>
      <c r="BQ120" s="222"/>
      <c r="BR120" s="222"/>
      <c r="BS120" s="222"/>
      <c r="BT120" s="222"/>
      <c r="BU120" s="222"/>
      <c r="BV120" s="222"/>
      <c r="BW120" s="222"/>
    </row>
    <row r="121" ht="15.0" customHeight="1">
      <c r="A121" s="210"/>
      <c r="C121" s="212"/>
      <c r="D121" s="212"/>
      <c r="E121" s="212"/>
      <c r="F121" s="212"/>
      <c r="G121" s="212"/>
      <c r="H121" s="213"/>
      <c r="I121" s="213"/>
      <c r="J121" s="213"/>
      <c r="K121" s="214"/>
      <c r="L121" s="215"/>
      <c r="M121" s="215"/>
      <c r="N121" s="215"/>
      <c r="O121" s="215"/>
      <c r="P121" s="215"/>
      <c r="Q121" s="215"/>
      <c r="R121" s="216"/>
      <c r="S121" s="217"/>
      <c r="T121" s="218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65"/>
      <c r="AN121" s="222"/>
      <c r="AO121" s="222"/>
      <c r="BO121" s="222"/>
      <c r="BP121" s="222"/>
      <c r="BQ121" s="222"/>
      <c r="BR121" s="222"/>
      <c r="BS121" s="222"/>
      <c r="BT121" s="222"/>
      <c r="BU121" s="222"/>
      <c r="BV121" s="222"/>
      <c r="BW121" s="222"/>
    </row>
    <row r="122" ht="15.0" customHeight="1">
      <c r="A122" s="210"/>
      <c r="C122" s="212"/>
      <c r="D122" s="212"/>
      <c r="E122" s="212"/>
      <c r="F122" s="212"/>
      <c r="G122" s="212"/>
      <c r="H122" s="213"/>
      <c r="I122" s="213"/>
      <c r="J122" s="213"/>
      <c r="K122" s="214"/>
      <c r="L122" s="215"/>
      <c r="M122" s="215"/>
      <c r="N122" s="215"/>
      <c r="O122" s="215"/>
      <c r="P122" s="215"/>
      <c r="Q122" s="215"/>
      <c r="R122" s="216"/>
      <c r="S122" s="217"/>
      <c r="T122" s="218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65"/>
      <c r="AN122" s="222"/>
      <c r="AO122" s="222"/>
      <c r="BO122" s="222"/>
      <c r="BP122" s="222"/>
      <c r="BQ122" s="222"/>
      <c r="BR122" s="222"/>
      <c r="BS122" s="222"/>
      <c r="BT122" s="222"/>
      <c r="BU122" s="222"/>
      <c r="BV122" s="222"/>
      <c r="BW122" s="222"/>
    </row>
    <row r="123" ht="15.0" customHeight="1">
      <c r="A123" s="210"/>
      <c r="C123" s="212"/>
      <c r="D123" s="212"/>
      <c r="E123" s="212"/>
      <c r="F123" s="212"/>
      <c r="G123" s="212"/>
      <c r="H123" s="213"/>
      <c r="I123" s="213"/>
      <c r="J123" s="213"/>
      <c r="K123" s="214"/>
      <c r="L123" s="215"/>
      <c r="M123" s="215"/>
      <c r="N123" s="215"/>
      <c r="O123" s="215"/>
      <c r="P123" s="215"/>
      <c r="Q123" s="215"/>
      <c r="R123" s="216"/>
      <c r="S123" s="217"/>
      <c r="T123" s="218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65"/>
      <c r="AN123" s="222"/>
      <c r="AO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</row>
    <row r="124" ht="15.0" customHeight="1">
      <c r="A124" s="210"/>
      <c r="C124" s="212"/>
      <c r="D124" s="212"/>
      <c r="E124" s="212"/>
      <c r="F124" s="212"/>
      <c r="G124" s="212"/>
      <c r="H124" s="213"/>
      <c r="I124" s="213"/>
      <c r="J124" s="213"/>
      <c r="K124" s="214"/>
      <c r="L124" s="215"/>
      <c r="M124" s="215"/>
      <c r="N124" s="215"/>
      <c r="O124" s="215"/>
      <c r="P124" s="215"/>
      <c r="Q124" s="215"/>
      <c r="R124" s="216"/>
      <c r="S124" s="217"/>
      <c r="T124" s="218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65"/>
      <c r="AN124" s="222"/>
      <c r="AO124" s="222"/>
      <c r="BO124" s="222"/>
      <c r="BP124" s="222"/>
      <c r="BQ124" s="222"/>
      <c r="BR124" s="222"/>
      <c r="BS124" s="222"/>
      <c r="BT124" s="222"/>
      <c r="BU124" s="222"/>
      <c r="BV124" s="222"/>
      <c r="BW124" s="222"/>
    </row>
    <row r="125" ht="15.0" customHeight="1">
      <c r="A125" s="210"/>
      <c r="C125" s="212"/>
      <c r="D125" s="212"/>
      <c r="E125" s="212"/>
      <c r="F125" s="212"/>
      <c r="G125" s="212"/>
      <c r="H125" s="213"/>
      <c r="I125" s="213"/>
      <c r="J125" s="213"/>
      <c r="K125" s="214"/>
      <c r="L125" s="215"/>
      <c r="M125" s="215"/>
      <c r="N125" s="215"/>
      <c r="O125" s="215"/>
      <c r="P125" s="215"/>
      <c r="Q125" s="215"/>
      <c r="R125" s="216"/>
      <c r="S125" s="217"/>
      <c r="T125" s="218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65"/>
      <c r="AN125" s="222"/>
      <c r="AO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</row>
    <row r="126" ht="15.0" customHeight="1">
      <c r="A126" s="210"/>
      <c r="C126" s="212"/>
      <c r="D126" s="212"/>
      <c r="E126" s="212"/>
      <c r="F126" s="212"/>
      <c r="G126" s="212"/>
      <c r="H126" s="213"/>
      <c r="I126" s="213"/>
      <c r="J126" s="213"/>
      <c r="K126" s="214"/>
      <c r="L126" s="215"/>
      <c r="M126" s="215"/>
      <c r="N126" s="215"/>
      <c r="O126" s="215"/>
      <c r="P126" s="215"/>
      <c r="Q126" s="215"/>
      <c r="R126" s="216"/>
      <c r="S126" s="217"/>
      <c r="T126" s="218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65"/>
      <c r="AN126" s="222"/>
      <c r="AO126" s="222"/>
      <c r="BO126" s="222"/>
      <c r="BP126" s="222"/>
      <c r="BQ126" s="222"/>
      <c r="BR126" s="222"/>
      <c r="BS126" s="222"/>
      <c r="BT126" s="222"/>
      <c r="BU126" s="222"/>
      <c r="BV126" s="222"/>
      <c r="BW126" s="222"/>
    </row>
    <row r="127" ht="15.0" customHeight="1">
      <c r="A127" s="210"/>
      <c r="C127" s="212"/>
      <c r="D127" s="212"/>
      <c r="E127" s="212"/>
      <c r="F127" s="212"/>
      <c r="G127" s="212"/>
      <c r="H127" s="213"/>
      <c r="I127" s="213"/>
      <c r="J127" s="213"/>
      <c r="K127" s="214"/>
      <c r="L127" s="215"/>
      <c r="M127" s="215"/>
      <c r="N127" s="215"/>
      <c r="O127" s="215"/>
      <c r="P127" s="215"/>
      <c r="Q127" s="215"/>
      <c r="R127" s="216"/>
      <c r="S127" s="217"/>
      <c r="T127" s="218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65"/>
      <c r="AN127" s="222"/>
      <c r="AO127" s="222"/>
      <c r="BO127" s="222"/>
      <c r="BP127" s="222"/>
      <c r="BQ127" s="222"/>
      <c r="BR127" s="222"/>
      <c r="BS127" s="222"/>
      <c r="BT127" s="222"/>
      <c r="BU127" s="222"/>
      <c r="BV127" s="222"/>
      <c r="BW127" s="222"/>
    </row>
    <row r="128" ht="15.0" customHeight="1">
      <c r="A128" s="210"/>
      <c r="C128" s="212"/>
      <c r="D128" s="212"/>
      <c r="E128" s="212"/>
      <c r="F128" s="212"/>
      <c r="G128" s="212"/>
      <c r="H128" s="213"/>
      <c r="I128" s="213"/>
      <c r="J128" s="213"/>
      <c r="K128" s="214"/>
      <c r="L128" s="215"/>
      <c r="M128" s="215"/>
      <c r="N128" s="215"/>
      <c r="O128" s="215"/>
      <c r="P128" s="215"/>
      <c r="Q128" s="215"/>
      <c r="R128" s="216"/>
      <c r="S128" s="217"/>
      <c r="T128" s="218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65"/>
      <c r="AN128" s="222"/>
      <c r="AO128" s="222"/>
      <c r="BO128" s="222"/>
      <c r="BP128" s="222"/>
      <c r="BQ128" s="222"/>
      <c r="BR128" s="222"/>
      <c r="BS128" s="222"/>
      <c r="BT128" s="222"/>
      <c r="BU128" s="222"/>
      <c r="BV128" s="222"/>
      <c r="BW128" s="222"/>
    </row>
    <row r="129" ht="15.0" customHeight="1">
      <c r="A129" s="210"/>
      <c r="C129" s="212"/>
      <c r="D129" s="212"/>
      <c r="E129" s="212"/>
      <c r="F129" s="212"/>
      <c r="G129" s="212"/>
      <c r="H129" s="213"/>
      <c r="I129" s="213"/>
      <c r="J129" s="213"/>
      <c r="K129" s="214"/>
      <c r="L129" s="215"/>
      <c r="M129" s="215"/>
      <c r="N129" s="215"/>
      <c r="O129" s="215"/>
      <c r="P129" s="215"/>
      <c r="Q129" s="215"/>
      <c r="R129" s="216"/>
      <c r="S129" s="217"/>
      <c r="T129" s="218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65"/>
      <c r="AN129" s="222"/>
      <c r="AO129" s="222"/>
      <c r="BO129" s="222"/>
      <c r="BP129" s="222"/>
      <c r="BQ129" s="222"/>
      <c r="BR129" s="222"/>
      <c r="BS129" s="222"/>
      <c r="BT129" s="222"/>
      <c r="BU129" s="222"/>
      <c r="BV129" s="222"/>
      <c r="BW129" s="222"/>
    </row>
    <row r="130" ht="15.0" customHeight="1">
      <c r="A130" s="210"/>
      <c r="C130" s="212"/>
      <c r="D130" s="212"/>
      <c r="E130" s="212"/>
      <c r="F130" s="212"/>
      <c r="G130" s="212"/>
      <c r="H130" s="213"/>
      <c r="I130" s="213"/>
      <c r="J130" s="213"/>
      <c r="K130" s="214"/>
      <c r="L130" s="215"/>
      <c r="M130" s="215"/>
      <c r="N130" s="215"/>
      <c r="O130" s="215"/>
      <c r="P130" s="215"/>
      <c r="Q130" s="215"/>
      <c r="R130" s="216"/>
      <c r="S130" s="217"/>
      <c r="T130" s="218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65"/>
      <c r="AN130" s="222"/>
      <c r="AO130" s="222"/>
      <c r="BO130" s="222"/>
      <c r="BP130" s="222"/>
      <c r="BQ130" s="222"/>
      <c r="BR130" s="222"/>
      <c r="BS130" s="222"/>
      <c r="BT130" s="222"/>
      <c r="BU130" s="222"/>
      <c r="BV130" s="222"/>
      <c r="BW130" s="222"/>
    </row>
    <row r="131" ht="15.0" customHeight="1">
      <c r="A131" s="210"/>
      <c r="C131" s="212"/>
      <c r="D131" s="212"/>
      <c r="E131" s="212"/>
      <c r="F131" s="212"/>
      <c r="G131" s="212"/>
      <c r="H131" s="213"/>
      <c r="I131" s="213"/>
      <c r="J131" s="213"/>
      <c r="K131" s="214"/>
      <c r="L131" s="215"/>
      <c r="M131" s="215"/>
      <c r="N131" s="215"/>
      <c r="O131" s="215"/>
      <c r="P131" s="215"/>
      <c r="Q131" s="215"/>
      <c r="R131" s="216"/>
      <c r="S131" s="217"/>
      <c r="T131" s="218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65"/>
      <c r="AN131" s="222"/>
      <c r="AO131" s="222"/>
      <c r="BO131" s="222"/>
      <c r="BP131" s="222"/>
      <c r="BQ131" s="222"/>
      <c r="BR131" s="222"/>
      <c r="BS131" s="222"/>
      <c r="BT131" s="222"/>
      <c r="BU131" s="222"/>
      <c r="BV131" s="222"/>
      <c r="BW131" s="222"/>
    </row>
    <row r="132" ht="15.0" customHeight="1">
      <c r="A132" s="210"/>
      <c r="C132" s="212"/>
      <c r="D132" s="212"/>
      <c r="E132" s="212"/>
      <c r="F132" s="212"/>
      <c r="G132" s="212"/>
      <c r="H132" s="213"/>
      <c r="I132" s="213"/>
      <c r="J132" s="213"/>
      <c r="K132" s="214"/>
      <c r="L132" s="215"/>
      <c r="M132" s="215"/>
      <c r="N132" s="215"/>
      <c r="O132" s="215"/>
      <c r="P132" s="215"/>
      <c r="Q132" s="215"/>
      <c r="R132" s="216"/>
      <c r="S132" s="217"/>
      <c r="T132" s="218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65"/>
      <c r="AN132" s="222"/>
      <c r="AO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</row>
    <row r="133" ht="15.0" customHeight="1">
      <c r="A133" s="210"/>
      <c r="C133" s="212"/>
      <c r="D133" s="212"/>
      <c r="E133" s="212"/>
      <c r="F133" s="212"/>
      <c r="G133" s="212"/>
      <c r="H133" s="213"/>
      <c r="I133" s="213"/>
      <c r="J133" s="213"/>
      <c r="K133" s="214"/>
      <c r="L133" s="215"/>
      <c r="M133" s="215"/>
      <c r="N133" s="215"/>
      <c r="O133" s="215"/>
      <c r="P133" s="215"/>
      <c r="Q133" s="215"/>
      <c r="R133" s="216"/>
      <c r="S133" s="217"/>
      <c r="T133" s="218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65"/>
      <c r="AN133" s="222"/>
      <c r="AO133" s="222"/>
      <c r="BO133" s="222"/>
      <c r="BP133" s="222"/>
      <c r="BQ133" s="222"/>
      <c r="BR133" s="222"/>
      <c r="BS133" s="222"/>
      <c r="BT133" s="222"/>
      <c r="BU133" s="222"/>
      <c r="BV133" s="222"/>
      <c r="BW133" s="222"/>
    </row>
    <row r="134" ht="15.0" customHeight="1">
      <c r="A134" s="210"/>
      <c r="C134" s="212"/>
      <c r="D134" s="212"/>
      <c r="E134" s="212"/>
      <c r="F134" s="212"/>
      <c r="G134" s="212"/>
      <c r="H134" s="213"/>
      <c r="I134" s="213"/>
      <c r="J134" s="213"/>
      <c r="K134" s="214"/>
      <c r="L134" s="215"/>
      <c r="M134" s="215"/>
      <c r="N134" s="215"/>
      <c r="O134" s="215"/>
      <c r="P134" s="215"/>
      <c r="Q134" s="215"/>
      <c r="R134" s="216"/>
      <c r="S134" s="217"/>
      <c r="T134" s="218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65"/>
      <c r="AN134" s="222"/>
      <c r="AO134" s="222"/>
      <c r="BO134" s="222"/>
      <c r="BP134" s="222"/>
      <c r="BQ134" s="222"/>
      <c r="BR134" s="222"/>
      <c r="BS134" s="222"/>
      <c r="BT134" s="222"/>
      <c r="BU134" s="222"/>
      <c r="BV134" s="222"/>
      <c r="BW134" s="222"/>
    </row>
    <row r="135" ht="15.0" customHeight="1">
      <c r="A135" s="210"/>
      <c r="C135" s="212"/>
      <c r="D135" s="212"/>
      <c r="E135" s="212"/>
      <c r="F135" s="212"/>
      <c r="G135" s="212"/>
      <c r="H135" s="213"/>
      <c r="I135" s="213"/>
      <c r="J135" s="213"/>
      <c r="K135" s="214"/>
      <c r="L135" s="215"/>
      <c r="M135" s="215"/>
      <c r="N135" s="215"/>
      <c r="O135" s="215"/>
      <c r="P135" s="215"/>
      <c r="Q135" s="215"/>
      <c r="R135" s="216"/>
      <c r="S135" s="217"/>
      <c r="T135" s="218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65"/>
      <c r="AN135" s="222"/>
      <c r="AO135" s="222"/>
      <c r="BO135" s="222"/>
      <c r="BP135" s="222"/>
      <c r="BQ135" s="222"/>
      <c r="BR135" s="222"/>
      <c r="BS135" s="222"/>
      <c r="BT135" s="222"/>
      <c r="BU135" s="222"/>
      <c r="BV135" s="222"/>
      <c r="BW135" s="222"/>
    </row>
    <row r="136" ht="15.0" customHeight="1">
      <c r="A136" s="210"/>
      <c r="C136" s="212"/>
      <c r="D136" s="212"/>
      <c r="E136" s="212"/>
      <c r="F136" s="212"/>
      <c r="G136" s="212"/>
      <c r="H136" s="213"/>
      <c r="I136" s="213"/>
      <c r="J136" s="213"/>
      <c r="K136" s="214"/>
      <c r="L136" s="215"/>
      <c r="M136" s="215"/>
      <c r="N136" s="215"/>
      <c r="O136" s="215"/>
      <c r="P136" s="215"/>
      <c r="Q136" s="215"/>
      <c r="R136" s="216"/>
      <c r="S136" s="217"/>
      <c r="T136" s="218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65"/>
      <c r="AN136" s="222"/>
      <c r="AO136" s="222"/>
      <c r="BO136" s="222"/>
      <c r="BP136" s="222"/>
      <c r="BQ136" s="222"/>
      <c r="BR136" s="222"/>
      <c r="BS136" s="222"/>
      <c r="BT136" s="222"/>
      <c r="BU136" s="222"/>
      <c r="BV136" s="222"/>
      <c r="BW136" s="222"/>
    </row>
    <row r="137" ht="15.0" customHeight="1">
      <c r="A137" s="210"/>
      <c r="C137" s="212"/>
      <c r="D137" s="212"/>
      <c r="E137" s="212"/>
      <c r="F137" s="212"/>
      <c r="G137" s="212"/>
      <c r="H137" s="213"/>
      <c r="I137" s="213"/>
      <c r="J137" s="213"/>
      <c r="K137" s="214"/>
      <c r="L137" s="215"/>
      <c r="M137" s="215"/>
      <c r="N137" s="215"/>
      <c r="O137" s="215"/>
      <c r="P137" s="215"/>
      <c r="Q137" s="215"/>
      <c r="R137" s="216"/>
      <c r="S137" s="217"/>
      <c r="T137" s="218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65"/>
      <c r="AN137" s="222"/>
      <c r="AO137" s="222"/>
      <c r="BO137" s="222"/>
      <c r="BP137" s="222"/>
      <c r="BQ137" s="222"/>
      <c r="BR137" s="222"/>
      <c r="BS137" s="222"/>
      <c r="BT137" s="222"/>
      <c r="BU137" s="222"/>
      <c r="BV137" s="222"/>
      <c r="BW137" s="222"/>
    </row>
    <row r="138" ht="15.0" customHeight="1">
      <c r="A138" s="210"/>
      <c r="C138" s="212"/>
      <c r="D138" s="212"/>
      <c r="E138" s="212"/>
      <c r="F138" s="212"/>
      <c r="G138" s="212"/>
      <c r="H138" s="213"/>
      <c r="I138" s="213"/>
      <c r="J138" s="213"/>
      <c r="K138" s="214"/>
      <c r="L138" s="215"/>
      <c r="M138" s="215"/>
      <c r="N138" s="215"/>
      <c r="O138" s="215"/>
      <c r="P138" s="215"/>
      <c r="Q138" s="215"/>
      <c r="R138" s="216"/>
      <c r="S138" s="217"/>
      <c r="T138" s="218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65"/>
      <c r="AN138" s="222"/>
      <c r="AO138" s="222"/>
      <c r="BO138" s="222"/>
      <c r="BP138" s="222"/>
      <c r="BQ138" s="222"/>
      <c r="BR138" s="222"/>
      <c r="BS138" s="222"/>
      <c r="BT138" s="222"/>
      <c r="BU138" s="222"/>
      <c r="BV138" s="222"/>
      <c r="BW138" s="222"/>
    </row>
    <row r="139" ht="15.0" customHeight="1">
      <c r="A139" s="210"/>
      <c r="C139" s="212"/>
      <c r="D139" s="212"/>
      <c r="E139" s="212"/>
      <c r="F139" s="212"/>
      <c r="G139" s="212"/>
      <c r="H139" s="213"/>
      <c r="I139" s="213"/>
      <c r="J139" s="213"/>
      <c r="K139" s="214"/>
      <c r="L139" s="215"/>
      <c r="M139" s="215"/>
      <c r="N139" s="215"/>
      <c r="O139" s="215"/>
      <c r="P139" s="215"/>
      <c r="Q139" s="215"/>
      <c r="R139" s="216"/>
      <c r="S139" s="217"/>
      <c r="T139" s="218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65"/>
      <c r="AN139" s="222"/>
      <c r="AO139" s="222"/>
      <c r="BO139" s="222"/>
      <c r="BP139" s="222"/>
      <c r="BQ139" s="222"/>
      <c r="BR139" s="222"/>
      <c r="BS139" s="222"/>
      <c r="BT139" s="222"/>
      <c r="BU139" s="222"/>
      <c r="BV139" s="222"/>
      <c r="BW139" s="222"/>
    </row>
    <row r="140" ht="15.0" customHeight="1">
      <c r="A140" s="210"/>
      <c r="C140" s="212"/>
      <c r="D140" s="212"/>
      <c r="E140" s="212"/>
      <c r="F140" s="212"/>
      <c r="G140" s="212"/>
      <c r="H140" s="213"/>
      <c r="I140" s="213"/>
      <c r="J140" s="213"/>
      <c r="K140" s="214"/>
      <c r="L140" s="215"/>
      <c r="M140" s="215"/>
      <c r="N140" s="215"/>
      <c r="O140" s="215"/>
      <c r="P140" s="215"/>
      <c r="Q140" s="215"/>
      <c r="R140" s="216"/>
      <c r="S140" s="217"/>
      <c r="T140" s="218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65"/>
      <c r="AN140" s="222"/>
      <c r="AO140" s="222"/>
      <c r="BO140" s="222"/>
      <c r="BP140" s="222"/>
      <c r="BQ140" s="222"/>
      <c r="BR140" s="222"/>
      <c r="BS140" s="222"/>
      <c r="BT140" s="222"/>
      <c r="BU140" s="222"/>
      <c r="BV140" s="222"/>
      <c r="BW140" s="222"/>
    </row>
    <row r="141" ht="15.0" customHeight="1">
      <c r="A141" s="210"/>
      <c r="C141" s="212"/>
      <c r="D141" s="212"/>
      <c r="E141" s="212"/>
      <c r="F141" s="212"/>
      <c r="G141" s="212"/>
      <c r="H141" s="213"/>
      <c r="I141" s="213"/>
      <c r="J141" s="213"/>
      <c r="K141" s="214"/>
      <c r="L141" s="215"/>
      <c r="M141" s="215"/>
      <c r="N141" s="215"/>
      <c r="O141" s="215"/>
      <c r="P141" s="215"/>
      <c r="Q141" s="215"/>
      <c r="R141" s="216"/>
      <c r="S141" s="217"/>
      <c r="T141" s="218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65"/>
      <c r="AN141" s="222"/>
      <c r="AO141" s="222"/>
      <c r="BO141" s="222"/>
      <c r="BP141" s="222"/>
      <c r="BQ141" s="222"/>
      <c r="BR141" s="222"/>
      <c r="BS141" s="222"/>
      <c r="BT141" s="222"/>
      <c r="BU141" s="222"/>
      <c r="BV141" s="222"/>
      <c r="BW141" s="222"/>
    </row>
    <row r="142" ht="15.0" customHeight="1">
      <c r="A142" s="210"/>
      <c r="C142" s="212"/>
      <c r="D142" s="212"/>
      <c r="E142" s="212"/>
      <c r="F142" s="212"/>
      <c r="G142" s="212"/>
      <c r="H142" s="213"/>
      <c r="I142" s="213"/>
      <c r="J142" s="213"/>
      <c r="K142" s="214"/>
      <c r="L142" s="215"/>
      <c r="M142" s="215"/>
      <c r="N142" s="215"/>
      <c r="O142" s="215"/>
      <c r="P142" s="215"/>
      <c r="Q142" s="215"/>
      <c r="R142" s="216"/>
      <c r="S142" s="217"/>
      <c r="T142" s="218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65"/>
      <c r="AN142" s="222"/>
      <c r="AO142" s="222"/>
      <c r="BO142" s="222"/>
      <c r="BP142" s="222"/>
      <c r="BQ142" s="222"/>
      <c r="BR142" s="222"/>
      <c r="BS142" s="222"/>
      <c r="BT142" s="222"/>
      <c r="BU142" s="222"/>
      <c r="BV142" s="222"/>
      <c r="BW142" s="222"/>
    </row>
    <row r="143" ht="15.0" customHeight="1">
      <c r="A143" s="210"/>
      <c r="C143" s="212"/>
      <c r="D143" s="212"/>
      <c r="E143" s="212"/>
      <c r="F143" s="212"/>
      <c r="G143" s="212"/>
      <c r="H143" s="213"/>
      <c r="I143" s="213"/>
      <c r="J143" s="213"/>
      <c r="K143" s="214"/>
      <c r="L143" s="215"/>
      <c r="M143" s="215"/>
      <c r="N143" s="215"/>
      <c r="O143" s="215"/>
      <c r="P143" s="215"/>
      <c r="Q143" s="215"/>
      <c r="R143" s="216"/>
      <c r="S143" s="217"/>
      <c r="T143" s="218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65"/>
      <c r="AN143" s="222"/>
      <c r="AO143" s="222"/>
      <c r="BO143" s="222"/>
      <c r="BP143" s="222"/>
      <c r="BQ143" s="222"/>
      <c r="BR143" s="222"/>
      <c r="BS143" s="222"/>
      <c r="BT143" s="222"/>
      <c r="BU143" s="222"/>
      <c r="BV143" s="222"/>
      <c r="BW143" s="222"/>
    </row>
    <row r="144" ht="15.0" customHeight="1">
      <c r="A144" s="210"/>
      <c r="C144" s="212"/>
      <c r="D144" s="212"/>
      <c r="E144" s="212"/>
      <c r="F144" s="212"/>
      <c r="G144" s="212"/>
      <c r="H144" s="213"/>
      <c r="I144" s="213"/>
      <c r="J144" s="213"/>
      <c r="K144" s="214"/>
      <c r="L144" s="215"/>
      <c r="M144" s="215"/>
      <c r="N144" s="215"/>
      <c r="O144" s="215"/>
      <c r="P144" s="215"/>
      <c r="Q144" s="215"/>
      <c r="R144" s="216"/>
      <c r="S144" s="217"/>
      <c r="T144" s="218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65"/>
      <c r="AN144" s="222"/>
      <c r="AO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</row>
    <row r="145" ht="15.0" customHeight="1">
      <c r="A145" s="210"/>
      <c r="C145" s="212"/>
      <c r="D145" s="212"/>
      <c r="E145" s="212"/>
      <c r="F145" s="212"/>
      <c r="G145" s="212"/>
      <c r="H145" s="213"/>
      <c r="I145" s="213"/>
      <c r="J145" s="213"/>
      <c r="K145" s="214"/>
      <c r="L145" s="215"/>
      <c r="M145" s="215"/>
      <c r="N145" s="215"/>
      <c r="O145" s="215"/>
      <c r="P145" s="215"/>
      <c r="Q145" s="215"/>
      <c r="R145" s="216"/>
      <c r="S145" s="217"/>
      <c r="T145" s="218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65"/>
      <c r="AN145" s="222"/>
      <c r="AO145" s="222"/>
      <c r="BO145" s="222"/>
      <c r="BP145" s="222"/>
      <c r="BQ145" s="222"/>
      <c r="BR145" s="222"/>
      <c r="BS145" s="222"/>
      <c r="BT145" s="222"/>
      <c r="BU145" s="222"/>
      <c r="BV145" s="222"/>
      <c r="BW145" s="222"/>
    </row>
    <row r="146" ht="15.0" customHeight="1">
      <c r="A146" s="210"/>
      <c r="C146" s="212"/>
      <c r="D146" s="212"/>
      <c r="E146" s="212"/>
      <c r="F146" s="212"/>
      <c r="G146" s="212"/>
      <c r="H146" s="213"/>
      <c r="I146" s="213"/>
      <c r="J146" s="213"/>
      <c r="K146" s="214"/>
      <c r="L146" s="215"/>
      <c r="M146" s="215"/>
      <c r="N146" s="215"/>
      <c r="O146" s="215"/>
      <c r="P146" s="215"/>
      <c r="Q146" s="215"/>
      <c r="R146" s="216"/>
      <c r="S146" s="217"/>
      <c r="T146" s="218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65"/>
      <c r="AN146" s="222"/>
      <c r="AO146" s="222"/>
      <c r="BO146" s="222"/>
      <c r="BP146" s="222"/>
      <c r="BQ146" s="222"/>
      <c r="BR146" s="222"/>
      <c r="BS146" s="222"/>
      <c r="BT146" s="222"/>
      <c r="BU146" s="222"/>
      <c r="BV146" s="222"/>
      <c r="BW146" s="222"/>
    </row>
    <row r="147" ht="15.0" customHeight="1">
      <c r="A147" s="210"/>
      <c r="C147" s="212"/>
      <c r="D147" s="212"/>
      <c r="E147" s="212"/>
      <c r="F147" s="212"/>
      <c r="G147" s="212"/>
      <c r="H147" s="213"/>
      <c r="I147" s="213"/>
      <c r="J147" s="213"/>
      <c r="K147" s="214"/>
      <c r="L147" s="215"/>
      <c r="M147" s="215"/>
      <c r="N147" s="215"/>
      <c r="O147" s="215"/>
      <c r="P147" s="215"/>
      <c r="Q147" s="215"/>
      <c r="R147" s="216"/>
      <c r="S147" s="217"/>
      <c r="T147" s="218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65"/>
      <c r="AN147" s="222"/>
      <c r="AO147" s="222"/>
      <c r="BO147" s="222"/>
      <c r="BP147" s="222"/>
      <c r="BQ147" s="222"/>
      <c r="BR147" s="222"/>
      <c r="BS147" s="222"/>
      <c r="BT147" s="222"/>
      <c r="BU147" s="222"/>
      <c r="BV147" s="222"/>
      <c r="BW147" s="222"/>
    </row>
    <row r="148" ht="15.0" customHeight="1">
      <c r="A148" s="210"/>
      <c r="C148" s="212"/>
      <c r="D148" s="212"/>
      <c r="E148" s="212"/>
      <c r="F148" s="212"/>
      <c r="G148" s="212"/>
      <c r="H148" s="213"/>
      <c r="I148" s="213"/>
      <c r="J148" s="213"/>
      <c r="K148" s="214"/>
      <c r="L148" s="215"/>
      <c r="M148" s="215"/>
      <c r="N148" s="215"/>
      <c r="O148" s="215"/>
      <c r="P148" s="215"/>
      <c r="Q148" s="215"/>
      <c r="R148" s="216"/>
      <c r="S148" s="217"/>
      <c r="T148" s="218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65"/>
      <c r="AN148" s="222"/>
      <c r="AO148" s="222"/>
      <c r="BO148" s="222"/>
      <c r="BP148" s="222"/>
      <c r="BQ148" s="222"/>
      <c r="BR148" s="222"/>
      <c r="BS148" s="222"/>
      <c r="BT148" s="222"/>
      <c r="BU148" s="222"/>
      <c r="BV148" s="222"/>
      <c r="BW148" s="222"/>
    </row>
    <row r="149" ht="15.0" customHeight="1">
      <c r="A149" s="210"/>
      <c r="C149" s="212"/>
      <c r="D149" s="212"/>
      <c r="E149" s="212"/>
      <c r="F149" s="212"/>
      <c r="G149" s="212"/>
      <c r="H149" s="213"/>
      <c r="I149" s="213"/>
      <c r="J149" s="213"/>
      <c r="K149" s="214"/>
      <c r="L149" s="215"/>
      <c r="M149" s="215"/>
      <c r="N149" s="215"/>
      <c r="O149" s="215"/>
      <c r="P149" s="215"/>
      <c r="Q149" s="215"/>
      <c r="R149" s="216"/>
      <c r="S149" s="217"/>
      <c r="T149" s="218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65"/>
      <c r="AN149" s="222"/>
      <c r="AO149" s="222"/>
      <c r="BO149" s="222"/>
      <c r="BP149" s="222"/>
      <c r="BQ149" s="222"/>
      <c r="BR149" s="222"/>
      <c r="BS149" s="222"/>
      <c r="BT149" s="222"/>
      <c r="BU149" s="222"/>
      <c r="BV149" s="222"/>
      <c r="BW149" s="222"/>
    </row>
    <row r="150" ht="15.0" customHeight="1">
      <c r="A150" s="210"/>
      <c r="C150" s="212"/>
      <c r="D150" s="212"/>
      <c r="E150" s="212"/>
      <c r="F150" s="212"/>
      <c r="G150" s="212"/>
      <c r="H150" s="213"/>
      <c r="I150" s="213"/>
      <c r="J150" s="213"/>
      <c r="K150" s="214"/>
      <c r="L150" s="215"/>
      <c r="M150" s="215"/>
      <c r="N150" s="215"/>
      <c r="O150" s="215"/>
      <c r="P150" s="215"/>
      <c r="Q150" s="215"/>
      <c r="R150" s="216"/>
      <c r="S150" s="217"/>
      <c r="T150" s="218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65"/>
      <c r="AN150" s="222"/>
      <c r="AO150" s="222"/>
      <c r="BO150" s="222"/>
      <c r="BP150" s="222"/>
      <c r="BQ150" s="222"/>
      <c r="BR150" s="222"/>
      <c r="BS150" s="222"/>
      <c r="BT150" s="222"/>
      <c r="BU150" s="222"/>
      <c r="BV150" s="222"/>
      <c r="BW150" s="222"/>
    </row>
    <row r="151" ht="15.0" customHeight="1">
      <c r="A151" s="210"/>
      <c r="C151" s="212"/>
      <c r="D151" s="212"/>
      <c r="E151" s="212"/>
      <c r="F151" s="212"/>
      <c r="G151" s="212"/>
      <c r="H151" s="213"/>
      <c r="I151" s="213"/>
      <c r="J151" s="213"/>
      <c r="K151" s="214"/>
      <c r="L151" s="215"/>
      <c r="M151" s="215"/>
      <c r="N151" s="215"/>
      <c r="O151" s="215"/>
      <c r="P151" s="215"/>
      <c r="Q151" s="215"/>
      <c r="R151" s="216"/>
      <c r="S151" s="217"/>
      <c r="T151" s="218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65"/>
      <c r="AN151" s="222"/>
      <c r="AO151" s="222"/>
      <c r="BO151" s="222"/>
      <c r="BP151" s="222"/>
      <c r="BQ151" s="222"/>
      <c r="BR151" s="222"/>
      <c r="BS151" s="222"/>
      <c r="BT151" s="222"/>
      <c r="BU151" s="222"/>
      <c r="BV151" s="222"/>
      <c r="BW151" s="222"/>
    </row>
    <row r="152" ht="15.0" customHeight="1">
      <c r="A152" s="210"/>
      <c r="C152" s="212"/>
      <c r="D152" s="212"/>
      <c r="E152" s="212"/>
      <c r="F152" s="212"/>
      <c r="G152" s="212"/>
      <c r="H152" s="213"/>
      <c r="I152" s="213"/>
      <c r="J152" s="213"/>
      <c r="K152" s="214"/>
      <c r="L152" s="215"/>
      <c r="M152" s="215"/>
      <c r="N152" s="215"/>
      <c r="O152" s="215"/>
      <c r="P152" s="215"/>
      <c r="Q152" s="215"/>
      <c r="R152" s="216"/>
      <c r="S152" s="217"/>
      <c r="T152" s="218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65"/>
      <c r="AN152" s="222"/>
      <c r="AO152" s="222"/>
      <c r="BO152" s="222"/>
      <c r="BP152" s="222"/>
      <c r="BQ152" s="222"/>
      <c r="BR152" s="222"/>
      <c r="BS152" s="222"/>
      <c r="BT152" s="222"/>
      <c r="BU152" s="222"/>
      <c r="BV152" s="222"/>
      <c r="BW152" s="222"/>
    </row>
    <row r="153" ht="15.0" customHeight="1">
      <c r="A153" s="210"/>
      <c r="C153" s="212"/>
      <c r="D153" s="212"/>
      <c r="E153" s="212"/>
      <c r="F153" s="212"/>
      <c r="G153" s="212"/>
      <c r="H153" s="213"/>
      <c r="I153" s="213"/>
      <c r="J153" s="213"/>
      <c r="K153" s="214"/>
      <c r="L153" s="215"/>
      <c r="M153" s="215"/>
      <c r="N153" s="215"/>
      <c r="O153" s="215"/>
      <c r="P153" s="215"/>
      <c r="Q153" s="215"/>
      <c r="R153" s="216"/>
      <c r="S153" s="217"/>
      <c r="T153" s="218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65"/>
      <c r="AN153" s="222"/>
      <c r="AO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</row>
    <row r="154" ht="15.0" customHeight="1">
      <c r="A154" s="210"/>
      <c r="C154" s="212"/>
      <c r="D154" s="212"/>
      <c r="E154" s="212"/>
      <c r="F154" s="212"/>
      <c r="G154" s="212"/>
      <c r="H154" s="213"/>
      <c r="I154" s="213"/>
      <c r="J154" s="213"/>
      <c r="K154" s="214"/>
      <c r="L154" s="215"/>
      <c r="M154" s="215"/>
      <c r="N154" s="215"/>
      <c r="O154" s="215"/>
      <c r="P154" s="215"/>
      <c r="Q154" s="215"/>
      <c r="R154" s="216"/>
      <c r="S154" s="217"/>
      <c r="T154" s="218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65"/>
      <c r="AN154" s="222"/>
      <c r="AO154" s="222"/>
      <c r="BO154" s="222"/>
      <c r="BP154" s="222"/>
      <c r="BQ154" s="222"/>
      <c r="BR154" s="222"/>
      <c r="BS154" s="222"/>
      <c r="BT154" s="222"/>
      <c r="BU154" s="222"/>
      <c r="BV154" s="222"/>
      <c r="BW154" s="222"/>
    </row>
    <row r="155" ht="15.0" customHeight="1">
      <c r="A155" s="210"/>
      <c r="C155" s="212"/>
      <c r="D155" s="212"/>
      <c r="E155" s="212"/>
      <c r="F155" s="212"/>
      <c r="G155" s="212"/>
      <c r="H155" s="213"/>
      <c r="I155" s="213"/>
      <c r="J155" s="213"/>
      <c r="K155" s="214"/>
      <c r="L155" s="215"/>
      <c r="M155" s="215"/>
      <c r="N155" s="215"/>
      <c r="O155" s="215"/>
      <c r="P155" s="215"/>
      <c r="Q155" s="215"/>
      <c r="R155" s="216"/>
      <c r="S155" s="217"/>
      <c r="T155" s="218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65"/>
      <c r="AN155" s="222"/>
      <c r="AO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</row>
    <row r="156" ht="15.0" customHeight="1">
      <c r="A156" s="210"/>
      <c r="C156" s="212"/>
      <c r="D156" s="212"/>
      <c r="E156" s="212"/>
      <c r="F156" s="212"/>
      <c r="G156" s="212"/>
      <c r="H156" s="213"/>
      <c r="I156" s="213"/>
      <c r="J156" s="213"/>
      <c r="K156" s="214"/>
      <c r="L156" s="215"/>
      <c r="M156" s="215"/>
      <c r="N156" s="215"/>
      <c r="O156" s="215"/>
      <c r="P156" s="215"/>
      <c r="Q156" s="215"/>
      <c r="R156" s="216"/>
      <c r="S156" s="217"/>
      <c r="T156" s="218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65"/>
      <c r="AN156" s="222"/>
      <c r="AO156" s="222"/>
      <c r="BO156" s="222"/>
      <c r="BP156" s="222"/>
      <c r="BQ156" s="222"/>
      <c r="BR156" s="222"/>
      <c r="BS156" s="222"/>
      <c r="BT156" s="222"/>
      <c r="BU156" s="222"/>
      <c r="BV156" s="222"/>
      <c r="BW156" s="222"/>
    </row>
    <row r="157" ht="15.0" customHeight="1">
      <c r="A157" s="210"/>
      <c r="C157" s="212"/>
      <c r="D157" s="212"/>
      <c r="E157" s="212"/>
      <c r="F157" s="212"/>
      <c r="G157" s="212"/>
      <c r="H157" s="213"/>
      <c r="I157" s="213"/>
      <c r="J157" s="213"/>
      <c r="K157" s="214"/>
      <c r="L157" s="215"/>
      <c r="M157" s="215"/>
      <c r="N157" s="215"/>
      <c r="O157" s="215"/>
      <c r="P157" s="215"/>
      <c r="Q157" s="215"/>
      <c r="R157" s="216"/>
      <c r="S157" s="217"/>
      <c r="T157" s="218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65"/>
      <c r="AN157" s="222"/>
      <c r="AO157" s="222"/>
      <c r="BO157" s="222"/>
      <c r="BP157" s="222"/>
      <c r="BQ157" s="222"/>
      <c r="BR157" s="222"/>
      <c r="BS157" s="222"/>
      <c r="BT157" s="222"/>
      <c r="BU157" s="222"/>
      <c r="BV157" s="222"/>
      <c r="BW157" s="222"/>
    </row>
    <row r="158" ht="15.0" customHeight="1">
      <c r="A158" s="210"/>
      <c r="C158" s="212"/>
      <c r="D158" s="212"/>
      <c r="E158" s="212"/>
      <c r="F158" s="212"/>
      <c r="G158" s="212"/>
      <c r="H158" s="213"/>
      <c r="I158" s="213"/>
      <c r="J158" s="213"/>
      <c r="K158" s="214"/>
      <c r="L158" s="215"/>
      <c r="M158" s="215"/>
      <c r="N158" s="215"/>
      <c r="O158" s="215"/>
      <c r="P158" s="215"/>
      <c r="Q158" s="215"/>
      <c r="R158" s="216"/>
      <c r="S158" s="217"/>
      <c r="T158" s="218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65"/>
      <c r="AN158" s="222"/>
      <c r="AO158" s="222"/>
      <c r="BO158" s="222"/>
      <c r="BP158" s="222"/>
      <c r="BQ158" s="222"/>
      <c r="BR158" s="222"/>
      <c r="BS158" s="222"/>
      <c r="BT158" s="222"/>
      <c r="BU158" s="222"/>
      <c r="BV158" s="222"/>
      <c r="BW158" s="222"/>
    </row>
    <row r="159" ht="15.0" customHeight="1">
      <c r="A159" s="210"/>
      <c r="C159" s="212"/>
      <c r="D159" s="212"/>
      <c r="E159" s="212"/>
      <c r="F159" s="212"/>
      <c r="G159" s="212"/>
      <c r="H159" s="213"/>
      <c r="I159" s="213"/>
      <c r="J159" s="213"/>
      <c r="K159" s="214"/>
      <c r="L159" s="215"/>
      <c r="M159" s="215"/>
      <c r="N159" s="215"/>
      <c r="O159" s="215"/>
      <c r="P159" s="215"/>
      <c r="Q159" s="215"/>
      <c r="R159" s="216"/>
      <c r="S159" s="217"/>
      <c r="T159" s="218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65"/>
      <c r="AN159" s="222"/>
      <c r="AO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</row>
    <row r="160" ht="15.0" customHeight="1">
      <c r="A160" s="210"/>
      <c r="C160" s="212"/>
      <c r="D160" s="212"/>
      <c r="E160" s="212"/>
      <c r="F160" s="212"/>
      <c r="G160" s="212"/>
      <c r="H160" s="213"/>
      <c r="I160" s="213"/>
      <c r="J160" s="213"/>
      <c r="K160" s="214"/>
      <c r="L160" s="215"/>
      <c r="M160" s="215"/>
      <c r="N160" s="215"/>
      <c r="O160" s="215"/>
      <c r="P160" s="215"/>
      <c r="Q160" s="215"/>
      <c r="R160" s="216"/>
      <c r="S160" s="217"/>
      <c r="T160" s="218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65"/>
      <c r="AN160" s="222"/>
      <c r="AO160" s="222"/>
      <c r="BO160" s="222"/>
      <c r="BP160" s="222"/>
      <c r="BQ160" s="222"/>
      <c r="BR160" s="222"/>
      <c r="BS160" s="222"/>
      <c r="BT160" s="222"/>
      <c r="BU160" s="222"/>
      <c r="BV160" s="222"/>
      <c r="BW160" s="222"/>
    </row>
    <row r="161" ht="15.0" customHeight="1">
      <c r="A161" s="210"/>
      <c r="C161" s="212"/>
      <c r="D161" s="212"/>
      <c r="E161" s="212"/>
      <c r="F161" s="212"/>
      <c r="G161" s="212"/>
      <c r="H161" s="213"/>
      <c r="I161" s="213"/>
      <c r="J161" s="213"/>
      <c r="K161" s="214"/>
      <c r="L161" s="215"/>
      <c r="M161" s="215"/>
      <c r="N161" s="215"/>
      <c r="O161" s="215"/>
      <c r="P161" s="215"/>
      <c r="Q161" s="215"/>
      <c r="R161" s="216"/>
      <c r="S161" s="217"/>
      <c r="T161" s="218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65"/>
      <c r="AN161" s="222"/>
      <c r="AO161" s="222"/>
      <c r="BO161" s="222"/>
      <c r="BP161" s="222"/>
      <c r="BQ161" s="222"/>
      <c r="BR161" s="222"/>
      <c r="BS161" s="222"/>
      <c r="BT161" s="222"/>
      <c r="BU161" s="222"/>
      <c r="BV161" s="222"/>
      <c r="BW161" s="222"/>
    </row>
    <row r="162" ht="15.0" customHeight="1">
      <c r="A162" s="210"/>
      <c r="C162" s="212"/>
      <c r="D162" s="212"/>
      <c r="E162" s="212"/>
      <c r="F162" s="212"/>
      <c r="G162" s="212"/>
      <c r="H162" s="213"/>
      <c r="I162" s="213"/>
      <c r="J162" s="213"/>
      <c r="K162" s="214"/>
      <c r="L162" s="215"/>
      <c r="M162" s="215"/>
      <c r="N162" s="215"/>
      <c r="O162" s="215"/>
      <c r="P162" s="215"/>
      <c r="Q162" s="215"/>
      <c r="R162" s="216"/>
      <c r="S162" s="217"/>
      <c r="T162" s="218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65"/>
      <c r="AN162" s="222"/>
      <c r="AO162" s="222"/>
      <c r="BO162" s="222"/>
      <c r="BP162" s="222"/>
      <c r="BQ162" s="222"/>
      <c r="BR162" s="222"/>
      <c r="BS162" s="222"/>
      <c r="BT162" s="222"/>
      <c r="BU162" s="222"/>
      <c r="BV162" s="222"/>
      <c r="BW162" s="222"/>
    </row>
    <row r="163" ht="15.0" customHeight="1">
      <c r="A163" s="210"/>
      <c r="C163" s="212"/>
      <c r="D163" s="212"/>
      <c r="E163" s="212"/>
      <c r="F163" s="212"/>
      <c r="G163" s="212"/>
      <c r="H163" s="213"/>
      <c r="I163" s="213"/>
      <c r="J163" s="213"/>
      <c r="K163" s="214"/>
      <c r="L163" s="215"/>
      <c r="M163" s="215"/>
      <c r="N163" s="215"/>
      <c r="O163" s="215"/>
      <c r="P163" s="215"/>
      <c r="Q163" s="215"/>
      <c r="R163" s="216"/>
      <c r="S163" s="217"/>
      <c r="T163" s="218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65"/>
      <c r="AN163" s="222"/>
      <c r="AO163" s="222"/>
      <c r="BO163" s="222"/>
      <c r="BP163" s="222"/>
      <c r="BQ163" s="222"/>
      <c r="BR163" s="222"/>
      <c r="BS163" s="222"/>
      <c r="BT163" s="222"/>
      <c r="BU163" s="222"/>
      <c r="BV163" s="222"/>
      <c r="BW163" s="222"/>
    </row>
    <row r="164" ht="15.0" customHeight="1">
      <c r="A164" s="210"/>
      <c r="C164" s="212"/>
      <c r="D164" s="212"/>
      <c r="E164" s="212"/>
      <c r="F164" s="212"/>
      <c r="G164" s="212"/>
      <c r="H164" s="213"/>
      <c r="I164" s="213"/>
      <c r="J164" s="213"/>
      <c r="K164" s="214"/>
      <c r="L164" s="215"/>
      <c r="M164" s="215"/>
      <c r="N164" s="215"/>
      <c r="O164" s="215"/>
      <c r="P164" s="215"/>
      <c r="Q164" s="215"/>
      <c r="R164" s="216"/>
      <c r="S164" s="217"/>
      <c r="T164" s="218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65"/>
      <c r="AN164" s="222"/>
      <c r="AO164" s="222"/>
      <c r="BO164" s="222"/>
      <c r="BP164" s="222"/>
      <c r="BQ164" s="222"/>
      <c r="BR164" s="222"/>
      <c r="BS164" s="222"/>
      <c r="BT164" s="222"/>
      <c r="BU164" s="222"/>
      <c r="BV164" s="222"/>
      <c r="BW164" s="222"/>
    </row>
    <row r="165" ht="15.0" customHeight="1">
      <c r="A165" s="210"/>
      <c r="C165" s="212"/>
      <c r="D165" s="212"/>
      <c r="E165" s="212"/>
      <c r="F165" s="212"/>
      <c r="G165" s="212"/>
      <c r="H165" s="213"/>
      <c r="I165" s="213"/>
      <c r="J165" s="213"/>
      <c r="K165" s="214"/>
      <c r="L165" s="215"/>
      <c r="M165" s="215"/>
      <c r="N165" s="215"/>
      <c r="O165" s="215"/>
      <c r="P165" s="215"/>
      <c r="Q165" s="215"/>
      <c r="R165" s="216"/>
      <c r="S165" s="217"/>
      <c r="T165" s="218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65"/>
      <c r="AN165" s="222"/>
      <c r="AO165" s="222"/>
      <c r="BO165" s="222"/>
      <c r="BP165" s="222"/>
      <c r="BQ165" s="222"/>
      <c r="BR165" s="222"/>
      <c r="BS165" s="222"/>
      <c r="BT165" s="222"/>
      <c r="BU165" s="222"/>
      <c r="BV165" s="222"/>
      <c r="BW165" s="222"/>
    </row>
    <row r="166" ht="15.0" customHeight="1">
      <c r="A166" s="210"/>
      <c r="C166" s="212"/>
      <c r="D166" s="212"/>
      <c r="E166" s="212"/>
      <c r="F166" s="212"/>
      <c r="G166" s="212"/>
      <c r="H166" s="213"/>
      <c r="I166" s="213"/>
      <c r="J166" s="213"/>
      <c r="K166" s="214"/>
      <c r="L166" s="215"/>
      <c r="M166" s="215"/>
      <c r="N166" s="215"/>
      <c r="O166" s="215"/>
      <c r="P166" s="215"/>
      <c r="Q166" s="215"/>
      <c r="R166" s="216"/>
      <c r="S166" s="217"/>
      <c r="T166" s="218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65"/>
      <c r="AN166" s="222"/>
      <c r="AO166" s="222"/>
      <c r="BO166" s="222"/>
      <c r="BP166" s="222"/>
      <c r="BQ166" s="222"/>
      <c r="BR166" s="222"/>
      <c r="BS166" s="222"/>
      <c r="BT166" s="222"/>
      <c r="BU166" s="222"/>
      <c r="BV166" s="222"/>
      <c r="BW166" s="222"/>
    </row>
    <row r="167" ht="15.0" customHeight="1">
      <c r="A167" s="210"/>
      <c r="C167" s="212"/>
      <c r="D167" s="212"/>
      <c r="E167" s="212"/>
      <c r="F167" s="212"/>
      <c r="G167" s="212"/>
      <c r="H167" s="213"/>
      <c r="I167" s="213"/>
      <c r="J167" s="213"/>
      <c r="K167" s="214"/>
      <c r="L167" s="215"/>
      <c r="M167" s="215"/>
      <c r="N167" s="215"/>
      <c r="O167" s="215"/>
      <c r="P167" s="215"/>
      <c r="Q167" s="215"/>
      <c r="R167" s="216"/>
      <c r="S167" s="217"/>
      <c r="T167" s="218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65"/>
      <c r="AN167" s="222"/>
      <c r="AO167" s="222"/>
      <c r="BO167" s="222"/>
      <c r="BP167" s="222"/>
      <c r="BQ167" s="222"/>
      <c r="BR167" s="222"/>
      <c r="BS167" s="222"/>
      <c r="BT167" s="222"/>
      <c r="BU167" s="222"/>
      <c r="BV167" s="222"/>
      <c r="BW167" s="222"/>
    </row>
    <row r="168" ht="15.0" customHeight="1">
      <c r="A168" s="210"/>
      <c r="C168" s="212"/>
      <c r="D168" s="212"/>
      <c r="E168" s="212"/>
      <c r="F168" s="212"/>
      <c r="G168" s="212"/>
      <c r="H168" s="213"/>
      <c r="I168" s="213"/>
      <c r="J168" s="213"/>
      <c r="K168" s="214"/>
      <c r="L168" s="215"/>
      <c r="M168" s="215"/>
      <c r="N168" s="215"/>
      <c r="O168" s="215"/>
      <c r="P168" s="215"/>
      <c r="Q168" s="215"/>
      <c r="R168" s="216"/>
      <c r="S168" s="217"/>
      <c r="T168" s="218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65"/>
      <c r="AN168" s="222"/>
      <c r="AO168" s="222"/>
      <c r="BO168" s="222"/>
      <c r="BP168" s="222"/>
      <c r="BQ168" s="222"/>
      <c r="BR168" s="222"/>
      <c r="BS168" s="222"/>
      <c r="BT168" s="222"/>
      <c r="BU168" s="222"/>
      <c r="BV168" s="222"/>
      <c r="BW168" s="222"/>
    </row>
    <row r="169" ht="15.0" customHeight="1">
      <c r="A169" s="210"/>
      <c r="C169" s="212"/>
      <c r="D169" s="212"/>
      <c r="E169" s="212"/>
      <c r="F169" s="212"/>
      <c r="G169" s="212"/>
      <c r="H169" s="213"/>
      <c r="I169" s="213"/>
      <c r="J169" s="213"/>
      <c r="K169" s="214"/>
      <c r="L169" s="215"/>
      <c r="M169" s="215"/>
      <c r="N169" s="215"/>
      <c r="O169" s="215"/>
      <c r="P169" s="215"/>
      <c r="Q169" s="215"/>
      <c r="R169" s="216"/>
      <c r="S169" s="217"/>
      <c r="T169" s="218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65"/>
      <c r="AN169" s="222"/>
      <c r="AO169" s="222"/>
      <c r="BO169" s="222"/>
      <c r="BP169" s="222"/>
      <c r="BQ169" s="222"/>
      <c r="BR169" s="222"/>
      <c r="BS169" s="222"/>
      <c r="BT169" s="222"/>
      <c r="BU169" s="222"/>
      <c r="BV169" s="222"/>
      <c r="BW169" s="222"/>
    </row>
    <row r="170" ht="15.0" customHeight="1">
      <c r="A170" s="210"/>
      <c r="C170" s="212"/>
      <c r="D170" s="212"/>
      <c r="E170" s="212"/>
      <c r="F170" s="212"/>
      <c r="G170" s="212"/>
      <c r="H170" s="213"/>
      <c r="I170" s="213"/>
      <c r="J170" s="213"/>
      <c r="K170" s="214"/>
      <c r="L170" s="215"/>
      <c r="M170" s="215"/>
      <c r="N170" s="215"/>
      <c r="O170" s="215"/>
      <c r="P170" s="215"/>
      <c r="Q170" s="215"/>
      <c r="R170" s="216"/>
      <c r="S170" s="217"/>
      <c r="T170" s="218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65"/>
      <c r="AN170" s="222"/>
      <c r="AO170" s="222"/>
      <c r="BO170" s="222"/>
      <c r="BP170" s="222"/>
      <c r="BQ170" s="222"/>
      <c r="BR170" s="222"/>
      <c r="BS170" s="222"/>
      <c r="BT170" s="222"/>
      <c r="BU170" s="222"/>
      <c r="BV170" s="222"/>
      <c r="BW170" s="222"/>
    </row>
    <row r="171" ht="15.0" customHeight="1">
      <c r="A171" s="210"/>
      <c r="C171" s="212"/>
      <c r="D171" s="212"/>
      <c r="E171" s="212"/>
      <c r="F171" s="212"/>
      <c r="G171" s="212"/>
      <c r="H171" s="213"/>
      <c r="I171" s="213"/>
      <c r="J171" s="213"/>
      <c r="K171" s="214"/>
      <c r="L171" s="215"/>
      <c r="M171" s="215"/>
      <c r="N171" s="215"/>
      <c r="O171" s="215"/>
      <c r="P171" s="215"/>
      <c r="Q171" s="215"/>
      <c r="R171" s="216"/>
      <c r="S171" s="217"/>
      <c r="T171" s="218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65"/>
      <c r="AN171" s="222"/>
      <c r="AO171" s="222"/>
      <c r="BO171" s="222"/>
      <c r="BP171" s="222"/>
      <c r="BQ171" s="222"/>
      <c r="BR171" s="222"/>
      <c r="BS171" s="222"/>
      <c r="BT171" s="222"/>
      <c r="BU171" s="222"/>
      <c r="BV171" s="222"/>
      <c r="BW171" s="222"/>
    </row>
    <row r="172" ht="15.0" customHeight="1">
      <c r="A172" s="210"/>
      <c r="C172" s="212"/>
      <c r="D172" s="212"/>
      <c r="E172" s="212"/>
      <c r="F172" s="212"/>
      <c r="G172" s="212"/>
      <c r="H172" s="213"/>
      <c r="I172" s="213"/>
      <c r="J172" s="213"/>
      <c r="K172" s="214"/>
      <c r="L172" s="215"/>
      <c r="M172" s="215"/>
      <c r="N172" s="215"/>
      <c r="O172" s="215"/>
      <c r="P172" s="215"/>
      <c r="Q172" s="215"/>
      <c r="R172" s="216"/>
      <c r="S172" s="217"/>
      <c r="T172" s="218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65"/>
      <c r="AN172" s="222"/>
      <c r="AO172" s="222"/>
      <c r="BO172" s="222"/>
      <c r="BP172" s="222"/>
      <c r="BQ172" s="222"/>
      <c r="BR172" s="222"/>
      <c r="BS172" s="222"/>
      <c r="BT172" s="222"/>
      <c r="BU172" s="222"/>
      <c r="BV172" s="222"/>
      <c r="BW172" s="222"/>
    </row>
    <row r="173" ht="15.0" customHeight="1">
      <c r="A173" s="210"/>
      <c r="C173" s="212"/>
      <c r="D173" s="212"/>
      <c r="E173" s="212"/>
      <c r="F173" s="212"/>
      <c r="G173" s="212"/>
      <c r="H173" s="213"/>
      <c r="I173" s="213"/>
      <c r="J173" s="213"/>
      <c r="K173" s="214"/>
      <c r="L173" s="215"/>
      <c r="M173" s="215"/>
      <c r="N173" s="215"/>
      <c r="O173" s="215"/>
      <c r="P173" s="215"/>
      <c r="Q173" s="215"/>
      <c r="R173" s="216"/>
      <c r="S173" s="217"/>
      <c r="T173" s="218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65"/>
      <c r="AN173" s="222"/>
      <c r="AO173" s="222"/>
      <c r="BO173" s="222"/>
      <c r="BP173" s="222"/>
      <c r="BQ173" s="222"/>
      <c r="BR173" s="222"/>
      <c r="BS173" s="222"/>
      <c r="BT173" s="222"/>
      <c r="BU173" s="222"/>
      <c r="BV173" s="222"/>
      <c r="BW173" s="222"/>
    </row>
    <row r="174" ht="15.0" customHeight="1">
      <c r="A174" s="210"/>
      <c r="C174" s="212"/>
      <c r="D174" s="212"/>
      <c r="E174" s="212"/>
      <c r="F174" s="212"/>
      <c r="G174" s="212"/>
      <c r="H174" s="213"/>
      <c r="I174" s="213"/>
      <c r="J174" s="213"/>
      <c r="K174" s="214"/>
      <c r="L174" s="215"/>
      <c r="M174" s="215"/>
      <c r="N174" s="215"/>
      <c r="O174" s="215"/>
      <c r="P174" s="215"/>
      <c r="Q174" s="215"/>
      <c r="R174" s="216"/>
      <c r="S174" s="217"/>
      <c r="T174" s="218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65"/>
      <c r="AN174" s="222"/>
      <c r="AO174" s="222"/>
      <c r="BO174" s="222"/>
      <c r="BP174" s="222"/>
      <c r="BQ174" s="222"/>
      <c r="BR174" s="222"/>
      <c r="BS174" s="222"/>
      <c r="BT174" s="222"/>
      <c r="BU174" s="222"/>
      <c r="BV174" s="222"/>
      <c r="BW174" s="222"/>
    </row>
    <row r="175" ht="15.0" customHeight="1">
      <c r="A175" s="210"/>
      <c r="C175" s="212"/>
      <c r="D175" s="212"/>
      <c r="E175" s="212"/>
      <c r="F175" s="212"/>
      <c r="G175" s="212"/>
      <c r="H175" s="213"/>
      <c r="I175" s="213"/>
      <c r="J175" s="213"/>
      <c r="K175" s="214"/>
      <c r="L175" s="215"/>
      <c r="M175" s="215"/>
      <c r="N175" s="215"/>
      <c r="O175" s="215"/>
      <c r="P175" s="215"/>
      <c r="Q175" s="215"/>
      <c r="R175" s="216"/>
      <c r="S175" s="217"/>
      <c r="T175" s="218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65"/>
      <c r="AN175" s="222"/>
      <c r="AO175" s="222"/>
      <c r="BO175" s="222"/>
      <c r="BP175" s="222"/>
      <c r="BQ175" s="222"/>
      <c r="BR175" s="222"/>
      <c r="BS175" s="222"/>
      <c r="BT175" s="222"/>
      <c r="BU175" s="222"/>
      <c r="BV175" s="222"/>
      <c r="BW175" s="222"/>
    </row>
    <row r="176" ht="15.0" customHeight="1">
      <c r="A176" s="210"/>
      <c r="C176" s="212"/>
      <c r="D176" s="212"/>
      <c r="E176" s="212"/>
      <c r="F176" s="212"/>
      <c r="G176" s="212"/>
      <c r="H176" s="213"/>
      <c r="I176" s="213"/>
      <c r="J176" s="213"/>
      <c r="K176" s="214"/>
      <c r="L176" s="215"/>
      <c r="M176" s="215"/>
      <c r="N176" s="215"/>
      <c r="O176" s="215"/>
      <c r="P176" s="215"/>
      <c r="Q176" s="215"/>
      <c r="R176" s="216"/>
      <c r="S176" s="217"/>
      <c r="T176" s="218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65"/>
      <c r="AN176" s="222"/>
      <c r="AO176" s="222"/>
      <c r="BO176" s="222"/>
      <c r="BP176" s="222"/>
      <c r="BQ176" s="222"/>
      <c r="BR176" s="222"/>
      <c r="BS176" s="222"/>
      <c r="BT176" s="222"/>
      <c r="BU176" s="222"/>
      <c r="BV176" s="222"/>
      <c r="BW176" s="222"/>
    </row>
    <row r="177" ht="15.0" customHeight="1">
      <c r="A177" s="210"/>
      <c r="C177" s="212"/>
      <c r="D177" s="212"/>
      <c r="E177" s="212"/>
      <c r="F177" s="212"/>
      <c r="G177" s="212"/>
      <c r="H177" s="213"/>
      <c r="I177" s="213"/>
      <c r="J177" s="213"/>
      <c r="K177" s="214"/>
      <c r="L177" s="215"/>
      <c r="M177" s="215"/>
      <c r="N177" s="215"/>
      <c r="O177" s="215"/>
      <c r="P177" s="215"/>
      <c r="Q177" s="215"/>
      <c r="R177" s="216"/>
      <c r="S177" s="217"/>
      <c r="T177" s="218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65"/>
      <c r="AN177" s="222"/>
      <c r="AO177" s="222"/>
      <c r="BO177" s="222"/>
      <c r="BP177" s="222"/>
      <c r="BQ177" s="222"/>
      <c r="BR177" s="222"/>
      <c r="BS177" s="222"/>
      <c r="BT177" s="222"/>
      <c r="BU177" s="222"/>
      <c r="BV177" s="222"/>
      <c r="BW177" s="222"/>
    </row>
    <row r="178" ht="15.0" customHeight="1">
      <c r="A178" s="210"/>
      <c r="C178" s="212"/>
      <c r="D178" s="212"/>
      <c r="E178" s="212"/>
      <c r="F178" s="212"/>
      <c r="G178" s="212"/>
      <c r="H178" s="213"/>
      <c r="I178" s="213"/>
      <c r="J178" s="213"/>
      <c r="K178" s="214"/>
      <c r="L178" s="215"/>
      <c r="M178" s="215"/>
      <c r="N178" s="215"/>
      <c r="O178" s="215"/>
      <c r="P178" s="215"/>
      <c r="Q178" s="215"/>
      <c r="R178" s="216"/>
      <c r="S178" s="217"/>
      <c r="T178" s="218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65"/>
      <c r="AN178" s="222"/>
      <c r="AO178" s="222"/>
      <c r="BO178" s="222"/>
      <c r="BP178" s="222"/>
      <c r="BQ178" s="222"/>
      <c r="BR178" s="222"/>
      <c r="BS178" s="222"/>
      <c r="BT178" s="222"/>
      <c r="BU178" s="222"/>
      <c r="BV178" s="222"/>
      <c r="BW178" s="222"/>
    </row>
    <row r="179" ht="15.0" customHeight="1">
      <c r="A179" s="210"/>
      <c r="C179" s="212"/>
      <c r="D179" s="212"/>
      <c r="E179" s="212"/>
      <c r="F179" s="212"/>
      <c r="G179" s="212"/>
      <c r="H179" s="213"/>
      <c r="I179" s="213"/>
      <c r="J179" s="213"/>
      <c r="K179" s="214"/>
      <c r="L179" s="215"/>
      <c r="M179" s="215"/>
      <c r="N179" s="215"/>
      <c r="O179" s="215"/>
      <c r="P179" s="215"/>
      <c r="Q179" s="215"/>
      <c r="R179" s="216"/>
      <c r="S179" s="217"/>
      <c r="T179" s="218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65"/>
      <c r="AN179" s="222"/>
      <c r="AO179" s="222"/>
      <c r="BO179" s="222"/>
      <c r="BP179" s="222"/>
      <c r="BQ179" s="222"/>
      <c r="BR179" s="222"/>
      <c r="BS179" s="222"/>
      <c r="BT179" s="222"/>
      <c r="BU179" s="222"/>
      <c r="BV179" s="222"/>
      <c r="BW179" s="222"/>
    </row>
    <row r="180" ht="15.0" customHeight="1">
      <c r="A180" s="210"/>
      <c r="C180" s="212"/>
      <c r="D180" s="212"/>
      <c r="E180" s="212"/>
      <c r="F180" s="212"/>
      <c r="G180" s="212"/>
      <c r="H180" s="213"/>
      <c r="I180" s="213"/>
      <c r="J180" s="213"/>
      <c r="K180" s="214"/>
      <c r="L180" s="215"/>
      <c r="M180" s="215"/>
      <c r="N180" s="215"/>
      <c r="O180" s="215"/>
      <c r="P180" s="215"/>
      <c r="Q180" s="215"/>
      <c r="R180" s="216"/>
      <c r="S180" s="217"/>
      <c r="T180" s="218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65"/>
      <c r="AN180" s="222"/>
      <c r="AO180" s="222"/>
      <c r="BO180" s="222"/>
      <c r="BP180" s="222"/>
      <c r="BQ180" s="222"/>
      <c r="BR180" s="222"/>
      <c r="BS180" s="222"/>
      <c r="BT180" s="222"/>
      <c r="BU180" s="222"/>
      <c r="BV180" s="222"/>
      <c r="BW180" s="222"/>
    </row>
    <row r="181" ht="15.0" customHeight="1">
      <c r="A181" s="210"/>
      <c r="C181" s="212"/>
      <c r="D181" s="212"/>
      <c r="E181" s="212"/>
      <c r="F181" s="212"/>
      <c r="G181" s="212"/>
      <c r="H181" s="213"/>
      <c r="I181" s="213"/>
      <c r="J181" s="213"/>
      <c r="K181" s="214"/>
      <c r="L181" s="215"/>
      <c r="M181" s="215"/>
      <c r="N181" s="215"/>
      <c r="O181" s="215"/>
      <c r="P181" s="215"/>
      <c r="Q181" s="215"/>
      <c r="R181" s="216"/>
      <c r="S181" s="217"/>
      <c r="T181" s="218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65"/>
      <c r="AN181" s="222"/>
      <c r="AO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</row>
    <row r="182" ht="15.0" customHeight="1">
      <c r="A182" s="210"/>
      <c r="C182" s="212"/>
      <c r="D182" s="212"/>
      <c r="E182" s="212"/>
      <c r="F182" s="212"/>
      <c r="G182" s="212"/>
      <c r="H182" s="213"/>
      <c r="I182" s="213"/>
      <c r="J182" s="213"/>
      <c r="K182" s="214"/>
      <c r="L182" s="215"/>
      <c r="M182" s="215"/>
      <c r="N182" s="215"/>
      <c r="O182" s="215"/>
      <c r="P182" s="215"/>
      <c r="Q182" s="215"/>
      <c r="R182" s="216"/>
      <c r="S182" s="217"/>
      <c r="T182" s="218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65"/>
      <c r="AN182" s="222"/>
      <c r="AO182" s="222"/>
      <c r="BO182" s="222"/>
      <c r="BP182" s="222"/>
      <c r="BQ182" s="222"/>
      <c r="BR182" s="222"/>
      <c r="BS182" s="222"/>
      <c r="BT182" s="222"/>
      <c r="BU182" s="222"/>
      <c r="BV182" s="222"/>
      <c r="BW182" s="222"/>
    </row>
    <row r="183" ht="15.0" customHeight="1">
      <c r="A183" s="210"/>
      <c r="C183" s="212"/>
      <c r="D183" s="212"/>
      <c r="E183" s="212"/>
      <c r="F183" s="212"/>
      <c r="G183" s="212"/>
      <c r="H183" s="213"/>
      <c r="I183" s="213"/>
      <c r="J183" s="213"/>
      <c r="K183" s="214"/>
      <c r="L183" s="215"/>
      <c r="M183" s="215"/>
      <c r="N183" s="215"/>
      <c r="O183" s="215"/>
      <c r="P183" s="215"/>
      <c r="Q183" s="215"/>
      <c r="R183" s="216"/>
      <c r="S183" s="217"/>
      <c r="T183" s="218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65"/>
      <c r="AN183" s="222"/>
      <c r="AO183" s="222"/>
      <c r="BO183" s="222"/>
      <c r="BP183" s="222"/>
      <c r="BQ183" s="222"/>
      <c r="BR183" s="222"/>
      <c r="BS183" s="222"/>
      <c r="BT183" s="222"/>
      <c r="BU183" s="222"/>
      <c r="BV183" s="222"/>
      <c r="BW183" s="222"/>
    </row>
    <row r="184" ht="15.0" customHeight="1">
      <c r="A184" s="210"/>
      <c r="C184" s="212"/>
      <c r="D184" s="212"/>
      <c r="E184" s="212"/>
      <c r="F184" s="212"/>
      <c r="G184" s="212"/>
      <c r="H184" s="213"/>
      <c r="I184" s="213"/>
      <c r="J184" s="213"/>
      <c r="K184" s="214"/>
      <c r="L184" s="215"/>
      <c r="M184" s="215"/>
      <c r="N184" s="215"/>
      <c r="O184" s="215"/>
      <c r="P184" s="215"/>
      <c r="Q184" s="215"/>
      <c r="R184" s="216"/>
      <c r="S184" s="217"/>
      <c r="T184" s="218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65"/>
      <c r="AN184" s="222"/>
      <c r="AO184" s="222"/>
      <c r="BO184" s="222"/>
      <c r="BP184" s="222"/>
      <c r="BQ184" s="222"/>
      <c r="BR184" s="222"/>
      <c r="BS184" s="222"/>
      <c r="BT184" s="222"/>
      <c r="BU184" s="222"/>
      <c r="BV184" s="222"/>
      <c r="BW184" s="222"/>
    </row>
    <row r="185" ht="15.0" customHeight="1">
      <c r="A185" s="210"/>
      <c r="C185" s="212"/>
      <c r="D185" s="212"/>
      <c r="E185" s="212"/>
      <c r="F185" s="212"/>
      <c r="G185" s="212"/>
      <c r="H185" s="213"/>
      <c r="I185" s="213"/>
      <c r="J185" s="213"/>
      <c r="K185" s="214"/>
      <c r="L185" s="215"/>
      <c r="M185" s="215"/>
      <c r="N185" s="215"/>
      <c r="O185" s="215"/>
      <c r="P185" s="215"/>
      <c r="Q185" s="215"/>
      <c r="R185" s="216"/>
      <c r="S185" s="217"/>
      <c r="T185" s="218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65"/>
      <c r="AN185" s="222"/>
      <c r="AO185" s="222"/>
      <c r="BO185" s="222"/>
      <c r="BP185" s="222"/>
      <c r="BQ185" s="222"/>
      <c r="BR185" s="222"/>
      <c r="BS185" s="222"/>
      <c r="BT185" s="222"/>
      <c r="BU185" s="222"/>
      <c r="BV185" s="222"/>
      <c r="BW185" s="222"/>
    </row>
    <row r="186" ht="15.0" customHeight="1">
      <c r="A186" s="210"/>
      <c r="C186" s="212"/>
      <c r="D186" s="212"/>
      <c r="E186" s="212"/>
      <c r="F186" s="212"/>
      <c r="G186" s="212"/>
      <c r="H186" s="213"/>
      <c r="I186" s="213"/>
      <c r="J186" s="213"/>
      <c r="K186" s="214"/>
      <c r="L186" s="215"/>
      <c r="M186" s="215"/>
      <c r="N186" s="215"/>
      <c r="O186" s="215"/>
      <c r="P186" s="215"/>
      <c r="Q186" s="215"/>
      <c r="R186" s="216"/>
      <c r="S186" s="217"/>
      <c r="T186" s="218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65"/>
      <c r="AN186" s="222"/>
      <c r="AO186" s="222"/>
      <c r="BO186" s="222"/>
      <c r="BP186" s="222"/>
      <c r="BQ186" s="222"/>
      <c r="BR186" s="222"/>
      <c r="BS186" s="222"/>
      <c r="BT186" s="222"/>
      <c r="BU186" s="222"/>
      <c r="BV186" s="222"/>
      <c r="BW186" s="222"/>
    </row>
    <row r="187" ht="15.0" customHeight="1">
      <c r="A187" s="210"/>
      <c r="C187" s="212"/>
      <c r="D187" s="212"/>
      <c r="E187" s="212"/>
      <c r="F187" s="212"/>
      <c r="G187" s="212"/>
      <c r="H187" s="213"/>
      <c r="I187" s="213"/>
      <c r="J187" s="213"/>
      <c r="K187" s="214"/>
      <c r="L187" s="215"/>
      <c r="M187" s="215"/>
      <c r="N187" s="215"/>
      <c r="O187" s="215"/>
      <c r="P187" s="215"/>
      <c r="Q187" s="215"/>
      <c r="R187" s="216"/>
      <c r="S187" s="217"/>
      <c r="T187" s="218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65"/>
      <c r="AN187" s="222"/>
      <c r="AO187" s="222"/>
      <c r="BO187" s="222"/>
      <c r="BP187" s="222"/>
      <c r="BQ187" s="222"/>
      <c r="BR187" s="222"/>
      <c r="BS187" s="222"/>
      <c r="BT187" s="222"/>
      <c r="BU187" s="222"/>
      <c r="BV187" s="222"/>
      <c r="BW187" s="222"/>
    </row>
    <row r="188" ht="15.0" customHeight="1">
      <c r="A188" s="210"/>
      <c r="C188" s="212"/>
      <c r="D188" s="212"/>
      <c r="E188" s="212"/>
      <c r="F188" s="212"/>
      <c r="G188" s="212"/>
      <c r="H188" s="213"/>
      <c r="I188" s="213"/>
      <c r="J188" s="213"/>
      <c r="K188" s="214"/>
      <c r="L188" s="215"/>
      <c r="M188" s="215"/>
      <c r="N188" s="215"/>
      <c r="O188" s="215"/>
      <c r="P188" s="215"/>
      <c r="Q188" s="215"/>
      <c r="R188" s="216"/>
      <c r="S188" s="217"/>
      <c r="T188" s="218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65"/>
      <c r="AN188" s="222"/>
      <c r="AO188" s="222"/>
      <c r="BO188" s="222"/>
      <c r="BP188" s="222"/>
      <c r="BQ188" s="222"/>
      <c r="BR188" s="222"/>
      <c r="BS188" s="222"/>
      <c r="BT188" s="222"/>
      <c r="BU188" s="222"/>
      <c r="BV188" s="222"/>
      <c r="BW188" s="222"/>
    </row>
    <row r="189" ht="15.0" customHeight="1">
      <c r="A189" s="210"/>
      <c r="C189" s="212"/>
      <c r="D189" s="212"/>
      <c r="E189" s="212"/>
      <c r="F189" s="212"/>
      <c r="G189" s="212"/>
      <c r="H189" s="213"/>
      <c r="I189" s="213"/>
      <c r="J189" s="213"/>
      <c r="K189" s="214"/>
      <c r="L189" s="215"/>
      <c r="M189" s="215"/>
      <c r="N189" s="215"/>
      <c r="O189" s="215"/>
      <c r="P189" s="215"/>
      <c r="Q189" s="215"/>
      <c r="R189" s="216"/>
      <c r="S189" s="217"/>
      <c r="T189" s="218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65"/>
      <c r="AN189" s="222"/>
      <c r="AO189" s="222"/>
      <c r="BO189" s="222"/>
      <c r="BP189" s="222"/>
      <c r="BQ189" s="222"/>
      <c r="BR189" s="222"/>
      <c r="BS189" s="222"/>
      <c r="BT189" s="222"/>
      <c r="BU189" s="222"/>
      <c r="BV189" s="222"/>
      <c r="BW189" s="222"/>
    </row>
    <row r="190" ht="15.0" customHeight="1">
      <c r="A190" s="210"/>
      <c r="C190" s="212"/>
      <c r="D190" s="212"/>
      <c r="E190" s="212"/>
      <c r="F190" s="212"/>
      <c r="G190" s="212"/>
      <c r="H190" s="213"/>
      <c r="I190" s="213"/>
      <c r="J190" s="213"/>
      <c r="K190" s="214"/>
      <c r="L190" s="215"/>
      <c r="M190" s="215"/>
      <c r="N190" s="215"/>
      <c r="O190" s="215"/>
      <c r="P190" s="215"/>
      <c r="Q190" s="215"/>
      <c r="R190" s="216"/>
      <c r="S190" s="217"/>
      <c r="T190" s="218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65"/>
      <c r="AN190" s="222"/>
      <c r="AO190" s="222"/>
      <c r="BO190" s="222"/>
      <c r="BP190" s="222"/>
      <c r="BQ190" s="222"/>
      <c r="BR190" s="222"/>
      <c r="BS190" s="222"/>
      <c r="BT190" s="222"/>
      <c r="BU190" s="222"/>
      <c r="BV190" s="222"/>
      <c r="BW190" s="222"/>
    </row>
    <row r="191" ht="15.0" customHeight="1">
      <c r="A191" s="210"/>
      <c r="C191" s="212"/>
      <c r="D191" s="212"/>
      <c r="E191" s="212"/>
      <c r="F191" s="212"/>
      <c r="G191" s="212"/>
      <c r="H191" s="213"/>
      <c r="I191" s="213"/>
      <c r="J191" s="213"/>
      <c r="K191" s="214"/>
      <c r="L191" s="215"/>
      <c r="M191" s="215"/>
      <c r="N191" s="215"/>
      <c r="O191" s="215"/>
      <c r="P191" s="215"/>
      <c r="Q191" s="215"/>
      <c r="R191" s="216"/>
      <c r="S191" s="217"/>
      <c r="T191" s="218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65"/>
      <c r="AN191" s="222"/>
      <c r="AO191" s="222"/>
      <c r="BO191" s="222"/>
      <c r="BP191" s="222"/>
      <c r="BQ191" s="222"/>
      <c r="BR191" s="222"/>
      <c r="BS191" s="222"/>
      <c r="BT191" s="222"/>
      <c r="BU191" s="222"/>
      <c r="BV191" s="222"/>
      <c r="BW191" s="222"/>
    </row>
    <row r="192" ht="15.0" customHeight="1">
      <c r="A192" s="210"/>
      <c r="C192" s="212"/>
      <c r="D192" s="212"/>
      <c r="E192" s="212"/>
      <c r="F192" s="212"/>
      <c r="G192" s="212"/>
      <c r="H192" s="213"/>
      <c r="I192" s="213"/>
      <c r="J192" s="213"/>
      <c r="K192" s="214"/>
      <c r="L192" s="215"/>
      <c r="M192" s="215"/>
      <c r="N192" s="215"/>
      <c r="O192" s="215"/>
      <c r="P192" s="215"/>
      <c r="Q192" s="215"/>
      <c r="R192" s="216"/>
      <c r="S192" s="217"/>
      <c r="T192" s="218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65"/>
      <c r="AN192" s="222"/>
      <c r="AO192" s="222"/>
      <c r="BO192" s="222"/>
      <c r="BP192" s="222"/>
      <c r="BQ192" s="222"/>
      <c r="BR192" s="222"/>
      <c r="BS192" s="222"/>
      <c r="BT192" s="222"/>
      <c r="BU192" s="222"/>
      <c r="BV192" s="222"/>
      <c r="BW192" s="222"/>
    </row>
    <row r="193" ht="15.0" customHeight="1">
      <c r="A193" s="210"/>
      <c r="C193" s="212"/>
      <c r="D193" s="212"/>
      <c r="E193" s="212"/>
      <c r="F193" s="212"/>
      <c r="G193" s="212"/>
      <c r="H193" s="213"/>
      <c r="I193" s="213"/>
      <c r="J193" s="213"/>
      <c r="K193" s="214"/>
      <c r="L193" s="215"/>
      <c r="M193" s="215"/>
      <c r="N193" s="215"/>
      <c r="O193" s="215"/>
      <c r="P193" s="215"/>
      <c r="Q193" s="215"/>
      <c r="R193" s="216"/>
      <c r="S193" s="217"/>
      <c r="T193" s="218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65"/>
      <c r="AN193" s="222"/>
      <c r="AO193" s="222"/>
      <c r="BO193" s="222"/>
      <c r="BP193" s="222"/>
      <c r="BQ193" s="222"/>
      <c r="BR193" s="222"/>
      <c r="BS193" s="222"/>
      <c r="BT193" s="222"/>
      <c r="BU193" s="222"/>
      <c r="BV193" s="222"/>
      <c r="BW193" s="222"/>
    </row>
    <row r="194" ht="15.0" customHeight="1">
      <c r="A194" s="210"/>
      <c r="C194" s="212"/>
      <c r="D194" s="212"/>
      <c r="E194" s="212"/>
      <c r="F194" s="212"/>
      <c r="G194" s="212"/>
      <c r="H194" s="213"/>
      <c r="I194" s="213"/>
      <c r="J194" s="213"/>
      <c r="K194" s="214"/>
      <c r="L194" s="215"/>
      <c r="M194" s="215"/>
      <c r="N194" s="215"/>
      <c r="O194" s="215"/>
      <c r="P194" s="215"/>
      <c r="Q194" s="215"/>
      <c r="R194" s="216"/>
      <c r="S194" s="217"/>
      <c r="T194" s="218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65"/>
      <c r="AN194" s="222"/>
      <c r="AO194" s="222"/>
      <c r="BO194" s="222"/>
      <c r="BP194" s="222"/>
      <c r="BQ194" s="222"/>
      <c r="BR194" s="222"/>
      <c r="BS194" s="222"/>
      <c r="BT194" s="222"/>
      <c r="BU194" s="222"/>
      <c r="BV194" s="222"/>
      <c r="BW194" s="222"/>
    </row>
    <row r="195" ht="15.0" customHeight="1">
      <c r="A195" s="210"/>
      <c r="C195" s="212"/>
      <c r="D195" s="212"/>
      <c r="E195" s="212"/>
      <c r="F195" s="212"/>
      <c r="G195" s="212"/>
      <c r="H195" s="213"/>
      <c r="I195" s="213"/>
      <c r="J195" s="213"/>
      <c r="K195" s="214"/>
      <c r="L195" s="215"/>
      <c r="M195" s="215"/>
      <c r="N195" s="215"/>
      <c r="O195" s="215"/>
      <c r="P195" s="215"/>
      <c r="Q195" s="215"/>
      <c r="R195" s="216"/>
      <c r="S195" s="217"/>
      <c r="T195" s="218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65"/>
      <c r="AN195" s="222"/>
      <c r="AO195" s="222"/>
      <c r="BO195" s="222"/>
      <c r="BP195" s="222"/>
      <c r="BQ195" s="222"/>
      <c r="BR195" s="222"/>
      <c r="BS195" s="222"/>
      <c r="BT195" s="222"/>
      <c r="BU195" s="222"/>
      <c r="BV195" s="222"/>
      <c r="BW195" s="222"/>
    </row>
    <row r="196" ht="15.0" customHeight="1">
      <c r="A196" s="210"/>
      <c r="C196" s="212"/>
      <c r="D196" s="212"/>
      <c r="E196" s="212"/>
      <c r="F196" s="212"/>
      <c r="G196" s="212"/>
      <c r="H196" s="213"/>
      <c r="I196" s="213"/>
      <c r="J196" s="213"/>
      <c r="K196" s="214"/>
      <c r="L196" s="215"/>
      <c r="M196" s="215"/>
      <c r="N196" s="215"/>
      <c r="O196" s="215"/>
      <c r="P196" s="215"/>
      <c r="Q196" s="215"/>
      <c r="R196" s="216"/>
      <c r="S196" s="217"/>
      <c r="T196" s="218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65"/>
      <c r="AN196" s="222"/>
      <c r="AO196" s="222"/>
      <c r="BO196" s="222"/>
      <c r="BP196" s="222"/>
      <c r="BQ196" s="222"/>
      <c r="BR196" s="222"/>
      <c r="BS196" s="222"/>
      <c r="BT196" s="222"/>
      <c r="BU196" s="222"/>
      <c r="BV196" s="222"/>
      <c r="BW196" s="222"/>
    </row>
    <row r="197" ht="15.0" customHeight="1">
      <c r="A197" s="210"/>
      <c r="C197" s="212"/>
      <c r="D197" s="212"/>
      <c r="E197" s="212"/>
      <c r="F197" s="212"/>
      <c r="G197" s="212"/>
      <c r="H197" s="213"/>
      <c r="I197" s="213"/>
      <c r="J197" s="213"/>
      <c r="K197" s="214"/>
      <c r="L197" s="215"/>
      <c r="M197" s="215"/>
      <c r="N197" s="215"/>
      <c r="O197" s="215"/>
      <c r="P197" s="215"/>
      <c r="Q197" s="215"/>
      <c r="R197" s="216"/>
      <c r="S197" s="217"/>
      <c r="T197" s="218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65"/>
      <c r="AN197" s="222"/>
      <c r="AO197" s="222"/>
      <c r="BO197" s="222"/>
      <c r="BP197" s="222"/>
      <c r="BQ197" s="222"/>
      <c r="BR197" s="222"/>
      <c r="BS197" s="222"/>
      <c r="BT197" s="222"/>
      <c r="BU197" s="222"/>
      <c r="BV197" s="222"/>
      <c r="BW197" s="222"/>
    </row>
    <row r="198" ht="15.0" customHeight="1">
      <c r="A198" s="210"/>
      <c r="C198" s="212"/>
      <c r="D198" s="212"/>
      <c r="E198" s="212"/>
      <c r="F198" s="212"/>
      <c r="G198" s="212"/>
      <c r="H198" s="213"/>
      <c r="I198" s="213"/>
      <c r="J198" s="213"/>
      <c r="K198" s="214"/>
      <c r="L198" s="215"/>
      <c r="M198" s="215"/>
      <c r="N198" s="215"/>
      <c r="O198" s="215"/>
      <c r="P198" s="215"/>
      <c r="Q198" s="215"/>
      <c r="R198" s="216"/>
      <c r="S198" s="217"/>
      <c r="T198" s="218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65"/>
      <c r="AN198" s="222"/>
      <c r="AO198" s="222"/>
      <c r="BO198" s="222"/>
      <c r="BP198" s="222"/>
      <c r="BQ198" s="222"/>
      <c r="BR198" s="222"/>
      <c r="BS198" s="222"/>
      <c r="BT198" s="222"/>
      <c r="BU198" s="222"/>
      <c r="BV198" s="222"/>
      <c r="BW198" s="222"/>
    </row>
    <row r="199" ht="15.0" customHeight="1">
      <c r="A199" s="210"/>
      <c r="C199" s="212"/>
      <c r="D199" s="212"/>
      <c r="E199" s="212"/>
      <c r="F199" s="212"/>
      <c r="G199" s="212"/>
      <c r="H199" s="213"/>
      <c r="I199" s="213"/>
      <c r="J199" s="213"/>
      <c r="K199" s="214"/>
      <c r="L199" s="215"/>
      <c r="M199" s="215"/>
      <c r="N199" s="215"/>
      <c r="O199" s="215"/>
      <c r="P199" s="215"/>
      <c r="Q199" s="215"/>
      <c r="R199" s="216"/>
      <c r="S199" s="217"/>
      <c r="T199" s="218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65"/>
      <c r="AN199" s="222"/>
      <c r="AO199" s="222"/>
      <c r="BO199" s="222"/>
      <c r="BP199" s="222"/>
      <c r="BQ199" s="222"/>
      <c r="BR199" s="222"/>
      <c r="BS199" s="222"/>
      <c r="BT199" s="222"/>
      <c r="BU199" s="222"/>
      <c r="BV199" s="222"/>
      <c r="BW199" s="222"/>
    </row>
    <row r="200" ht="15.0" customHeight="1">
      <c r="A200" s="210"/>
      <c r="C200" s="212"/>
      <c r="D200" s="212"/>
      <c r="E200" s="212"/>
      <c r="F200" s="212"/>
      <c r="G200" s="212"/>
      <c r="H200" s="213"/>
      <c r="I200" s="213"/>
      <c r="J200" s="213"/>
      <c r="K200" s="214"/>
      <c r="L200" s="215"/>
      <c r="M200" s="215"/>
      <c r="N200" s="215"/>
      <c r="O200" s="215"/>
      <c r="P200" s="215"/>
      <c r="Q200" s="215"/>
      <c r="R200" s="216"/>
      <c r="S200" s="217"/>
      <c r="T200" s="218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65"/>
      <c r="AN200" s="222"/>
      <c r="AO200" s="222"/>
      <c r="BO200" s="222"/>
      <c r="BP200" s="222"/>
      <c r="BQ200" s="222"/>
      <c r="BR200" s="222"/>
      <c r="BS200" s="222"/>
      <c r="BT200" s="222"/>
      <c r="BU200" s="222"/>
      <c r="BV200" s="222"/>
      <c r="BW200" s="222"/>
    </row>
    <row r="201" ht="15.0" customHeight="1">
      <c r="A201" s="210"/>
      <c r="C201" s="212"/>
      <c r="D201" s="212"/>
      <c r="E201" s="212"/>
      <c r="F201" s="212"/>
      <c r="G201" s="212"/>
      <c r="H201" s="213"/>
      <c r="I201" s="213"/>
      <c r="J201" s="213"/>
      <c r="K201" s="214"/>
      <c r="L201" s="215"/>
      <c r="M201" s="215"/>
      <c r="N201" s="215"/>
      <c r="O201" s="215"/>
      <c r="P201" s="215"/>
      <c r="Q201" s="215"/>
      <c r="R201" s="216"/>
      <c r="S201" s="217"/>
      <c r="T201" s="218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65"/>
      <c r="AN201" s="222"/>
      <c r="AO201" s="222"/>
      <c r="BO201" s="222"/>
      <c r="BP201" s="222"/>
      <c r="BQ201" s="222"/>
      <c r="BR201" s="222"/>
      <c r="BS201" s="222"/>
      <c r="BT201" s="222"/>
      <c r="BU201" s="222"/>
      <c r="BV201" s="222"/>
      <c r="BW201" s="222"/>
    </row>
    <row r="202" ht="15.0" customHeight="1">
      <c r="A202" s="210"/>
      <c r="C202" s="212"/>
      <c r="D202" s="212"/>
      <c r="E202" s="212"/>
      <c r="F202" s="212"/>
      <c r="G202" s="212"/>
      <c r="H202" s="213"/>
      <c r="I202" s="213"/>
      <c r="J202" s="213"/>
      <c r="K202" s="214"/>
      <c r="L202" s="215"/>
      <c r="M202" s="215"/>
      <c r="N202" s="215"/>
      <c r="O202" s="215"/>
      <c r="P202" s="215"/>
      <c r="Q202" s="215"/>
      <c r="R202" s="216"/>
      <c r="S202" s="217"/>
      <c r="T202" s="218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65"/>
      <c r="AN202" s="222"/>
      <c r="AO202" s="222"/>
      <c r="BO202" s="222"/>
      <c r="BP202" s="222"/>
      <c r="BQ202" s="222"/>
      <c r="BR202" s="222"/>
      <c r="BS202" s="222"/>
      <c r="BT202" s="222"/>
      <c r="BU202" s="222"/>
      <c r="BV202" s="222"/>
      <c r="BW202" s="222"/>
    </row>
    <row r="203" ht="15.0" customHeight="1">
      <c r="A203" s="210"/>
      <c r="C203" s="212"/>
      <c r="D203" s="212"/>
      <c r="E203" s="212"/>
      <c r="F203" s="212"/>
      <c r="G203" s="212"/>
      <c r="H203" s="213"/>
      <c r="I203" s="213"/>
      <c r="J203" s="213"/>
      <c r="K203" s="214"/>
      <c r="L203" s="215"/>
      <c r="M203" s="215"/>
      <c r="N203" s="215"/>
      <c r="O203" s="215"/>
      <c r="P203" s="215"/>
      <c r="Q203" s="215"/>
      <c r="R203" s="216"/>
      <c r="S203" s="217"/>
      <c r="T203" s="218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65"/>
      <c r="AN203" s="222"/>
      <c r="AO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</row>
    <row r="204" ht="15.0" customHeight="1">
      <c r="A204" s="210"/>
      <c r="C204" s="212"/>
      <c r="D204" s="212"/>
      <c r="E204" s="212"/>
      <c r="F204" s="212"/>
      <c r="G204" s="212"/>
      <c r="H204" s="213"/>
      <c r="I204" s="213"/>
      <c r="J204" s="213"/>
      <c r="K204" s="214"/>
      <c r="L204" s="215"/>
      <c r="M204" s="215"/>
      <c r="N204" s="215"/>
      <c r="O204" s="215"/>
      <c r="P204" s="215"/>
      <c r="Q204" s="215"/>
      <c r="R204" s="216"/>
      <c r="S204" s="217"/>
      <c r="T204" s="218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65"/>
      <c r="AN204" s="222"/>
      <c r="AO204" s="222"/>
      <c r="BO204" s="222"/>
      <c r="BP204" s="222"/>
      <c r="BQ204" s="222"/>
      <c r="BR204" s="222"/>
      <c r="BS204" s="222"/>
      <c r="BT204" s="222"/>
      <c r="BU204" s="222"/>
      <c r="BV204" s="222"/>
      <c r="BW204" s="222"/>
    </row>
    <row r="205" ht="15.0" customHeight="1">
      <c r="A205" s="210"/>
      <c r="C205" s="212"/>
      <c r="D205" s="212"/>
      <c r="E205" s="212"/>
      <c r="F205" s="212"/>
      <c r="G205" s="212"/>
      <c r="H205" s="213"/>
      <c r="I205" s="213"/>
      <c r="J205" s="213"/>
      <c r="K205" s="214"/>
      <c r="L205" s="215"/>
      <c r="M205" s="215"/>
      <c r="N205" s="215"/>
      <c r="O205" s="215"/>
      <c r="P205" s="215"/>
      <c r="Q205" s="215"/>
      <c r="R205" s="216"/>
      <c r="S205" s="217"/>
      <c r="T205" s="218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65"/>
      <c r="AN205" s="222"/>
      <c r="AO205" s="222"/>
      <c r="BO205" s="222"/>
      <c r="BP205" s="222"/>
      <c r="BQ205" s="222"/>
      <c r="BR205" s="222"/>
      <c r="BS205" s="222"/>
      <c r="BT205" s="222"/>
      <c r="BU205" s="222"/>
      <c r="BV205" s="222"/>
      <c r="BW205" s="222"/>
    </row>
    <row r="206" ht="15.0" customHeight="1">
      <c r="A206" s="210"/>
      <c r="C206" s="212"/>
      <c r="D206" s="212"/>
      <c r="E206" s="212"/>
      <c r="F206" s="212"/>
      <c r="G206" s="212"/>
      <c r="H206" s="213"/>
      <c r="I206" s="213"/>
      <c r="J206" s="213"/>
      <c r="K206" s="214"/>
      <c r="L206" s="215"/>
      <c r="M206" s="215"/>
      <c r="N206" s="215"/>
      <c r="O206" s="215"/>
      <c r="P206" s="215"/>
      <c r="Q206" s="215"/>
      <c r="R206" s="216"/>
      <c r="S206" s="217"/>
      <c r="T206" s="218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65"/>
      <c r="AN206" s="222"/>
      <c r="AO206" s="222"/>
      <c r="BO206" s="222"/>
      <c r="BP206" s="222"/>
      <c r="BQ206" s="222"/>
      <c r="BR206" s="222"/>
      <c r="BS206" s="222"/>
      <c r="BT206" s="222"/>
      <c r="BU206" s="222"/>
      <c r="BV206" s="222"/>
      <c r="BW206" s="222"/>
    </row>
    <row r="207" ht="15.0" customHeight="1">
      <c r="A207" s="210"/>
      <c r="C207" s="212"/>
      <c r="D207" s="212"/>
      <c r="E207" s="212"/>
      <c r="F207" s="212"/>
      <c r="G207" s="212"/>
      <c r="H207" s="213"/>
      <c r="I207" s="213"/>
      <c r="J207" s="213"/>
      <c r="K207" s="214"/>
      <c r="L207" s="215"/>
      <c r="M207" s="215"/>
      <c r="N207" s="215"/>
      <c r="O207" s="215"/>
      <c r="P207" s="215"/>
      <c r="Q207" s="215"/>
      <c r="R207" s="216"/>
      <c r="S207" s="217"/>
      <c r="T207" s="218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65"/>
      <c r="AN207" s="222"/>
      <c r="AO207" s="222"/>
      <c r="BO207" s="222"/>
      <c r="BP207" s="222"/>
      <c r="BQ207" s="222"/>
      <c r="BR207" s="222"/>
      <c r="BS207" s="222"/>
      <c r="BT207" s="222"/>
      <c r="BU207" s="222"/>
      <c r="BV207" s="222"/>
      <c r="BW207" s="222"/>
    </row>
    <row r="208" ht="15.0" customHeight="1">
      <c r="A208" s="210"/>
      <c r="C208" s="212"/>
      <c r="D208" s="212"/>
      <c r="E208" s="212"/>
      <c r="F208" s="212"/>
      <c r="G208" s="212"/>
      <c r="H208" s="213"/>
      <c r="I208" s="213"/>
      <c r="J208" s="213"/>
      <c r="K208" s="214"/>
      <c r="L208" s="215"/>
      <c r="M208" s="215"/>
      <c r="N208" s="215"/>
      <c r="O208" s="215"/>
      <c r="P208" s="215"/>
      <c r="Q208" s="215"/>
      <c r="R208" s="216"/>
      <c r="S208" s="217"/>
      <c r="T208" s="218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65"/>
      <c r="AN208" s="222"/>
      <c r="AO208" s="222"/>
      <c r="BO208" s="222"/>
      <c r="BP208" s="222"/>
      <c r="BQ208" s="222"/>
      <c r="BR208" s="222"/>
      <c r="BS208" s="222"/>
      <c r="BT208" s="222"/>
      <c r="BU208" s="222"/>
      <c r="BV208" s="222"/>
      <c r="BW208" s="222"/>
    </row>
    <row r="209" ht="15.0" customHeight="1">
      <c r="A209" s="210"/>
      <c r="C209" s="212"/>
      <c r="D209" s="212"/>
      <c r="E209" s="212"/>
      <c r="F209" s="212"/>
      <c r="G209" s="212"/>
      <c r="H209" s="213"/>
      <c r="I209" s="213"/>
      <c r="J209" s="213"/>
      <c r="K209" s="214"/>
      <c r="L209" s="215"/>
      <c r="M209" s="215"/>
      <c r="N209" s="215"/>
      <c r="O209" s="215"/>
      <c r="P209" s="215"/>
      <c r="Q209" s="215"/>
      <c r="R209" s="216"/>
      <c r="S209" s="217"/>
      <c r="T209" s="218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65"/>
      <c r="AN209" s="222"/>
      <c r="AO209" s="222"/>
      <c r="BO209" s="222"/>
      <c r="BP209" s="222"/>
      <c r="BQ209" s="222"/>
      <c r="BR209" s="222"/>
      <c r="BS209" s="222"/>
      <c r="BT209" s="222"/>
      <c r="BU209" s="222"/>
      <c r="BV209" s="222"/>
      <c r="BW209" s="222"/>
    </row>
    <row r="210" ht="15.0" customHeight="1">
      <c r="A210" s="210"/>
      <c r="C210" s="212"/>
      <c r="D210" s="212"/>
      <c r="E210" s="212"/>
      <c r="F210" s="212"/>
      <c r="G210" s="212"/>
      <c r="H210" s="213"/>
      <c r="I210" s="213"/>
      <c r="J210" s="213"/>
      <c r="K210" s="214"/>
      <c r="L210" s="215"/>
      <c r="M210" s="215"/>
      <c r="N210" s="215"/>
      <c r="O210" s="215"/>
      <c r="P210" s="215"/>
      <c r="Q210" s="215"/>
      <c r="R210" s="216"/>
      <c r="S210" s="217"/>
      <c r="T210" s="218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65"/>
      <c r="AN210" s="222"/>
      <c r="AO210" s="222"/>
      <c r="BO210" s="222"/>
      <c r="BP210" s="222"/>
      <c r="BQ210" s="222"/>
      <c r="BR210" s="222"/>
      <c r="BS210" s="222"/>
      <c r="BT210" s="222"/>
      <c r="BU210" s="222"/>
      <c r="BV210" s="222"/>
      <c r="BW210" s="222"/>
    </row>
    <row r="211" ht="15.0" customHeight="1">
      <c r="A211" s="210"/>
      <c r="C211" s="212"/>
      <c r="D211" s="212"/>
      <c r="E211" s="212"/>
      <c r="F211" s="212"/>
      <c r="G211" s="212"/>
      <c r="H211" s="213"/>
      <c r="I211" s="213"/>
      <c r="J211" s="213"/>
      <c r="K211" s="214"/>
      <c r="L211" s="215"/>
      <c r="M211" s="215"/>
      <c r="N211" s="215"/>
      <c r="O211" s="215"/>
      <c r="P211" s="215"/>
      <c r="Q211" s="215"/>
      <c r="R211" s="216"/>
      <c r="S211" s="217"/>
      <c r="T211" s="218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65"/>
      <c r="AN211" s="222"/>
      <c r="AO211" s="222"/>
      <c r="BO211" s="222"/>
      <c r="BP211" s="222"/>
      <c r="BQ211" s="222"/>
      <c r="BR211" s="222"/>
      <c r="BS211" s="222"/>
      <c r="BT211" s="222"/>
      <c r="BU211" s="222"/>
      <c r="BV211" s="222"/>
      <c r="BW211" s="222"/>
    </row>
    <row r="212" ht="15.0" customHeight="1">
      <c r="A212" s="210"/>
      <c r="C212" s="212"/>
      <c r="D212" s="212"/>
      <c r="E212" s="212"/>
      <c r="F212" s="212"/>
      <c r="G212" s="212"/>
      <c r="H212" s="213"/>
      <c r="I212" s="213"/>
      <c r="J212" s="213"/>
      <c r="K212" s="214"/>
      <c r="L212" s="215"/>
      <c r="M212" s="215"/>
      <c r="N212" s="215"/>
      <c r="O212" s="215"/>
      <c r="P212" s="215"/>
      <c r="Q212" s="215"/>
      <c r="R212" s="216"/>
      <c r="S212" s="217"/>
      <c r="T212" s="218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65"/>
      <c r="AN212" s="222"/>
      <c r="AO212" s="222"/>
      <c r="BO212" s="222"/>
      <c r="BP212" s="222"/>
      <c r="BQ212" s="222"/>
      <c r="BR212" s="222"/>
      <c r="BS212" s="222"/>
      <c r="BT212" s="222"/>
      <c r="BU212" s="222"/>
      <c r="BV212" s="222"/>
      <c r="BW212" s="222"/>
    </row>
    <row r="213" ht="15.0" customHeight="1">
      <c r="A213" s="210"/>
      <c r="C213" s="212"/>
      <c r="D213" s="212"/>
      <c r="E213" s="212"/>
      <c r="F213" s="212"/>
      <c r="G213" s="212"/>
      <c r="H213" s="213"/>
      <c r="I213" s="213"/>
      <c r="J213" s="213"/>
      <c r="K213" s="214"/>
      <c r="L213" s="215"/>
      <c r="M213" s="215"/>
      <c r="N213" s="215"/>
      <c r="O213" s="215"/>
      <c r="P213" s="215"/>
      <c r="Q213" s="215"/>
      <c r="R213" s="216"/>
      <c r="S213" s="217"/>
      <c r="T213" s="218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65"/>
      <c r="AN213" s="222"/>
      <c r="AO213" s="222"/>
      <c r="BO213" s="222"/>
      <c r="BP213" s="222"/>
      <c r="BQ213" s="222"/>
      <c r="BR213" s="222"/>
      <c r="BS213" s="222"/>
      <c r="BT213" s="222"/>
      <c r="BU213" s="222"/>
      <c r="BV213" s="222"/>
      <c r="BW213" s="222"/>
    </row>
    <row r="214" ht="15.0" customHeight="1">
      <c r="A214" s="210"/>
      <c r="C214" s="212"/>
      <c r="D214" s="212"/>
      <c r="E214" s="212"/>
      <c r="F214" s="212"/>
      <c r="G214" s="212"/>
      <c r="H214" s="213"/>
      <c r="I214" s="213"/>
      <c r="J214" s="213"/>
      <c r="K214" s="214"/>
      <c r="L214" s="215"/>
      <c r="M214" s="215"/>
      <c r="N214" s="215"/>
      <c r="O214" s="215"/>
      <c r="P214" s="215"/>
      <c r="Q214" s="215"/>
      <c r="R214" s="216"/>
      <c r="S214" s="217"/>
      <c r="T214" s="218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65"/>
      <c r="AN214" s="222"/>
      <c r="AO214" s="222"/>
      <c r="BO214" s="222"/>
      <c r="BP214" s="222"/>
      <c r="BQ214" s="222"/>
      <c r="BR214" s="222"/>
      <c r="BS214" s="222"/>
      <c r="BT214" s="222"/>
      <c r="BU214" s="222"/>
      <c r="BV214" s="222"/>
      <c r="BW214" s="222"/>
    </row>
    <row r="215" ht="15.0" customHeight="1">
      <c r="A215" s="210"/>
      <c r="C215" s="212"/>
      <c r="D215" s="212"/>
      <c r="E215" s="212"/>
      <c r="F215" s="212"/>
      <c r="G215" s="212"/>
      <c r="H215" s="213"/>
      <c r="I215" s="213"/>
      <c r="J215" s="213"/>
      <c r="K215" s="214"/>
      <c r="L215" s="215"/>
      <c r="M215" s="215"/>
      <c r="N215" s="215"/>
      <c r="O215" s="215"/>
      <c r="P215" s="215"/>
      <c r="Q215" s="215"/>
      <c r="R215" s="216"/>
      <c r="S215" s="217"/>
      <c r="T215" s="218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65"/>
      <c r="AN215" s="222"/>
      <c r="AO215" s="222"/>
      <c r="BO215" s="222"/>
      <c r="BP215" s="222"/>
      <c r="BQ215" s="222"/>
      <c r="BR215" s="222"/>
      <c r="BS215" s="222"/>
      <c r="BT215" s="222"/>
      <c r="BU215" s="222"/>
      <c r="BV215" s="222"/>
      <c r="BW215" s="222"/>
    </row>
    <row r="216" ht="15.0" customHeight="1">
      <c r="A216" s="210"/>
      <c r="C216" s="212"/>
      <c r="D216" s="212"/>
      <c r="E216" s="212"/>
      <c r="F216" s="212"/>
      <c r="G216" s="212"/>
      <c r="H216" s="213"/>
      <c r="I216" s="213"/>
      <c r="J216" s="213"/>
      <c r="K216" s="214"/>
      <c r="L216" s="215"/>
      <c r="M216" s="215"/>
      <c r="N216" s="215"/>
      <c r="O216" s="215"/>
      <c r="P216" s="215"/>
      <c r="Q216" s="215"/>
      <c r="R216" s="216"/>
      <c r="S216" s="217"/>
      <c r="T216" s="218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65"/>
      <c r="AN216" s="222"/>
      <c r="AO216" s="222"/>
      <c r="BO216" s="222"/>
      <c r="BP216" s="222"/>
      <c r="BQ216" s="222"/>
      <c r="BR216" s="222"/>
      <c r="BS216" s="222"/>
      <c r="BT216" s="222"/>
      <c r="BU216" s="222"/>
      <c r="BV216" s="222"/>
      <c r="BW216" s="222"/>
    </row>
    <row r="217" ht="15.0" customHeight="1">
      <c r="A217" s="210"/>
      <c r="C217" s="212"/>
      <c r="D217" s="212"/>
      <c r="E217" s="212"/>
      <c r="F217" s="212"/>
      <c r="G217" s="212"/>
      <c r="H217" s="213"/>
      <c r="I217" s="213"/>
      <c r="J217" s="213"/>
      <c r="K217" s="214"/>
      <c r="L217" s="215"/>
      <c r="M217" s="215"/>
      <c r="N217" s="215"/>
      <c r="O217" s="215"/>
      <c r="P217" s="215"/>
      <c r="Q217" s="215"/>
      <c r="R217" s="216"/>
      <c r="S217" s="217"/>
      <c r="T217" s="218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65"/>
      <c r="AN217" s="222"/>
      <c r="AO217" s="222"/>
      <c r="BO217" s="222"/>
      <c r="BP217" s="222"/>
      <c r="BQ217" s="222"/>
      <c r="BR217" s="222"/>
      <c r="BS217" s="222"/>
      <c r="BT217" s="222"/>
      <c r="BU217" s="222"/>
      <c r="BV217" s="222"/>
      <c r="BW217" s="222"/>
    </row>
    <row r="218" ht="15.0" customHeight="1">
      <c r="A218" s="210"/>
      <c r="C218" s="212"/>
      <c r="D218" s="212"/>
      <c r="E218" s="212"/>
      <c r="F218" s="212"/>
      <c r="G218" s="212"/>
      <c r="H218" s="213"/>
      <c r="I218" s="213"/>
      <c r="J218" s="213"/>
      <c r="K218" s="214"/>
      <c r="L218" s="215"/>
      <c r="M218" s="215"/>
      <c r="N218" s="215"/>
      <c r="O218" s="215"/>
      <c r="P218" s="215"/>
      <c r="Q218" s="215"/>
      <c r="R218" s="216"/>
      <c r="S218" s="217"/>
      <c r="T218" s="218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65"/>
      <c r="AN218" s="222"/>
      <c r="AO218" s="222"/>
      <c r="BO218" s="222"/>
      <c r="BP218" s="222"/>
      <c r="BQ218" s="222"/>
      <c r="BR218" s="222"/>
      <c r="BS218" s="222"/>
      <c r="BT218" s="222"/>
      <c r="BU218" s="222"/>
      <c r="BV218" s="222"/>
      <c r="BW218" s="222"/>
    </row>
    <row r="219" ht="15.0" customHeight="1">
      <c r="A219" s="210"/>
      <c r="C219" s="212"/>
      <c r="D219" s="212"/>
      <c r="E219" s="212"/>
      <c r="F219" s="212"/>
      <c r="G219" s="212"/>
      <c r="H219" s="213"/>
      <c r="I219" s="213"/>
      <c r="J219" s="213"/>
      <c r="K219" s="214"/>
      <c r="L219" s="215"/>
      <c r="M219" s="215"/>
      <c r="N219" s="215"/>
      <c r="O219" s="215"/>
      <c r="P219" s="215"/>
      <c r="Q219" s="215"/>
      <c r="R219" s="216"/>
      <c r="S219" s="217"/>
      <c r="T219" s="218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65"/>
      <c r="AN219" s="222"/>
      <c r="AO219" s="222"/>
      <c r="BO219" s="222"/>
      <c r="BP219" s="222"/>
      <c r="BQ219" s="222"/>
      <c r="BR219" s="222"/>
      <c r="BS219" s="222"/>
      <c r="BT219" s="222"/>
      <c r="BU219" s="222"/>
      <c r="BV219" s="222"/>
      <c r="BW219" s="222"/>
    </row>
    <row r="220" ht="15.0" customHeight="1">
      <c r="A220" s="210"/>
      <c r="C220" s="212"/>
      <c r="D220" s="212"/>
      <c r="E220" s="212"/>
      <c r="F220" s="212"/>
      <c r="G220" s="212"/>
      <c r="H220" s="213"/>
      <c r="I220" s="213"/>
      <c r="J220" s="213"/>
      <c r="K220" s="214"/>
      <c r="L220" s="215"/>
      <c r="M220" s="215"/>
      <c r="N220" s="215"/>
      <c r="O220" s="215"/>
      <c r="P220" s="215"/>
      <c r="Q220" s="215"/>
      <c r="R220" s="216"/>
      <c r="S220" s="217"/>
      <c r="T220" s="218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65"/>
      <c r="AN220" s="222"/>
      <c r="AO220" s="222"/>
      <c r="BO220" s="222"/>
      <c r="BP220" s="222"/>
      <c r="BQ220" s="222"/>
      <c r="BR220" s="222"/>
      <c r="BS220" s="222"/>
      <c r="BT220" s="222"/>
      <c r="BU220" s="222"/>
      <c r="BV220" s="222"/>
      <c r="BW220" s="222"/>
    </row>
    <row r="221" ht="15.0" customHeight="1">
      <c r="A221" s="210"/>
      <c r="C221" s="212"/>
      <c r="D221" s="212"/>
      <c r="E221" s="212"/>
      <c r="F221" s="212"/>
      <c r="G221" s="212"/>
      <c r="H221" s="213"/>
      <c r="I221" s="213"/>
      <c r="J221" s="213"/>
      <c r="K221" s="214"/>
      <c r="L221" s="215"/>
      <c r="M221" s="215"/>
      <c r="N221" s="215"/>
      <c r="O221" s="215"/>
      <c r="P221" s="215"/>
      <c r="Q221" s="215"/>
      <c r="R221" s="216"/>
      <c r="S221" s="217"/>
      <c r="T221" s="218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65"/>
      <c r="AN221" s="222"/>
      <c r="AO221" s="222"/>
      <c r="BO221" s="222"/>
      <c r="BP221" s="222"/>
      <c r="BQ221" s="222"/>
      <c r="BR221" s="222"/>
      <c r="BS221" s="222"/>
      <c r="BT221" s="222"/>
      <c r="BU221" s="222"/>
      <c r="BV221" s="222"/>
      <c r="BW221" s="222"/>
    </row>
    <row r="222" ht="15.0" customHeight="1">
      <c r="A222" s="210"/>
      <c r="C222" s="212"/>
      <c r="D222" s="212"/>
      <c r="E222" s="212"/>
      <c r="F222" s="212"/>
      <c r="G222" s="212"/>
      <c r="H222" s="213"/>
      <c r="I222" s="213"/>
      <c r="J222" s="213"/>
      <c r="K222" s="214"/>
      <c r="L222" s="215"/>
      <c r="M222" s="215"/>
      <c r="N222" s="215"/>
      <c r="O222" s="215"/>
      <c r="P222" s="215"/>
      <c r="Q222" s="215"/>
      <c r="R222" s="216"/>
      <c r="S222" s="217"/>
      <c r="T222" s="218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65"/>
      <c r="AN222" s="222"/>
      <c r="AO222" s="222"/>
      <c r="BO222" s="222"/>
      <c r="BP222" s="222"/>
      <c r="BQ222" s="222"/>
      <c r="BR222" s="222"/>
      <c r="BS222" s="222"/>
      <c r="BT222" s="222"/>
      <c r="BU222" s="222"/>
      <c r="BV222" s="222"/>
      <c r="BW222" s="222"/>
    </row>
    <row r="223" ht="15.0" customHeight="1">
      <c r="A223" s="210"/>
      <c r="C223" s="212"/>
      <c r="D223" s="212"/>
      <c r="E223" s="212"/>
      <c r="F223" s="212"/>
      <c r="G223" s="212"/>
      <c r="H223" s="213"/>
      <c r="I223" s="213"/>
      <c r="J223" s="213"/>
      <c r="K223" s="214"/>
      <c r="L223" s="215"/>
      <c r="M223" s="215"/>
      <c r="N223" s="215"/>
      <c r="O223" s="215"/>
      <c r="P223" s="215"/>
      <c r="Q223" s="215"/>
      <c r="R223" s="216"/>
      <c r="S223" s="217"/>
      <c r="T223" s="218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65"/>
      <c r="AN223" s="222"/>
      <c r="AO223" s="222"/>
      <c r="BO223" s="222"/>
      <c r="BP223" s="222"/>
      <c r="BQ223" s="222"/>
      <c r="BR223" s="222"/>
      <c r="BS223" s="222"/>
      <c r="BT223" s="222"/>
      <c r="BU223" s="222"/>
      <c r="BV223" s="222"/>
      <c r="BW223" s="222"/>
    </row>
    <row r="224" ht="15.0" customHeight="1">
      <c r="A224" s="210"/>
      <c r="C224" s="212"/>
      <c r="D224" s="212"/>
      <c r="E224" s="212"/>
      <c r="F224" s="212"/>
      <c r="G224" s="212"/>
      <c r="H224" s="213"/>
      <c r="I224" s="213"/>
      <c r="J224" s="213"/>
      <c r="K224" s="214"/>
      <c r="L224" s="215"/>
      <c r="M224" s="215"/>
      <c r="N224" s="215"/>
      <c r="O224" s="215"/>
      <c r="P224" s="215"/>
      <c r="Q224" s="215"/>
      <c r="R224" s="216"/>
      <c r="S224" s="217"/>
      <c r="T224" s="218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65"/>
      <c r="AN224" s="222"/>
      <c r="AO224" s="222"/>
      <c r="BO224" s="222"/>
      <c r="BP224" s="222"/>
      <c r="BQ224" s="222"/>
      <c r="BR224" s="222"/>
      <c r="BS224" s="222"/>
      <c r="BT224" s="222"/>
      <c r="BU224" s="222"/>
      <c r="BV224" s="222"/>
      <c r="BW224" s="222"/>
    </row>
    <row r="225" ht="15.0" customHeight="1">
      <c r="A225" s="210"/>
      <c r="C225" s="212"/>
      <c r="D225" s="212"/>
      <c r="E225" s="212"/>
      <c r="F225" s="212"/>
      <c r="G225" s="212"/>
      <c r="H225" s="213"/>
      <c r="I225" s="213"/>
      <c r="J225" s="213"/>
      <c r="K225" s="214"/>
      <c r="L225" s="215"/>
      <c r="M225" s="215"/>
      <c r="N225" s="215"/>
      <c r="O225" s="215"/>
      <c r="P225" s="215"/>
      <c r="Q225" s="215"/>
      <c r="R225" s="216"/>
      <c r="S225" s="217"/>
      <c r="T225" s="218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65"/>
      <c r="AN225" s="222"/>
      <c r="AO225" s="222"/>
      <c r="BO225" s="222"/>
      <c r="BP225" s="222"/>
      <c r="BQ225" s="222"/>
      <c r="BR225" s="222"/>
      <c r="BS225" s="222"/>
      <c r="BT225" s="222"/>
      <c r="BU225" s="222"/>
      <c r="BV225" s="222"/>
      <c r="BW225" s="222"/>
    </row>
    <row r="226" ht="15.0" customHeight="1">
      <c r="A226" s="210"/>
      <c r="C226" s="212"/>
      <c r="D226" s="212"/>
      <c r="E226" s="212"/>
      <c r="F226" s="212"/>
      <c r="G226" s="212"/>
      <c r="H226" s="213"/>
      <c r="I226" s="213"/>
      <c r="J226" s="213"/>
      <c r="K226" s="214"/>
      <c r="L226" s="215"/>
      <c r="M226" s="215"/>
      <c r="N226" s="215"/>
      <c r="O226" s="215"/>
      <c r="P226" s="215"/>
      <c r="Q226" s="215"/>
      <c r="R226" s="216"/>
      <c r="S226" s="217"/>
      <c r="T226" s="218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65"/>
      <c r="AN226" s="222"/>
      <c r="AO226" s="222"/>
      <c r="BO226" s="222"/>
      <c r="BP226" s="222"/>
      <c r="BQ226" s="222"/>
      <c r="BR226" s="222"/>
      <c r="BS226" s="222"/>
      <c r="BT226" s="222"/>
      <c r="BU226" s="222"/>
      <c r="BV226" s="222"/>
      <c r="BW226" s="222"/>
    </row>
    <row r="227" ht="15.0" customHeight="1">
      <c r="A227" s="210"/>
      <c r="C227" s="212"/>
      <c r="D227" s="212"/>
      <c r="E227" s="212"/>
      <c r="F227" s="212"/>
      <c r="G227" s="212"/>
      <c r="H227" s="213"/>
      <c r="I227" s="213"/>
      <c r="J227" s="213"/>
      <c r="K227" s="214"/>
      <c r="L227" s="215"/>
      <c r="M227" s="215"/>
      <c r="N227" s="215"/>
      <c r="O227" s="215"/>
      <c r="P227" s="215"/>
      <c r="Q227" s="215"/>
      <c r="R227" s="216"/>
      <c r="S227" s="217"/>
      <c r="T227" s="218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65"/>
      <c r="AN227" s="222"/>
      <c r="AO227" s="222"/>
      <c r="BO227" s="222"/>
      <c r="BP227" s="222"/>
      <c r="BQ227" s="222"/>
      <c r="BR227" s="222"/>
      <c r="BS227" s="222"/>
      <c r="BT227" s="222"/>
      <c r="BU227" s="222"/>
      <c r="BV227" s="222"/>
      <c r="BW227" s="222"/>
    </row>
    <row r="228" ht="15.0" customHeight="1">
      <c r="A228" s="210"/>
      <c r="C228" s="212"/>
      <c r="D228" s="212"/>
      <c r="E228" s="212"/>
      <c r="F228" s="212"/>
      <c r="G228" s="212"/>
      <c r="H228" s="213"/>
      <c r="I228" s="213"/>
      <c r="J228" s="213"/>
      <c r="K228" s="214"/>
      <c r="L228" s="215"/>
      <c r="M228" s="215"/>
      <c r="N228" s="215"/>
      <c r="O228" s="215"/>
      <c r="P228" s="215"/>
      <c r="Q228" s="215"/>
      <c r="R228" s="216"/>
      <c r="S228" s="217"/>
      <c r="T228" s="218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65"/>
      <c r="AN228" s="222"/>
      <c r="AO228" s="222"/>
      <c r="BO228" s="222"/>
      <c r="BP228" s="222"/>
      <c r="BQ228" s="222"/>
      <c r="BR228" s="222"/>
      <c r="BS228" s="222"/>
      <c r="BT228" s="222"/>
      <c r="BU228" s="222"/>
      <c r="BV228" s="222"/>
      <c r="BW228" s="222"/>
    </row>
    <row r="229" ht="15.0" customHeight="1">
      <c r="A229" s="210"/>
      <c r="C229" s="212"/>
      <c r="D229" s="212"/>
      <c r="E229" s="212"/>
      <c r="F229" s="212"/>
      <c r="G229" s="212"/>
      <c r="H229" s="213"/>
      <c r="I229" s="213"/>
      <c r="J229" s="213"/>
      <c r="K229" s="214"/>
      <c r="L229" s="215"/>
      <c r="M229" s="215"/>
      <c r="N229" s="215"/>
      <c r="O229" s="215"/>
      <c r="P229" s="215"/>
      <c r="Q229" s="215"/>
      <c r="R229" s="216"/>
      <c r="S229" s="217"/>
      <c r="T229" s="218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65"/>
      <c r="AN229" s="222"/>
      <c r="AO229" s="222"/>
      <c r="BO229" s="222"/>
      <c r="BP229" s="222"/>
      <c r="BQ229" s="222"/>
      <c r="BR229" s="222"/>
      <c r="BS229" s="222"/>
      <c r="BT229" s="222"/>
      <c r="BU229" s="222"/>
      <c r="BV229" s="222"/>
      <c r="BW229" s="222"/>
    </row>
    <row r="230" ht="15.0" customHeight="1">
      <c r="A230" s="210"/>
      <c r="C230" s="212"/>
      <c r="D230" s="212"/>
      <c r="E230" s="212"/>
      <c r="F230" s="212"/>
      <c r="G230" s="212"/>
      <c r="H230" s="213"/>
      <c r="I230" s="213"/>
      <c r="J230" s="213"/>
      <c r="K230" s="214"/>
      <c r="L230" s="215"/>
      <c r="M230" s="215"/>
      <c r="N230" s="215"/>
      <c r="O230" s="215"/>
      <c r="P230" s="215"/>
      <c r="Q230" s="215"/>
      <c r="R230" s="216"/>
      <c r="S230" s="217"/>
      <c r="T230" s="218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65"/>
      <c r="AN230" s="222"/>
      <c r="AO230" s="222"/>
      <c r="BO230" s="222"/>
      <c r="BP230" s="222"/>
      <c r="BQ230" s="222"/>
      <c r="BR230" s="222"/>
      <c r="BS230" s="222"/>
      <c r="BT230" s="222"/>
      <c r="BU230" s="222"/>
      <c r="BV230" s="222"/>
      <c r="BW230" s="222"/>
    </row>
    <row r="231" ht="15.0" customHeight="1">
      <c r="A231" s="210"/>
      <c r="C231" s="212"/>
      <c r="D231" s="212"/>
      <c r="E231" s="212"/>
      <c r="F231" s="212"/>
      <c r="G231" s="212"/>
      <c r="H231" s="213"/>
      <c r="I231" s="213"/>
      <c r="J231" s="213"/>
      <c r="K231" s="214"/>
      <c r="L231" s="215"/>
      <c r="M231" s="215"/>
      <c r="N231" s="215"/>
      <c r="O231" s="215"/>
      <c r="P231" s="215"/>
      <c r="Q231" s="215"/>
      <c r="R231" s="216"/>
      <c r="S231" s="217"/>
      <c r="T231" s="218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65"/>
      <c r="AN231" s="222"/>
      <c r="AO231" s="222"/>
      <c r="BO231" s="222"/>
      <c r="BP231" s="222"/>
      <c r="BQ231" s="222"/>
      <c r="BR231" s="222"/>
      <c r="BS231" s="222"/>
      <c r="BT231" s="222"/>
      <c r="BU231" s="222"/>
      <c r="BV231" s="222"/>
      <c r="BW231" s="222"/>
    </row>
    <row r="232" ht="15.0" customHeight="1">
      <c r="A232" s="210"/>
      <c r="C232" s="212"/>
      <c r="D232" s="212"/>
      <c r="E232" s="212"/>
      <c r="F232" s="212"/>
      <c r="G232" s="212"/>
      <c r="H232" s="213"/>
      <c r="I232" s="213"/>
      <c r="J232" s="213"/>
      <c r="K232" s="214"/>
      <c r="L232" s="215"/>
      <c r="M232" s="215"/>
      <c r="N232" s="215"/>
      <c r="O232" s="215"/>
      <c r="P232" s="215"/>
      <c r="Q232" s="215"/>
      <c r="R232" s="216"/>
      <c r="S232" s="217"/>
      <c r="T232" s="218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65"/>
      <c r="AN232" s="222"/>
      <c r="AO232" s="222"/>
      <c r="BO232" s="222"/>
      <c r="BP232" s="222"/>
      <c r="BQ232" s="222"/>
      <c r="BR232" s="222"/>
      <c r="BS232" s="222"/>
      <c r="BT232" s="222"/>
      <c r="BU232" s="222"/>
      <c r="BV232" s="222"/>
      <c r="BW232" s="222"/>
    </row>
    <row r="233" ht="15.0" customHeight="1">
      <c r="A233" s="210"/>
      <c r="C233" s="212"/>
      <c r="D233" s="212"/>
      <c r="E233" s="212"/>
      <c r="F233" s="212"/>
      <c r="G233" s="212"/>
      <c r="H233" s="213"/>
      <c r="I233" s="213"/>
      <c r="J233" s="213"/>
      <c r="K233" s="214"/>
      <c r="L233" s="215"/>
      <c r="M233" s="215"/>
      <c r="N233" s="215"/>
      <c r="O233" s="215"/>
      <c r="P233" s="215"/>
      <c r="Q233" s="215"/>
      <c r="R233" s="216"/>
      <c r="S233" s="217"/>
      <c r="T233" s="218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65"/>
      <c r="AN233" s="222"/>
      <c r="AO233" s="222"/>
      <c r="BO233" s="222"/>
      <c r="BP233" s="222"/>
      <c r="BQ233" s="222"/>
      <c r="BR233" s="222"/>
      <c r="BS233" s="222"/>
      <c r="BT233" s="222"/>
      <c r="BU233" s="222"/>
      <c r="BV233" s="222"/>
      <c r="BW233" s="222"/>
    </row>
    <row r="234" ht="15.0" customHeight="1">
      <c r="A234" s="210"/>
      <c r="C234" s="212"/>
      <c r="D234" s="212"/>
      <c r="E234" s="212"/>
      <c r="F234" s="212"/>
      <c r="G234" s="212"/>
      <c r="H234" s="213"/>
      <c r="I234" s="213"/>
      <c r="J234" s="213"/>
      <c r="K234" s="214"/>
      <c r="L234" s="215"/>
      <c r="M234" s="215"/>
      <c r="N234" s="215"/>
      <c r="O234" s="215"/>
      <c r="P234" s="215"/>
      <c r="Q234" s="215"/>
      <c r="R234" s="216"/>
      <c r="S234" s="217"/>
      <c r="T234" s="218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65"/>
      <c r="AN234" s="222"/>
      <c r="AO234" s="222"/>
      <c r="BO234" s="222"/>
      <c r="BP234" s="222"/>
      <c r="BQ234" s="222"/>
      <c r="BR234" s="222"/>
      <c r="BS234" s="222"/>
      <c r="BT234" s="222"/>
      <c r="BU234" s="222"/>
      <c r="BV234" s="222"/>
      <c r="BW234" s="222"/>
    </row>
    <row r="235" ht="15.0" customHeight="1">
      <c r="A235" s="210"/>
      <c r="C235" s="212"/>
      <c r="D235" s="212"/>
      <c r="E235" s="212"/>
      <c r="F235" s="212"/>
      <c r="G235" s="212"/>
      <c r="H235" s="213"/>
      <c r="I235" s="213"/>
      <c r="J235" s="213"/>
      <c r="K235" s="214"/>
      <c r="L235" s="215"/>
      <c r="M235" s="215"/>
      <c r="N235" s="215"/>
      <c r="O235" s="215"/>
      <c r="P235" s="215"/>
      <c r="Q235" s="215"/>
      <c r="R235" s="216"/>
      <c r="S235" s="217"/>
      <c r="T235" s="218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65"/>
      <c r="AN235" s="222"/>
      <c r="AO235" s="222"/>
      <c r="BO235" s="222"/>
      <c r="BP235" s="222"/>
      <c r="BQ235" s="222"/>
      <c r="BR235" s="222"/>
      <c r="BS235" s="222"/>
      <c r="BT235" s="222"/>
      <c r="BU235" s="222"/>
      <c r="BV235" s="222"/>
      <c r="BW235" s="222"/>
    </row>
    <row r="236" ht="15.0" customHeight="1">
      <c r="A236" s="210"/>
      <c r="C236" s="212"/>
      <c r="D236" s="212"/>
      <c r="E236" s="212"/>
      <c r="F236" s="212"/>
      <c r="G236" s="212"/>
      <c r="H236" s="213"/>
      <c r="I236" s="213"/>
      <c r="J236" s="213"/>
      <c r="K236" s="214"/>
      <c r="L236" s="215"/>
      <c r="M236" s="215"/>
      <c r="N236" s="215"/>
      <c r="O236" s="215"/>
      <c r="P236" s="215"/>
      <c r="Q236" s="215"/>
      <c r="R236" s="216"/>
      <c r="S236" s="217"/>
      <c r="T236" s="218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65"/>
      <c r="AN236" s="222"/>
      <c r="AO236" s="222"/>
      <c r="BO236" s="222"/>
      <c r="BP236" s="222"/>
      <c r="BQ236" s="222"/>
      <c r="BR236" s="222"/>
      <c r="BS236" s="222"/>
      <c r="BT236" s="222"/>
      <c r="BU236" s="222"/>
      <c r="BV236" s="222"/>
      <c r="BW236" s="222"/>
    </row>
    <row r="237" ht="15.0" customHeight="1">
      <c r="A237" s="210"/>
      <c r="C237" s="212"/>
      <c r="D237" s="212"/>
      <c r="E237" s="212"/>
      <c r="F237" s="212"/>
      <c r="G237" s="212"/>
      <c r="H237" s="213"/>
      <c r="I237" s="213"/>
      <c r="J237" s="213"/>
      <c r="K237" s="214"/>
      <c r="L237" s="215"/>
      <c r="M237" s="215"/>
      <c r="N237" s="215"/>
      <c r="O237" s="215"/>
      <c r="P237" s="215"/>
      <c r="Q237" s="215"/>
      <c r="R237" s="216"/>
      <c r="S237" s="217"/>
      <c r="T237" s="218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65"/>
      <c r="AN237" s="222"/>
      <c r="AO237" s="222"/>
      <c r="BO237" s="222"/>
      <c r="BP237" s="222"/>
      <c r="BQ237" s="222"/>
      <c r="BR237" s="222"/>
      <c r="BS237" s="222"/>
      <c r="BT237" s="222"/>
      <c r="BU237" s="222"/>
      <c r="BV237" s="222"/>
      <c r="BW237" s="222"/>
    </row>
    <row r="238" ht="15.0" customHeight="1">
      <c r="A238" s="210"/>
      <c r="C238" s="212"/>
      <c r="D238" s="212"/>
      <c r="E238" s="212"/>
      <c r="F238" s="212"/>
      <c r="G238" s="212"/>
      <c r="H238" s="213"/>
      <c r="I238" s="213"/>
      <c r="J238" s="213"/>
      <c r="K238" s="214"/>
      <c r="L238" s="215"/>
      <c r="M238" s="215"/>
      <c r="N238" s="215"/>
      <c r="O238" s="215"/>
      <c r="P238" s="215"/>
      <c r="Q238" s="215"/>
      <c r="R238" s="216"/>
      <c r="S238" s="217"/>
      <c r="T238" s="218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65"/>
      <c r="AN238" s="222"/>
      <c r="AO238" s="222"/>
      <c r="BO238" s="222"/>
      <c r="BP238" s="222"/>
      <c r="BQ238" s="222"/>
      <c r="BR238" s="222"/>
      <c r="BS238" s="222"/>
      <c r="BT238" s="222"/>
      <c r="BU238" s="222"/>
      <c r="BV238" s="222"/>
      <c r="BW238" s="222"/>
    </row>
    <row r="239" ht="15.75" customHeight="1">
      <c r="A239" s="210"/>
      <c r="C239" s="212"/>
      <c r="D239" s="212"/>
      <c r="E239" s="212"/>
      <c r="F239" s="212"/>
      <c r="G239" s="212"/>
      <c r="H239" s="213"/>
      <c r="I239" s="213"/>
      <c r="J239" s="213"/>
      <c r="K239" s="214"/>
      <c r="L239" s="215"/>
      <c r="M239" s="215"/>
      <c r="N239" s="215"/>
      <c r="O239" s="215"/>
      <c r="P239" s="215"/>
      <c r="Q239" s="215"/>
      <c r="R239" s="216"/>
      <c r="S239" s="217"/>
      <c r="T239" s="218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65"/>
      <c r="AN239" s="222"/>
      <c r="AO239" s="222"/>
      <c r="BO239" s="222"/>
      <c r="BP239" s="222"/>
      <c r="BQ239" s="222"/>
      <c r="BR239" s="222"/>
      <c r="BS239" s="222"/>
      <c r="BT239" s="222"/>
      <c r="BU239" s="222"/>
      <c r="BV239" s="222"/>
      <c r="BW239" s="222"/>
    </row>
    <row r="240" ht="15.75" customHeight="1">
      <c r="A240" s="210"/>
      <c r="C240" s="212"/>
      <c r="D240" s="212"/>
      <c r="E240" s="212"/>
      <c r="F240" s="212"/>
      <c r="G240" s="212"/>
      <c r="H240" s="213"/>
      <c r="I240" s="213"/>
      <c r="J240" s="213"/>
      <c r="K240" s="214"/>
      <c r="L240" s="215"/>
      <c r="M240" s="215"/>
      <c r="N240" s="215"/>
      <c r="O240" s="215"/>
      <c r="P240" s="215"/>
      <c r="Q240" s="215"/>
      <c r="R240" s="216"/>
      <c r="S240" s="217"/>
      <c r="T240" s="218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65"/>
      <c r="AN240" s="222"/>
      <c r="AO240" s="222"/>
      <c r="BO240" s="222"/>
      <c r="BP240" s="222"/>
      <c r="BQ240" s="222"/>
      <c r="BR240" s="222"/>
      <c r="BS240" s="222"/>
      <c r="BT240" s="222"/>
      <c r="BU240" s="222"/>
      <c r="BV240" s="222"/>
      <c r="BW240" s="222"/>
    </row>
    <row r="241" ht="15.75" customHeight="1">
      <c r="A241" s="210"/>
      <c r="C241" s="212"/>
      <c r="D241" s="212"/>
      <c r="E241" s="212"/>
      <c r="F241" s="212"/>
      <c r="G241" s="212"/>
      <c r="H241" s="213"/>
      <c r="I241" s="213"/>
      <c r="J241" s="213"/>
      <c r="K241" s="214"/>
      <c r="L241" s="215"/>
      <c r="M241" s="215"/>
      <c r="N241" s="215"/>
      <c r="O241" s="215"/>
      <c r="P241" s="215"/>
      <c r="Q241" s="215"/>
      <c r="R241" s="216"/>
      <c r="S241" s="217"/>
      <c r="T241" s="218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65"/>
      <c r="AN241" s="222"/>
      <c r="AO241" s="222"/>
      <c r="BO241" s="222"/>
      <c r="BP241" s="222"/>
      <c r="BQ241" s="222"/>
      <c r="BR241" s="222"/>
      <c r="BS241" s="222"/>
      <c r="BT241" s="222"/>
      <c r="BU241" s="222"/>
      <c r="BV241" s="222"/>
      <c r="BW241" s="222"/>
    </row>
    <row r="242" ht="15.75" customHeight="1">
      <c r="A242" s="210"/>
      <c r="C242" s="212"/>
      <c r="D242" s="212"/>
      <c r="E242" s="212"/>
      <c r="F242" s="212"/>
      <c r="G242" s="212"/>
      <c r="H242" s="213"/>
      <c r="I242" s="213"/>
      <c r="J242" s="213"/>
      <c r="K242" s="214"/>
      <c r="L242" s="215"/>
      <c r="M242" s="215"/>
      <c r="N242" s="215"/>
      <c r="O242" s="215"/>
      <c r="P242" s="215"/>
      <c r="Q242" s="215"/>
      <c r="R242" s="216"/>
      <c r="S242" s="217"/>
      <c r="T242" s="218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65"/>
      <c r="AN242" s="222"/>
      <c r="AO242" s="222"/>
      <c r="BO242" s="222"/>
      <c r="BP242" s="222"/>
      <c r="BQ242" s="222"/>
      <c r="BR242" s="222"/>
      <c r="BS242" s="222"/>
      <c r="BT242" s="222"/>
      <c r="BU242" s="222"/>
      <c r="BV242" s="222"/>
      <c r="BW242" s="222"/>
    </row>
    <row r="243" ht="15.75" customHeight="1">
      <c r="A243" s="278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65"/>
      <c r="AN243" s="222"/>
      <c r="AO243" s="222"/>
      <c r="BO243" s="222"/>
      <c r="BP243" s="222"/>
      <c r="BQ243" s="222"/>
      <c r="BR243" s="222"/>
      <c r="BS243" s="222"/>
      <c r="BT243" s="222"/>
      <c r="BU243" s="222"/>
      <c r="BV243" s="222"/>
      <c r="BW243" s="222"/>
    </row>
    <row r="244" ht="15.75" customHeight="1">
      <c r="A244" s="278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65"/>
      <c r="AN244" s="222"/>
      <c r="AO244" s="222"/>
      <c r="BO244" s="222"/>
      <c r="BP244" s="222"/>
      <c r="BQ244" s="222"/>
      <c r="BR244" s="222"/>
      <c r="BS244" s="222"/>
      <c r="BT244" s="222"/>
      <c r="BU244" s="222"/>
      <c r="BV244" s="222"/>
      <c r="BW244" s="222"/>
    </row>
    <row r="245" ht="15.75" customHeight="1">
      <c r="BO245" s="222"/>
      <c r="BP245" s="222"/>
      <c r="BQ245" s="222"/>
      <c r="BR245" s="222"/>
      <c r="BS245" s="222"/>
      <c r="BT245" s="222"/>
      <c r="BU245" s="222"/>
      <c r="BV245" s="222"/>
      <c r="BW245" s="222"/>
    </row>
    <row r="246" ht="15.75" customHeight="1">
      <c r="BO246" s="222"/>
      <c r="BP246" s="222"/>
      <c r="BQ246" s="222"/>
      <c r="BR246" s="222"/>
      <c r="BS246" s="222"/>
      <c r="BT246" s="222"/>
      <c r="BU246" s="222"/>
      <c r="BV246" s="222"/>
      <c r="BW246" s="222"/>
    </row>
    <row r="247" ht="15.75" customHeight="1">
      <c r="BO247" s="222"/>
      <c r="BP247" s="222"/>
      <c r="BQ247" s="222"/>
      <c r="BR247" s="222"/>
      <c r="BS247" s="222"/>
      <c r="BT247" s="222"/>
      <c r="BU247" s="222"/>
      <c r="BV247" s="222"/>
      <c r="BW247" s="22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N39:BN40 BO9:BV41 BW9:BW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N10:BN38 BO9:BW39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11" width="12.86"/>
    <col customWidth="1" min="12" max="13" width="2.57"/>
    <col customWidth="1" min="14" max="14" width="6.14"/>
    <col customWidth="1" min="15" max="16" width="2.57"/>
    <col customWidth="1" min="17" max="17" width="4.71"/>
    <col customWidth="1" min="18" max="19" width="8.43"/>
    <col customWidth="1" min="20" max="23" width="11.29"/>
    <col customWidth="1" min="24" max="25" width="8.43"/>
    <col customWidth="1" min="26" max="29" width="10.71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79"/>
      <c r="B1" s="211"/>
      <c r="C1" s="212"/>
      <c r="D1" s="212"/>
      <c r="E1" s="212"/>
      <c r="F1" s="212"/>
      <c r="G1" s="212"/>
      <c r="H1" s="213"/>
      <c r="I1" s="213"/>
      <c r="J1" s="213"/>
      <c r="K1" s="214"/>
      <c r="L1" s="222"/>
      <c r="M1" s="222"/>
      <c r="N1" s="215"/>
      <c r="O1" s="215"/>
      <c r="P1" s="215"/>
      <c r="Q1" s="215"/>
      <c r="R1" s="216"/>
      <c r="S1" s="217"/>
      <c r="T1" s="218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20"/>
      <c r="AK1" s="211"/>
      <c r="AL1" s="211"/>
      <c r="AM1" s="211"/>
      <c r="AN1" s="211"/>
      <c r="AO1" s="219"/>
      <c r="AP1" s="211"/>
      <c r="AQ1" s="211"/>
      <c r="AR1" s="211"/>
      <c r="AS1" s="221" t="s">
        <v>0</v>
      </c>
      <c r="AT1" s="211"/>
      <c r="AU1" s="211"/>
      <c r="AV1" s="211"/>
      <c r="AW1" s="211"/>
      <c r="AX1" s="211" t="s">
        <v>1</v>
      </c>
      <c r="AY1" s="211" t="s">
        <v>2</v>
      </c>
      <c r="BB1" s="211"/>
      <c r="BO1" s="222"/>
      <c r="BP1" s="222"/>
      <c r="BQ1" s="222"/>
      <c r="BR1" s="222"/>
      <c r="BS1" s="222"/>
      <c r="BT1" s="222"/>
      <c r="BU1" s="222"/>
      <c r="BV1" s="222"/>
      <c r="BW1" s="222"/>
    </row>
    <row r="2" ht="17.25" customHeight="1">
      <c r="A2" s="223" t="s">
        <v>3</v>
      </c>
      <c r="B2" s="221"/>
      <c r="C2" s="221"/>
      <c r="D2" s="221"/>
      <c r="E2" s="212"/>
      <c r="F2" s="212"/>
      <c r="G2" s="212"/>
      <c r="H2" s="213"/>
      <c r="I2" s="213"/>
      <c r="J2" s="213"/>
      <c r="K2" s="224"/>
      <c r="L2" s="222"/>
      <c r="M2" s="222"/>
      <c r="N2" s="215"/>
      <c r="O2" s="215"/>
      <c r="P2" s="215"/>
      <c r="Q2" s="215"/>
      <c r="R2" s="216"/>
      <c r="S2" s="225"/>
      <c r="T2" s="219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20"/>
      <c r="AK2" s="211"/>
      <c r="AL2" s="211"/>
      <c r="AM2" s="211"/>
      <c r="AN2" s="211"/>
      <c r="AO2" s="219"/>
      <c r="AP2" s="211"/>
      <c r="AQ2" s="211"/>
      <c r="AR2" s="211"/>
      <c r="AS2" s="226" t="str">
        <f>'LUCERO RECOLETA'!AS2</f>
        <v/>
      </c>
      <c r="AT2" s="211"/>
      <c r="AU2" s="227"/>
      <c r="AV2" s="227"/>
      <c r="AW2" s="228"/>
      <c r="AX2" s="228" t="str">
        <f>'LUCERO RECOLETA'!AX2</f>
        <v/>
      </c>
      <c r="AY2" s="228" t="str">
        <f>'LUCERO RECOLETA'!AY2</f>
        <v/>
      </c>
      <c r="AZ2" s="227" t="str">
        <f>'LUCERO RECOLETA'!AZ2</f>
        <v/>
      </c>
      <c r="BA2" s="227" t="str">
        <f>'LUCERO RECOLETA'!BA2</f>
        <v/>
      </c>
      <c r="BB2" s="227" t="str">
        <f>'LUCERO RECOLETA'!BB2</f>
        <v/>
      </c>
      <c r="BC2" s="227" t="str">
        <f>'LUCERO RECOLETA'!BC2</f>
        <v/>
      </c>
      <c r="BD2" s="227" t="str">
        <f>'LUCERO RECOLETA'!BD2</f>
        <v/>
      </c>
      <c r="BE2" s="227" t="str">
        <f>'LUCERO RECOLETA'!BE2</f>
        <v/>
      </c>
      <c r="BF2" s="227" t="str">
        <f>'LUCERO RECOLETA'!BF2</f>
        <v/>
      </c>
      <c r="BG2" s="227" t="str">
        <f>'LUCERO RECOLETA'!BG2</f>
        <v/>
      </c>
      <c r="BH2" s="227" t="str">
        <f>'LUCERO RECOLETA'!BH2</f>
        <v/>
      </c>
      <c r="BI2" s="227" t="str">
        <f>'LUCERO RECOLETA'!BI2</f>
        <v/>
      </c>
      <c r="BJ2" s="227" t="str">
        <f>'LUCERO RECOLETA'!BJ2</f>
        <v/>
      </c>
      <c r="BO2" s="222"/>
      <c r="BP2" s="222"/>
      <c r="BQ2" s="222"/>
      <c r="BR2" s="222"/>
      <c r="BS2" s="222"/>
      <c r="BT2" s="222"/>
      <c r="BU2" s="222"/>
      <c r="BV2" s="222"/>
      <c r="BW2" s="222"/>
    </row>
    <row r="3" ht="15.75" customHeight="1">
      <c r="A3" s="12" t="s">
        <v>89</v>
      </c>
      <c r="B3" s="221"/>
      <c r="C3" s="221"/>
      <c r="D3" s="221"/>
      <c r="E3" s="221"/>
      <c r="F3" s="212"/>
      <c r="G3" s="212"/>
      <c r="H3" s="213"/>
      <c r="I3" s="213"/>
      <c r="J3" s="213"/>
      <c r="K3" s="224"/>
      <c r="L3" s="222"/>
      <c r="M3" s="222"/>
      <c r="N3" s="215"/>
      <c r="O3" s="215"/>
      <c r="P3" s="215"/>
      <c r="Q3" s="215"/>
      <c r="R3" s="216"/>
      <c r="S3" s="225"/>
      <c r="T3" s="219"/>
      <c r="U3" s="211"/>
      <c r="V3" s="211"/>
      <c r="W3" s="211"/>
      <c r="X3" s="211"/>
      <c r="Y3" s="211"/>
      <c r="Z3" s="211"/>
      <c r="AA3" s="211"/>
      <c r="AB3" s="211"/>
      <c r="AC3" s="211"/>
      <c r="AD3" s="280"/>
      <c r="AE3" s="211"/>
      <c r="AF3" s="227"/>
      <c r="AG3" s="227"/>
      <c r="AH3" s="228"/>
      <c r="AI3" s="228"/>
      <c r="AJ3" s="229"/>
      <c r="AK3" s="218"/>
      <c r="AL3" s="215"/>
      <c r="AM3" s="215"/>
      <c r="AN3" s="215"/>
      <c r="AO3" s="219"/>
      <c r="AP3" s="211"/>
      <c r="AQ3" s="211"/>
      <c r="AR3" s="211"/>
      <c r="AS3" s="226" t="str">
        <f>'LUCERO RECOLETA'!AS3</f>
        <v/>
      </c>
      <c r="AT3" s="228"/>
      <c r="AU3" s="228"/>
      <c r="AV3" s="228"/>
      <c r="AW3" s="228"/>
      <c r="AX3" s="228" t="str">
        <f>'LUCERO RECOLETA'!AX3</f>
        <v/>
      </c>
      <c r="AY3" s="228" t="str">
        <f>'LUCERO RECOLETA'!AY3</f>
        <v/>
      </c>
      <c r="AZ3" s="227" t="str">
        <f>'LUCERO RECOLETA'!AZ3</f>
        <v/>
      </c>
      <c r="BA3" s="227" t="str">
        <f>'LUCERO RECOLETA'!BA3</f>
        <v/>
      </c>
      <c r="BB3" s="227" t="str">
        <f>'LUCERO RECOLETA'!BB3</f>
        <v/>
      </c>
      <c r="BC3" s="227" t="str">
        <f>'LUCERO RECOLETA'!BC3</f>
        <v/>
      </c>
      <c r="BD3" s="227" t="str">
        <f>'LUCERO RECOLETA'!BD3</f>
        <v/>
      </c>
      <c r="BE3" s="227" t="str">
        <f>'LUCERO RECOLETA'!BE3</f>
        <v/>
      </c>
      <c r="BF3" s="227" t="str">
        <f>'LUCERO RECOLETA'!BF3</f>
        <v/>
      </c>
      <c r="BG3" s="227" t="str">
        <f>'LUCERO RECOLETA'!BG3</f>
        <v/>
      </c>
      <c r="BH3" s="227" t="str">
        <f>'LUCERO RECOLETA'!BH3</f>
        <v/>
      </c>
      <c r="BI3" s="227" t="str">
        <f>'LUCERO RECOLETA'!BI3</f>
        <v/>
      </c>
      <c r="BJ3" s="227" t="str">
        <f>'LUCERO RECOLETA'!BJ3</f>
        <v/>
      </c>
      <c r="BN3" s="238"/>
      <c r="BO3" s="222"/>
      <c r="BP3" s="222"/>
      <c r="BQ3" s="222"/>
      <c r="BR3" s="222"/>
      <c r="BS3" s="222"/>
      <c r="BT3" s="222"/>
      <c r="BU3" s="222"/>
      <c r="BV3" s="222"/>
      <c r="BW3" s="222"/>
    </row>
    <row r="4" ht="15.75" customHeight="1">
      <c r="A4" s="281"/>
      <c r="B4" s="219"/>
      <c r="C4" s="231"/>
      <c r="D4" s="231"/>
      <c r="E4" s="212"/>
      <c r="F4" s="212"/>
      <c r="G4" s="212"/>
      <c r="H4" s="213"/>
      <c r="I4" s="213"/>
      <c r="J4" s="213"/>
      <c r="K4" s="214"/>
      <c r="L4" s="282"/>
      <c r="M4" s="282"/>
      <c r="N4" s="214"/>
      <c r="O4" s="214"/>
      <c r="P4" s="214"/>
      <c r="Q4" s="283"/>
      <c r="R4" s="217"/>
      <c r="S4" s="217"/>
      <c r="T4" s="214"/>
      <c r="U4" s="214"/>
      <c r="V4" s="214"/>
      <c r="W4" s="214"/>
      <c r="X4" s="214"/>
      <c r="Y4" s="214"/>
      <c r="Z4" s="214"/>
      <c r="AA4" s="228"/>
      <c r="AB4" s="228"/>
      <c r="AC4" s="228"/>
      <c r="AE4" s="228"/>
      <c r="AF4" s="228"/>
      <c r="AG4" s="228"/>
      <c r="AH4" s="228"/>
      <c r="AI4" s="228"/>
      <c r="AJ4" s="229"/>
      <c r="AK4" s="218"/>
      <c r="AL4" s="215"/>
      <c r="AM4" s="215"/>
      <c r="AN4" s="215"/>
      <c r="AO4" s="215"/>
      <c r="AP4" s="228"/>
      <c r="AQ4" s="228"/>
      <c r="AR4" s="228"/>
      <c r="AS4" s="226" t="str">
        <f>'LUCERO RECOLETA'!AS4</f>
        <v/>
      </c>
      <c r="AT4" s="232"/>
      <c r="AU4" s="232"/>
      <c r="AV4" s="232"/>
      <c r="AW4" s="232"/>
      <c r="AX4" s="228" t="str">
        <f>'LUCERO RECOLETA'!AX4</f>
        <v/>
      </c>
      <c r="AY4" s="228" t="str">
        <f>'LUCERO RECOLETA'!AY4</f>
        <v/>
      </c>
      <c r="AZ4" s="227" t="str">
        <f>'LUCERO RECOLETA'!AZ4</f>
        <v/>
      </c>
      <c r="BA4" s="227" t="str">
        <f>'LUCERO RECOLETA'!BA4</f>
        <v/>
      </c>
      <c r="BB4" s="227" t="str">
        <f>'LUCERO RECOLETA'!BB4</f>
        <v/>
      </c>
      <c r="BC4" s="227" t="str">
        <f>'LUCERO RECOLETA'!BC4</f>
        <v/>
      </c>
      <c r="BD4" s="227" t="str">
        <f>'LUCERO RECOLETA'!BD4</f>
        <v/>
      </c>
      <c r="BE4" s="227" t="str">
        <f>'LUCERO RECOLETA'!BE4</f>
        <v/>
      </c>
      <c r="BF4" s="227" t="str">
        <f>'LUCERO RECOLETA'!BF4</f>
        <v/>
      </c>
      <c r="BG4" s="227" t="str">
        <f>'LUCERO RECOLETA'!BG4</f>
        <v/>
      </c>
      <c r="BH4" s="227" t="str">
        <f>'LUCERO RECOLETA'!BH4</f>
        <v/>
      </c>
      <c r="BI4" s="227" t="str">
        <f>'LUCERO RECOLETA'!BI4</f>
        <v/>
      </c>
      <c r="BJ4" s="227" t="str">
        <f>'LUCERO RECOLETA'!BJ4</f>
        <v/>
      </c>
      <c r="BN4" s="238"/>
      <c r="BO4" s="222"/>
      <c r="BP4" s="222"/>
      <c r="BQ4" s="222"/>
      <c r="BR4" s="222"/>
      <c r="BS4" s="222"/>
      <c r="BT4" s="222"/>
      <c r="BU4" s="222"/>
      <c r="BV4" s="222"/>
      <c r="BW4" s="222"/>
    </row>
    <row r="5" ht="15.75" customHeight="1">
      <c r="A5" s="234" t="s">
        <v>6</v>
      </c>
      <c r="B5" s="234"/>
      <c r="C5" s="234"/>
      <c r="D5" s="234"/>
      <c r="E5" s="234" t="s">
        <v>90</v>
      </c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84"/>
      <c r="R5" s="235"/>
      <c r="S5" s="235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6"/>
      <c r="AK5" s="232"/>
      <c r="AL5" s="232"/>
      <c r="AM5" s="232"/>
      <c r="AN5" s="232"/>
      <c r="AO5" s="232"/>
      <c r="AP5" s="232"/>
      <c r="AQ5" s="228"/>
      <c r="AR5" s="232"/>
      <c r="AS5" s="226" t="str">
        <f>'LUCERO RECOLETA'!AS5</f>
        <v/>
      </c>
      <c r="AT5" s="232"/>
      <c r="AU5" s="232"/>
      <c r="AV5" s="232"/>
      <c r="AW5" s="232"/>
      <c r="AX5" s="228" t="str">
        <f>'LUCERO RECOLETA'!AX5</f>
        <v/>
      </c>
      <c r="AY5" s="228" t="str">
        <f>'LUCERO RECOLETA'!AY5</f>
        <v/>
      </c>
      <c r="AZ5" s="227" t="str">
        <f>'LUCERO RECOLETA'!AZ5</f>
        <v/>
      </c>
      <c r="BA5" s="227" t="str">
        <f>'LUCERO RECOLETA'!BA5</f>
        <v/>
      </c>
      <c r="BB5" s="227" t="str">
        <f>'LUCERO RECOLETA'!BB5</f>
        <v/>
      </c>
      <c r="BC5" s="227" t="str">
        <f>'LUCERO RECOLETA'!BC5</f>
        <v/>
      </c>
      <c r="BD5" s="227" t="str">
        <f>'LUCERO RECOLETA'!BD5</f>
        <v/>
      </c>
      <c r="BE5" s="227" t="str">
        <f>'LUCERO RECOLETA'!BE5</f>
        <v/>
      </c>
      <c r="BF5" s="227" t="str">
        <f>'LUCERO RECOLETA'!BF5</f>
        <v/>
      </c>
      <c r="BG5" s="227" t="str">
        <f>'LUCERO RECOLETA'!BG5</f>
        <v/>
      </c>
      <c r="BH5" s="227" t="str">
        <f>'LUCERO RECOLETA'!BH5</f>
        <v/>
      </c>
      <c r="BI5" s="227" t="str">
        <f>'LUCERO RECOLETA'!BI5</f>
        <v/>
      </c>
      <c r="BJ5" s="227" t="str">
        <f>'LUCERO RECOLETA'!BJ5</f>
        <v/>
      </c>
      <c r="BN5" s="238"/>
      <c r="BO5" s="222"/>
      <c r="BP5" s="222"/>
      <c r="BQ5" s="222"/>
      <c r="BR5" s="222"/>
      <c r="BS5" s="222"/>
      <c r="BT5" s="222"/>
      <c r="BU5" s="222"/>
      <c r="BV5" s="222"/>
      <c r="BW5" s="222"/>
    </row>
    <row r="6" ht="14.25" customHeight="1">
      <c r="A6" s="279"/>
      <c r="B6" s="211"/>
      <c r="C6" s="212"/>
      <c r="D6" s="212"/>
      <c r="E6" s="212"/>
      <c r="F6" s="212"/>
      <c r="G6" s="212"/>
      <c r="H6" s="213"/>
      <c r="I6" s="213"/>
      <c r="J6" s="213"/>
      <c r="K6" s="214"/>
      <c r="L6" s="282"/>
      <c r="M6" s="282"/>
      <c r="N6" s="214"/>
      <c r="O6" s="214"/>
      <c r="P6" s="214"/>
      <c r="Q6" s="283"/>
      <c r="R6" s="217"/>
      <c r="S6" s="217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29"/>
      <c r="AK6" s="218"/>
      <c r="AL6" s="215"/>
      <c r="AM6" s="215"/>
      <c r="AN6" s="215"/>
      <c r="AO6" s="215"/>
      <c r="AP6" s="215"/>
      <c r="AQ6" s="215"/>
      <c r="AR6" s="215"/>
      <c r="AS6" s="226"/>
      <c r="AT6" s="232"/>
      <c r="AU6" s="232"/>
      <c r="AV6" s="232"/>
      <c r="AW6" s="232"/>
      <c r="AX6" s="237"/>
      <c r="AY6" s="237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N6" s="238"/>
      <c r="BO6" s="222"/>
      <c r="BP6" s="222"/>
      <c r="BQ6" s="222"/>
      <c r="BR6" s="222"/>
      <c r="BS6" s="222"/>
      <c r="BT6" s="222"/>
      <c r="BU6" s="222"/>
      <c r="BV6" s="222"/>
      <c r="BW6" s="222"/>
    </row>
    <row r="7" ht="18.75" customHeight="1">
      <c r="A7" s="158" t="str">
        <f>'LUCERO RECOLETA'!A7</f>
        <v>ABRIL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22"/>
      <c r="BP7" s="222"/>
      <c r="BQ7" s="222"/>
      <c r="BR7" s="222"/>
      <c r="BS7" s="222"/>
      <c r="BT7" s="222"/>
      <c r="BU7" s="222"/>
      <c r="BV7" s="222"/>
      <c r="BW7" s="222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39" t="str">
        <f>AQ8</f>
        <v>$ Efectivo</v>
      </c>
      <c r="BP8" s="239" t="str">
        <f t="shared" ref="BP8:BR8" si="1">AU8</f>
        <v>TARJETA DEBITO</v>
      </c>
      <c r="BQ8" s="239" t="str">
        <f t="shared" si="1"/>
        <v>TARJETA CREDITO</v>
      </c>
      <c r="BR8" s="239" t="str">
        <f t="shared" si="1"/>
        <v>Mercado Pago / TF</v>
      </c>
      <c r="BS8" s="239" t="str">
        <f>AY8</f>
        <v>Real</v>
      </c>
      <c r="BT8" s="239" t="s">
        <v>51</v>
      </c>
      <c r="BU8" s="239" t="s">
        <v>52</v>
      </c>
      <c r="BV8" s="239" t="s">
        <v>49</v>
      </c>
      <c r="BW8" s="239" t="s">
        <v>53</v>
      </c>
    </row>
    <row r="9" ht="15.75" customHeight="1">
      <c r="A9" s="168">
        <f>'LUCERO RECOLETA'!A9</f>
        <v>46143</v>
      </c>
      <c r="B9" s="162"/>
      <c r="C9" s="176">
        <v>0.0</v>
      </c>
      <c r="D9" s="167">
        <v>324.0</v>
      </c>
      <c r="E9" s="165">
        <f t="shared" ref="E9:E40" si="2">IF(C9="","",C9+D9-1)</f>
        <v>323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6"/>
      <c r="Q9" s="83">
        <f t="shared" ref="Q9:Q39" si="5">N9+O9+P9</f>
        <v>0</v>
      </c>
      <c r="R9" s="167"/>
      <c r="S9" s="167"/>
      <c r="T9" s="79"/>
      <c r="U9" s="80">
        <f t="shared" ref="U9:U10" si="6">T9*21%</f>
        <v>0</v>
      </c>
      <c r="V9" s="166"/>
      <c r="W9" s="82">
        <f t="shared" ref="W9:W39" si="7">T9+U9+V9</f>
        <v>0</v>
      </c>
      <c r="X9" s="167"/>
      <c r="Y9" s="167"/>
      <c r="Z9" s="79"/>
      <c r="AA9" s="80">
        <f t="shared" ref="AA9:AA20" si="8">Z9*21%</f>
        <v>0</v>
      </c>
      <c r="AB9" s="166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/>
      <c r="AT9" s="90">
        <f t="shared" ref="AT9:AT15" si="16">SUM(AU9:AV9)</f>
        <v>0</v>
      </c>
      <c r="AU9" s="75"/>
      <c r="AV9" s="75"/>
      <c r="AW9" s="90">
        <v>0.0</v>
      </c>
      <c r="AX9" s="91"/>
      <c r="AY9" s="75"/>
      <c r="AZ9" s="90">
        <f t="shared" ref="AZ9:AZ33" si="17">AY9*AZ$2</f>
        <v>0</v>
      </c>
      <c r="BA9" s="75"/>
      <c r="BB9" s="90">
        <f t="shared" ref="BB9:BB10" si="18">BA9*BB$2</f>
        <v>0</v>
      </c>
      <c r="BC9" s="75"/>
      <c r="BD9" s="90">
        <f t="shared" ref="BD9:BD11" si="19">BC9*BD$2</f>
        <v>0</v>
      </c>
      <c r="BE9" s="75"/>
      <c r="BF9" s="90">
        <f t="shared" ref="BF9:BF11" si="20">BE9*BF$2</f>
        <v>0</v>
      </c>
      <c r="BG9" s="75"/>
      <c r="BH9" s="90">
        <f t="shared" ref="BH9:BH33" si="21">BG9*BH$2</f>
        <v>0</v>
      </c>
      <c r="BI9" s="75"/>
      <c r="BJ9" s="90">
        <f t="shared" ref="BJ9:BJ33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O9" s="240">
        <f t="shared" ref="BO9:BO38" si="26">IF(AQ9+AR9=0,0,(AQ9+AR9)/AD9)</f>
        <v>0</v>
      </c>
      <c r="BP9" s="240">
        <f t="shared" ref="BP9:BP38" si="27">IF(AU9=0,0,AU9/AD9)</f>
        <v>0</v>
      </c>
      <c r="BQ9" s="240">
        <f t="shared" ref="BQ9:BQ38" si="28">IF(AV9=0,0,AV9/AD9)</f>
        <v>0</v>
      </c>
      <c r="BR9" s="240">
        <f t="shared" ref="BR9:BR38" si="29">IF(AW9=0,0,AW9/AD9)</f>
        <v>0</v>
      </c>
      <c r="BS9" s="240">
        <f t="shared" ref="BS9:BS38" si="30">IF(AZ9=0,0,AZ9/AD9)</f>
        <v>0</v>
      </c>
      <c r="BT9" s="240">
        <f t="shared" ref="BT9:BT38" si="31">IF(BB9+BD9+BF9=0,0,(BB9+BD9+BF9)/AD9)</f>
        <v>0</v>
      </c>
      <c r="BU9" s="240">
        <f t="shared" ref="BU9:BU38" si="32">IF(BJ9=0,0,BJ9/AD9)</f>
        <v>0</v>
      </c>
      <c r="BV9" s="240">
        <f t="shared" ref="BV9:BV38" si="33">SUM(BO9:BU9)</f>
        <v>0</v>
      </c>
      <c r="BW9" s="240">
        <f t="shared" ref="BW9:BW39" si="34">AD9/$AD$41</f>
        <v>0</v>
      </c>
    </row>
    <row r="10" ht="15.75" customHeight="1">
      <c r="A10" s="168">
        <f>'LUCERO RECOLETA'!A10</f>
        <v>46144</v>
      </c>
      <c r="B10" s="162"/>
      <c r="C10" s="163">
        <v>0.0</v>
      </c>
      <c r="D10" s="165">
        <f t="shared" ref="D10:D39" si="35">E9+1</f>
        <v>324</v>
      </c>
      <c r="E10" s="165">
        <f t="shared" si="2"/>
        <v>323</v>
      </c>
      <c r="F10" s="73"/>
      <c r="G10" s="74"/>
      <c r="H10" s="75"/>
      <c r="I10" s="75"/>
      <c r="J10" s="76"/>
      <c r="K10" s="83">
        <f t="shared" si="3"/>
        <v>0</v>
      </c>
      <c r="L10" s="78"/>
      <c r="M10" s="78"/>
      <c r="N10" s="79"/>
      <c r="O10" s="80">
        <f t="shared" si="4"/>
        <v>0</v>
      </c>
      <c r="P10" s="166"/>
      <c r="Q10" s="83">
        <f t="shared" si="5"/>
        <v>0</v>
      </c>
      <c r="R10" s="165"/>
      <c r="S10" s="165"/>
      <c r="T10" s="79"/>
      <c r="U10" s="80">
        <f t="shared" si="6"/>
        <v>0</v>
      </c>
      <c r="V10" s="166"/>
      <c r="W10" s="82">
        <f t="shared" si="7"/>
        <v>0</v>
      </c>
      <c r="X10" s="165"/>
      <c r="Y10" s="165"/>
      <c r="Z10" s="79"/>
      <c r="AA10" s="80">
        <f t="shared" si="8"/>
        <v>0</v>
      </c>
      <c r="AB10" s="166"/>
      <c r="AC10" s="81">
        <f t="shared" si="9"/>
        <v>0</v>
      </c>
      <c r="AD10" s="84">
        <f t="shared" si="10"/>
        <v>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0</v>
      </c>
      <c r="AQ10" s="98"/>
      <c r="AR10" s="88"/>
      <c r="AS10" s="89"/>
      <c r="AT10" s="90">
        <f t="shared" si="16"/>
        <v>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0</v>
      </c>
      <c r="BL10" s="93">
        <f t="shared" si="24"/>
        <v>0</v>
      </c>
      <c r="BM10" s="94">
        <f t="shared" si="25"/>
        <v>0</v>
      </c>
      <c r="BO10" s="240">
        <f t="shared" si="26"/>
        <v>0</v>
      </c>
      <c r="BP10" s="240">
        <f t="shared" si="27"/>
        <v>0</v>
      </c>
      <c r="BQ10" s="240">
        <f t="shared" si="28"/>
        <v>0</v>
      </c>
      <c r="BR10" s="240">
        <f t="shared" si="29"/>
        <v>0</v>
      </c>
      <c r="BS10" s="240">
        <f t="shared" si="30"/>
        <v>0</v>
      </c>
      <c r="BT10" s="240">
        <f t="shared" si="31"/>
        <v>0</v>
      </c>
      <c r="BU10" s="240">
        <f t="shared" si="32"/>
        <v>0</v>
      </c>
      <c r="BV10" s="240">
        <f t="shared" si="33"/>
        <v>0</v>
      </c>
      <c r="BW10" s="240">
        <f t="shared" si="34"/>
        <v>0</v>
      </c>
    </row>
    <row r="11" ht="15.75" customHeight="1">
      <c r="A11" s="168">
        <f>'LUCERO RECOLETA'!A11</f>
        <v>46145</v>
      </c>
      <c r="B11" s="162"/>
      <c r="C11" s="163">
        <v>0.0</v>
      </c>
      <c r="D11" s="165">
        <f t="shared" si="35"/>
        <v>324</v>
      </c>
      <c r="E11" s="165">
        <f t="shared" si="2"/>
        <v>323</v>
      </c>
      <c r="F11" s="73"/>
      <c r="G11" s="74"/>
      <c r="H11" s="75"/>
      <c r="I11" s="75"/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6"/>
      <c r="Q11" s="83">
        <f t="shared" si="5"/>
        <v>0</v>
      </c>
      <c r="R11" s="165"/>
      <c r="S11" s="165"/>
      <c r="T11" s="79"/>
      <c r="U11" s="80"/>
      <c r="V11" s="166"/>
      <c r="W11" s="82">
        <f t="shared" si="7"/>
        <v>0</v>
      </c>
      <c r="X11" s="165"/>
      <c r="Y11" s="165"/>
      <c r="Z11" s="79"/>
      <c r="AA11" s="80">
        <f t="shared" si="8"/>
        <v>0</v>
      </c>
      <c r="AB11" s="166"/>
      <c r="AC11" s="81">
        <f t="shared" si="9"/>
        <v>0</v>
      </c>
      <c r="AD11" s="84">
        <f t="shared" si="10"/>
        <v>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0</v>
      </c>
      <c r="AQ11" s="98"/>
      <c r="AR11" s="88"/>
      <c r="AS11" s="89"/>
      <c r="AT11" s="90">
        <f t="shared" si="16"/>
        <v>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>BA11*1495</f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0</v>
      </c>
      <c r="BL11" s="93">
        <f t="shared" si="24"/>
        <v>0</v>
      </c>
      <c r="BM11" s="94">
        <f t="shared" si="25"/>
        <v>0</v>
      </c>
      <c r="BO11" s="240">
        <f t="shared" si="26"/>
        <v>0</v>
      </c>
      <c r="BP11" s="240">
        <f t="shared" si="27"/>
        <v>0</v>
      </c>
      <c r="BQ11" s="240">
        <f t="shared" si="28"/>
        <v>0</v>
      </c>
      <c r="BR11" s="240">
        <f t="shared" si="29"/>
        <v>0</v>
      </c>
      <c r="BS11" s="240">
        <f t="shared" si="30"/>
        <v>0</v>
      </c>
      <c r="BT11" s="240">
        <f t="shared" si="31"/>
        <v>0</v>
      </c>
      <c r="BU11" s="240">
        <f t="shared" si="32"/>
        <v>0</v>
      </c>
      <c r="BV11" s="240">
        <f t="shared" si="33"/>
        <v>0</v>
      </c>
      <c r="BW11" s="240">
        <f t="shared" si="34"/>
        <v>0</v>
      </c>
    </row>
    <row r="12" ht="15.75" customHeight="1">
      <c r="A12" s="168">
        <f>'LUCERO RECOLETA'!A12</f>
        <v>46146</v>
      </c>
      <c r="B12" s="162"/>
      <c r="C12" s="163">
        <v>1.0</v>
      </c>
      <c r="D12" s="165">
        <f t="shared" si="35"/>
        <v>324</v>
      </c>
      <c r="E12" s="165">
        <f t="shared" si="2"/>
        <v>324</v>
      </c>
      <c r="F12" s="73"/>
      <c r="G12" s="74"/>
      <c r="H12" s="169">
        <v>57024.79</v>
      </c>
      <c r="I12" s="169">
        <v>11975.21</v>
      </c>
      <c r="J12" s="76"/>
      <c r="K12" s="83">
        <f t="shared" si="3"/>
        <v>69000</v>
      </c>
      <c r="L12" s="78"/>
      <c r="M12" s="78"/>
      <c r="N12" s="79"/>
      <c r="O12" s="80">
        <f t="shared" si="4"/>
        <v>0</v>
      </c>
      <c r="P12" s="166"/>
      <c r="Q12" s="83">
        <f t="shared" si="5"/>
        <v>0</v>
      </c>
      <c r="R12" s="165"/>
      <c r="S12" s="165"/>
      <c r="T12" s="79"/>
      <c r="U12" s="80">
        <f t="shared" ref="U12:U40" si="37">T12*21%</f>
        <v>0</v>
      </c>
      <c r="V12" s="166"/>
      <c r="W12" s="82">
        <f t="shared" si="7"/>
        <v>0</v>
      </c>
      <c r="X12" s="165"/>
      <c r="Y12" s="165"/>
      <c r="Z12" s="79"/>
      <c r="AA12" s="80">
        <f t="shared" si="8"/>
        <v>0</v>
      </c>
      <c r="AB12" s="166"/>
      <c r="AC12" s="81">
        <f t="shared" si="9"/>
        <v>0</v>
      </c>
      <c r="AD12" s="84">
        <f t="shared" si="10"/>
        <v>69000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-69000</v>
      </c>
      <c r="AQ12" s="170">
        <v>0.0</v>
      </c>
      <c r="AR12" s="88"/>
      <c r="AS12" s="89"/>
      <c r="AT12" s="90">
        <f t="shared" si="16"/>
        <v>69000</v>
      </c>
      <c r="AU12" s="75"/>
      <c r="AV12" s="169">
        <v>69000.0</v>
      </c>
      <c r="AW12" s="187"/>
      <c r="AX12" s="88"/>
      <c r="AY12" s="75"/>
      <c r="AZ12" s="90">
        <f t="shared" si="17"/>
        <v>0</v>
      </c>
      <c r="BA12" s="75"/>
      <c r="BB12" s="90">
        <f t="shared" ref="BB12:BB33" si="38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69000</v>
      </c>
      <c r="BL12" s="93">
        <f t="shared" si="24"/>
        <v>69000</v>
      </c>
      <c r="BM12" s="94">
        <f t="shared" si="25"/>
        <v>0</v>
      </c>
      <c r="BO12" s="240">
        <f t="shared" si="26"/>
        <v>0</v>
      </c>
      <c r="BP12" s="240">
        <f t="shared" si="27"/>
        <v>0</v>
      </c>
      <c r="BQ12" s="240">
        <f t="shared" si="28"/>
        <v>1</v>
      </c>
      <c r="BR12" s="240">
        <f t="shared" si="29"/>
        <v>0</v>
      </c>
      <c r="BS12" s="240">
        <f t="shared" si="30"/>
        <v>0</v>
      </c>
      <c r="BT12" s="240">
        <f t="shared" si="31"/>
        <v>0</v>
      </c>
      <c r="BU12" s="240">
        <f t="shared" si="32"/>
        <v>0</v>
      </c>
      <c r="BV12" s="240">
        <f t="shared" si="33"/>
        <v>1</v>
      </c>
      <c r="BW12" s="240">
        <f t="shared" si="34"/>
        <v>0.009675058261</v>
      </c>
    </row>
    <row r="13" ht="15.75" customHeight="1">
      <c r="A13" s="168">
        <f>'LUCERO RECOLETA'!A13</f>
        <v>46147</v>
      </c>
      <c r="B13" s="162"/>
      <c r="C13" s="163">
        <v>2.0</v>
      </c>
      <c r="D13" s="165">
        <f t="shared" si="35"/>
        <v>325</v>
      </c>
      <c r="E13" s="165">
        <f t="shared" si="2"/>
        <v>326</v>
      </c>
      <c r="F13" s="73"/>
      <c r="G13" s="74"/>
      <c r="H13" s="169">
        <v>142727.27</v>
      </c>
      <c r="I13" s="169">
        <v>29972.73</v>
      </c>
      <c r="J13" s="76"/>
      <c r="K13" s="83">
        <f t="shared" si="3"/>
        <v>172700</v>
      </c>
      <c r="L13" s="78"/>
      <c r="M13" s="78"/>
      <c r="N13" s="79"/>
      <c r="O13" s="80">
        <f t="shared" si="4"/>
        <v>0</v>
      </c>
      <c r="P13" s="166"/>
      <c r="Q13" s="83">
        <f t="shared" si="5"/>
        <v>0</v>
      </c>
      <c r="R13" s="165"/>
      <c r="S13" s="165"/>
      <c r="T13" s="79"/>
      <c r="U13" s="80">
        <f t="shared" si="37"/>
        <v>0</v>
      </c>
      <c r="V13" s="166"/>
      <c r="W13" s="82">
        <f t="shared" si="7"/>
        <v>0</v>
      </c>
      <c r="X13" s="165"/>
      <c r="Y13" s="165"/>
      <c r="Z13" s="79"/>
      <c r="AA13" s="80">
        <f t="shared" si="8"/>
        <v>0</v>
      </c>
      <c r="AB13" s="166"/>
      <c r="AC13" s="81">
        <f t="shared" si="9"/>
        <v>0</v>
      </c>
      <c r="AD13" s="84">
        <f t="shared" si="10"/>
        <v>172700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-178000</v>
      </c>
      <c r="AQ13" s="170">
        <v>60000.0</v>
      </c>
      <c r="AR13" s="96"/>
      <c r="AS13" s="90"/>
      <c r="AT13" s="90">
        <f t="shared" si="16"/>
        <v>118000</v>
      </c>
      <c r="AU13" s="169">
        <v>118000.0</v>
      </c>
      <c r="AV13" s="75"/>
      <c r="AW13" s="187"/>
      <c r="AX13" s="88"/>
      <c r="AY13" s="75"/>
      <c r="AZ13" s="90">
        <f t="shared" si="17"/>
        <v>0</v>
      </c>
      <c r="BA13" s="75"/>
      <c r="BB13" s="90">
        <f t="shared" si="38"/>
        <v>0</v>
      </c>
      <c r="BC13" s="75"/>
      <c r="BD13" s="90">
        <f>BC13*BD$2</f>
        <v>0</v>
      </c>
      <c r="BE13" s="75"/>
      <c r="BF13" s="90">
        <f t="shared" ref="BF13:BF33" si="39">BE13*BF$2</f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178000</v>
      </c>
      <c r="BL13" s="93">
        <f t="shared" si="24"/>
        <v>172700</v>
      </c>
      <c r="BM13" s="94">
        <f t="shared" si="25"/>
        <v>5300</v>
      </c>
      <c r="BO13" s="240">
        <f t="shared" si="26"/>
        <v>0.3474232774</v>
      </c>
      <c r="BP13" s="240">
        <f t="shared" si="27"/>
        <v>0.6832657788</v>
      </c>
      <c r="BQ13" s="240">
        <f t="shared" si="28"/>
        <v>0</v>
      </c>
      <c r="BR13" s="240">
        <f t="shared" si="29"/>
        <v>0</v>
      </c>
      <c r="BS13" s="240">
        <f t="shared" si="30"/>
        <v>0</v>
      </c>
      <c r="BT13" s="240">
        <f t="shared" si="31"/>
        <v>0</v>
      </c>
      <c r="BU13" s="240">
        <f t="shared" si="32"/>
        <v>0</v>
      </c>
      <c r="BV13" s="240">
        <f t="shared" si="33"/>
        <v>1.030689056</v>
      </c>
      <c r="BW13" s="240">
        <f t="shared" si="34"/>
        <v>0.0242156893</v>
      </c>
    </row>
    <row r="14" ht="15.75" customHeight="1">
      <c r="A14" s="168">
        <f>'LUCERO RECOLETA'!A14</f>
        <v>46148</v>
      </c>
      <c r="B14" s="162"/>
      <c r="C14" s="163">
        <v>3.0</v>
      </c>
      <c r="D14" s="165">
        <f t="shared" si="35"/>
        <v>327</v>
      </c>
      <c r="E14" s="165">
        <f t="shared" si="2"/>
        <v>329</v>
      </c>
      <c r="F14" s="73"/>
      <c r="G14" s="74"/>
      <c r="H14" s="169">
        <v>222950.42</v>
      </c>
      <c r="I14" s="169">
        <v>46819.58</v>
      </c>
      <c r="J14" s="76"/>
      <c r="K14" s="83">
        <f t="shared" si="3"/>
        <v>269770</v>
      </c>
      <c r="L14" s="78"/>
      <c r="M14" s="78"/>
      <c r="N14" s="79"/>
      <c r="O14" s="80">
        <f t="shared" si="4"/>
        <v>0</v>
      </c>
      <c r="P14" s="166"/>
      <c r="Q14" s="83">
        <f t="shared" si="5"/>
        <v>0</v>
      </c>
      <c r="R14" s="165"/>
      <c r="S14" s="165"/>
      <c r="T14" s="79"/>
      <c r="U14" s="80">
        <f t="shared" si="37"/>
        <v>0</v>
      </c>
      <c r="V14" s="166"/>
      <c r="W14" s="82">
        <f t="shared" si="7"/>
        <v>0</v>
      </c>
      <c r="X14" s="165"/>
      <c r="Y14" s="165"/>
      <c r="Z14" s="79"/>
      <c r="AA14" s="80">
        <f t="shared" si="8"/>
        <v>0</v>
      </c>
      <c r="AB14" s="166"/>
      <c r="AC14" s="81">
        <f t="shared" si="9"/>
        <v>0</v>
      </c>
      <c r="AD14" s="84">
        <f t="shared" si="10"/>
        <v>269770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-269770</v>
      </c>
      <c r="AQ14" s="170">
        <v>0.0</v>
      </c>
      <c r="AR14" s="96"/>
      <c r="AS14" s="90"/>
      <c r="AT14" s="90">
        <f t="shared" si="16"/>
        <v>269770</v>
      </c>
      <c r="AU14" s="169">
        <v>89800.0</v>
      </c>
      <c r="AV14" s="169">
        <v>179970.0</v>
      </c>
      <c r="AW14" s="187"/>
      <c r="AX14" s="88"/>
      <c r="AY14" s="75"/>
      <c r="AZ14" s="90">
        <f t="shared" si="17"/>
        <v>0</v>
      </c>
      <c r="BA14" s="75"/>
      <c r="BB14" s="90">
        <f t="shared" si="38"/>
        <v>0</v>
      </c>
      <c r="BC14" s="75"/>
      <c r="BD14" s="90">
        <f>BC14*1495</f>
        <v>0</v>
      </c>
      <c r="BE14" s="75"/>
      <c r="BF14" s="90">
        <f t="shared" si="39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269770</v>
      </c>
      <c r="BL14" s="93">
        <f t="shared" si="24"/>
        <v>269770</v>
      </c>
      <c r="BM14" s="94">
        <f t="shared" si="25"/>
        <v>0</v>
      </c>
      <c r="BO14" s="240">
        <f t="shared" si="26"/>
        <v>0</v>
      </c>
      <c r="BP14" s="240">
        <f t="shared" si="27"/>
        <v>0.3328761538</v>
      </c>
      <c r="BQ14" s="240">
        <f t="shared" si="28"/>
        <v>0.6671238462</v>
      </c>
      <c r="BR14" s="240">
        <f t="shared" si="29"/>
        <v>0</v>
      </c>
      <c r="BS14" s="240">
        <f t="shared" si="30"/>
        <v>0</v>
      </c>
      <c r="BT14" s="240">
        <f t="shared" si="31"/>
        <v>0</v>
      </c>
      <c r="BU14" s="240">
        <f t="shared" si="32"/>
        <v>0</v>
      </c>
      <c r="BV14" s="240">
        <f t="shared" si="33"/>
        <v>1</v>
      </c>
      <c r="BW14" s="240">
        <f t="shared" si="34"/>
        <v>0.03782667343</v>
      </c>
    </row>
    <row r="15" ht="15.75" customHeight="1">
      <c r="A15" s="168">
        <f>'LUCERO RECOLETA'!A15</f>
        <v>46149</v>
      </c>
      <c r="B15" s="162"/>
      <c r="C15" s="163">
        <v>4.0</v>
      </c>
      <c r="D15" s="165">
        <f t="shared" si="35"/>
        <v>330</v>
      </c>
      <c r="E15" s="165">
        <f t="shared" si="2"/>
        <v>333</v>
      </c>
      <c r="F15" s="73"/>
      <c r="G15" s="74"/>
      <c r="H15" s="169">
        <v>235363.63</v>
      </c>
      <c r="I15" s="169">
        <v>49426.37</v>
      </c>
      <c r="J15" s="76"/>
      <c r="K15" s="83">
        <f t="shared" si="3"/>
        <v>284790</v>
      </c>
      <c r="L15" s="78"/>
      <c r="M15" s="78"/>
      <c r="N15" s="79"/>
      <c r="O15" s="80">
        <f t="shared" si="4"/>
        <v>0</v>
      </c>
      <c r="P15" s="166"/>
      <c r="Q15" s="83">
        <f t="shared" si="5"/>
        <v>0</v>
      </c>
      <c r="R15" s="165"/>
      <c r="S15" s="165"/>
      <c r="T15" s="79"/>
      <c r="U15" s="80">
        <f t="shared" si="37"/>
        <v>0</v>
      </c>
      <c r="V15" s="166"/>
      <c r="W15" s="82">
        <f t="shared" si="7"/>
        <v>0</v>
      </c>
      <c r="X15" s="165"/>
      <c r="Y15" s="165"/>
      <c r="Z15" s="79"/>
      <c r="AA15" s="80">
        <f t="shared" si="8"/>
        <v>0</v>
      </c>
      <c r="AB15" s="166"/>
      <c r="AC15" s="81">
        <f t="shared" si="9"/>
        <v>0</v>
      </c>
      <c r="AD15" s="84">
        <f t="shared" si="10"/>
        <v>284790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-284790</v>
      </c>
      <c r="AQ15" s="170">
        <v>0.0</v>
      </c>
      <c r="AR15" s="96"/>
      <c r="AS15" s="90"/>
      <c r="AT15" s="90">
        <f t="shared" si="16"/>
        <v>284790</v>
      </c>
      <c r="AU15" s="169">
        <v>108000.0</v>
      </c>
      <c r="AV15" s="169">
        <v>176790.0</v>
      </c>
      <c r="AW15" s="187"/>
      <c r="AX15" s="88"/>
      <c r="AY15" s="75"/>
      <c r="AZ15" s="90">
        <f t="shared" si="17"/>
        <v>0</v>
      </c>
      <c r="BA15" s="75"/>
      <c r="BB15" s="90">
        <f t="shared" si="38"/>
        <v>0</v>
      </c>
      <c r="BC15" s="75"/>
      <c r="BD15" s="90">
        <f t="shared" ref="BD15:BD33" si="40">BC15*BD$2</f>
        <v>0</v>
      </c>
      <c r="BE15" s="75"/>
      <c r="BF15" s="90">
        <f t="shared" si="39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284790</v>
      </c>
      <c r="BL15" s="93">
        <f t="shared" si="24"/>
        <v>284790</v>
      </c>
      <c r="BM15" s="94">
        <f t="shared" si="25"/>
        <v>0</v>
      </c>
      <c r="BO15" s="240">
        <f t="shared" si="26"/>
        <v>0</v>
      </c>
      <c r="BP15" s="240">
        <f t="shared" si="27"/>
        <v>0.3792267987</v>
      </c>
      <c r="BQ15" s="240">
        <f t="shared" si="28"/>
        <v>0.6207732013</v>
      </c>
      <c r="BR15" s="240">
        <f t="shared" si="29"/>
        <v>0</v>
      </c>
      <c r="BS15" s="240">
        <f t="shared" si="30"/>
        <v>0</v>
      </c>
      <c r="BT15" s="240">
        <f t="shared" si="31"/>
        <v>0</v>
      </c>
      <c r="BU15" s="240">
        <f t="shared" si="32"/>
        <v>0</v>
      </c>
      <c r="BV15" s="240">
        <f t="shared" si="33"/>
        <v>1</v>
      </c>
      <c r="BW15" s="240">
        <f t="shared" si="34"/>
        <v>0.03993275133</v>
      </c>
    </row>
    <row r="16" ht="15.75" customHeight="1">
      <c r="A16" s="168">
        <f>'LUCERO RECOLETA'!A16</f>
        <v>46150</v>
      </c>
      <c r="B16" s="162"/>
      <c r="C16" s="163">
        <v>2.0</v>
      </c>
      <c r="D16" s="165">
        <f t="shared" si="35"/>
        <v>334</v>
      </c>
      <c r="E16" s="165">
        <f t="shared" si="2"/>
        <v>335</v>
      </c>
      <c r="F16" s="73"/>
      <c r="G16" s="74"/>
      <c r="H16" s="169">
        <v>253719.01</v>
      </c>
      <c r="I16" s="169">
        <v>53280.99</v>
      </c>
      <c r="J16" s="76"/>
      <c r="K16" s="83">
        <f t="shared" si="3"/>
        <v>307000</v>
      </c>
      <c r="L16" s="78"/>
      <c r="M16" s="78"/>
      <c r="N16" s="79"/>
      <c r="O16" s="80">
        <f t="shared" si="4"/>
        <v>0</v>
      </c>
      <c r="P16" s="166"/>
      <c r="Q16" s="83">
        <f t="shared" si="5"/>
        <v>0</v>
      </c>
      <c r="R16" s="165"/>
      <c r="S16" s="165"/>
      <c r="T16" s="79"/>
      <c r="U16" s="80">
        <f t="shared" si="37"/>
        <v>0</v>
      </c>
      <c r="V16" s="166"/>
      <c r="W16" s="82">
        <f t="shared" si="7"/>
        <v>0</v>
      </c>
      <c r="X16" s="165"/>
      <c r="Y16" s="165"/>
      <c r="Z16" s="79"/>
      <c r="AA16" s="80">
        <f t="shared" si="8"/>
        <v>0</v>
      </c>
      <c r="AB16" s="166"/>
      <c r="AC16" s="81">
        <f t="shared" si="9"/>
        <v>0</v>
      </c>
      <c r="AD16" s="84">
        <f t="shared" si="10"/>
        <v>307000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-307000</v>
      </c>
      <c r="AQ16" s="170">
        <v>0.0</v>
      </c>
      <c r="AR16" s="96"/>
      <c r="AS16" s="90"/>
      <c r="AT16" s="187">
        <v>307000.0</v>
      </c>
      <c r="AU16" s="75"/>
      <c r="AV16" s="75"/>
      <c r="AW16" s="187"/>
      <c r="AX16" s="88"/>
      <c r="AY16" s="75"/>
      <c r="AZ16" s="90">
        <f t="shared" si="17"/>
        <v>0</v>
      </c>
      <c r="BA16" s="75"/>
      <c r="BB16" s="90">
        <f t="shared" si="38"/>
        <v>0</v>
      </c>
      <c r="BC16" s="75"/>
      <c r="BD16" s="90">
        <f t="shared" si="40"/>
        <v>0</v>
      </c>
      <c r="BE16" s="75"/>
      <c r="BF16" s="90">
        <f t="shared" si="39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307000</v>
      </c>
      <c r="BL16" s="93">
        <f t="shared" si="24"/>
        <v>307000</v>
      </c>
      <c r="BM16" s="94">
        <f t="shared" si="25"/>
        <v>0</v>
      </c>
      <c r="BN16" s="222"/>
      <c r="BO16" s="240">
        <f t="shared" si="26"/>
        <v>0</v>
      </c>
      <c r="BP16" s="240">
        <f t="shared" si="27"/>
        <v>0</v>
      </c>
      <c r="BQ16" s="240">
        <f t="shared" si="28"/>
        <v>0</v>
      </c>
      <c r="BR16" s="240">
        <f t="shared" si="29"/>
        <v>0</v>
      </c>
      <c r="BS16" s="240">
        <f t="shared" si="30"/>
        <v>0</v>
      </c>
      <c r="BT16" s="240">
        <f t="shared" si="31"/>
        <v>0</v>
      </c>
      <c r="BU16" s="240">
        <f t="shared" si="32"/>
        <v>0</v>
      </c>
      <c r="BV16" s="240">
        <f t="shared" si="33"/>
        <v>0</v>
      </c>
      <c r="BW16" s="240">
        <f t="shared" si="34"/>
        <v>0.04304699835</v>
      </c>
    </row>
    <row r="17" ht="15.75" customHeight="1">
      <c r="A17" s="168">
        <f>'LUCERO RECOLETA'!A17</f>
        <v>46151</v>
      </c>
      <c r="B17" s="162"/>
      <c r="C17" s="176">
        <v>0.0</v>
      </c>
      <c r="D17" s="165">
        <f t="shared" si="35"/>
        <v>336</v>
      </c>
      <c r="E17" s="165">
        <f t="shared" si="2"/>
        <v>335</v>
      </c>
      <c r="F17" s="73"/>
      <c r="G17" s="74"/>
      <c r="H17" s="75"/>
      <c r="I17" s="75"/>
      <c r="J17" s="76"/>
      <c r="K17" s="83">
        <f t="shared" si="3"/>
        <v>0</v>
      </c>
      <c r="L17" s="78"/>
      <c r="M17" s="78"/>
      <c r="N17" s="79"/>
      <c r="O17" s="80">
        <f t="shared" si="4"/>
        <v>0</v>
      </c>
      <c r="P17" s="166"/>
      <c r="Q17" s="83">
        <f t="shared" si="5"/>
        <v>0</v>
      </c>
      <c r="R17" s="165"/>
      <c r="S17" s="165"/>
      <c r="T17" s="79"/>
      <c r="U17" s="80">
        <f t="shared" si="37"/>
        <v>0</v>
      </c>
      <c r="V17" s="166"/>
      <c r="W17" s="82">
        <f t="shared" si="7"/>
        <v>0</v>
      </c>
      <c r="X17" s="165"/>
      <c r="Y17" s="165"/>
      <c r="Z17" s="79"/>
      <c r="AA17" s="80">
        <f t="shared" si="8"/>
        <v>0</v>
      </c>
      <c r="AB17" s="166"/>
      <c r="AC17" s="81">
        <f t="shared" si="9"/>
        <v>0</v>
      </c>
      <c r="AD17" s="84">
        <f t="shared" si="10"/>
        <v>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0</v>
      </c>
      <c r="AQ17" s="98"/>
      <c r="AR17" s="96"/>
      <c r="AS17" s="90"/>
      <c r="AT17" s="90">
        <f t="shared" ref="AT17:AT34" si="41">SUM(AU17:AV17)</f>
        <v>0</v>
      </c>
      <c r="AU17" s="75"/>
      <c r="AV17" s="75"/>
      <c r="AW17" s="90"/>
      <c r="AX17" s="88"/>
      <c r="AY17" s="75"/>
      <c r="AZ17" s="90">
        <f t="shared" si="17"/>
        <v>0</v>
      </c>
      <c r="BA17" s="75"/>
      <c r="BB17" s="90">
        <f t="shared" si="38"/>
        <v>0</v>
      </c>
      <c r="BC17" s="75"/>
      <c r="BD17" s="90">
        <f t="shared" si="40"/>
        <v>0</v>
      </c>
      <c r="BE17" s="75"/>
      <c r="BF17" s="90">
        <f t="shared" si="39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0</v>
      </c>
      <c r="BL17" s="93">
        <f t="shared" si="24"/>
        <v>0</v>
      </c>
      <c r="BM17" s="94">
        <f t="shared" si="25"/>
        <v>0</v>
      </c>
      <c r="BO17" s="240">
        <f t="shared" si="26"/>
        <v>0</v>
      </c>
      <c r="BP17" s="240">
        <f t="shared" si="27"/>
        <v>0</v>
      </c>
      <c r="BQ17" s="240">
        <f t="shared" si="28"/>
        <v>0</v>
      </c>
      <c r="BR17" s="240">
        <f t="shared" si="29"/>
        <v>0</v>
      </c>
      <c r="BS17" s="240">
        <f t="shared" si="30"/>
        <v>0</v>
      </c>
      <c r="BT17" s="240">
        <f t="shared" si="31"/>
        <v>0</v>
      </c>
      <c r="BU17" s="240">
        <f t="shared" si="32"/>
        <v>0</v>
      </c>
      <c r="BV17" s="240">
        <f t="shared" si="33"/>
        <v>0</v>
      </c>
      <c r="BW17" s="240">
        <f t="shared" si="34"/>
        <v>0</v>
      </c>
    </row>
    <row r="18" ht="15.75" customHeight="1">
      <c r="A18" s="168">
        <f>'LUCERO RECOLETA'!A18</f>
        <v>46152</v>
      </c>
      <c r="B18" s="162"/>
      <c r="C18" s="163">
        <v>0.0</v>
      </c>
      <c r="D18" s="165">
        <f t="shared" si="35"/>
        <v>336</v>
      </c>
      <c r="E18" s="165">
        <f t="shared" si="2"/>
        <v>335</v>
      </c>
      <c r="F18" s="73"/>
      <c r="G18" s="74"/>
      <c r="H18" s="75"/>
      <c r="I18" s="75"/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5"/>
      <c r="S18" s="165"/>
      <c r="T18" s="79"/>
      <c r="U18" s="80">
        <f t="shared" si="37"/>
        <v>0</v>
      </c>
      <c r="V18" s="166"/>
      <c r="W18" s="82">
        <f t="shared" si="7"/>
        <v>0</v>
      </c>
      <c r="X18" s="165"/>
      <c r="Y18" s="165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98"/>
      <c r="AR18" s="96"/>
      <c r="AS18" s="90"/>
      <c r="AT18" s="90">
        <f t="shared" si="41"/>
        <v>0</v>
      </c>
      <c r="AU18" s="75"/>
      <c r="AV18" s="75"/>
      <c r="AW18" s="90"/>
      <c r="AX18" s="88"/>
      <c r="AY18" s="75"/>
      <c r="AZ18" s="90">
        <f t="shared" si="17"/>
        <v>0</v>
      </c>
      <c r="BA18" s="75"/>
      <c r="BB18" s="90">
        <f t="shared" si="38"/>
        <v>0</v>
      </c>
      <c r="BC18" s="75"/>
      <c r="BD18" s="90">
        <f t="shared" si="40"/>
        <v>0</v>
      </c>
      <c r="BE18" s="75"/>
      <c r="BF18" s="90">
        <f t="shared" si="39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0</v>
      </c>
      <c r="BL18" s="93">
        <f t="shared" si="24"/>
        <v>0</v>
      </c>
      <c r="BM18" s="94">
        <f t="shared" si="25"/>
        <v>0</v>
      </c>
      <c r="BN18" s="222"/>
      <c r="BO18" s="240">
        <f t="shared" si="26"/>
        <v>0</v>
      </c>
      <c r="BP18" s="240">
        <f t="shared" si="27"/>
        <v>0</v>
      </c>
      <c r="BQ18" s="240">
        <f t="shared" si="28"/>
        <v>0</v>
      </c>
      <c r="BR18" s="240">
        <f t="shared" si="29"/>
        <v>0</v>
      </c>
      <c r="BS18" s="240">
        <f t="shared" si="30"/>
        <v>0</v>
      </c>
      <c r="BT18" s="240">
        <f t="shared" si="31"/>
        <v>0</v>
      </c>
      <c r="BU18" s="240">
        <f t="shared" si="32"/>
        <v>0</v>
      </c>
      <c r="BV18" s="240">
        <f t="shared" si="33"/>
        <v>0</v>
      </c>
      <c r="BW18" s="240">
        <f t="shared" si="34"/>
        <v>0</v>
      </c>
    </row>
    <row r="19" ht="15.75" customHeight="1">
      <c r="A19" s="168">
        <f>'LUCERO RECOLETA'!A19</f>
        <v>46153</v>
      </c>
      <c r="B19" s="162"/>
      <c r="C19" s="163">
        <v>3.0</v>
      </c>
      <c r="D19" s="165">
        <f t="shared" si="35"/>
        <v>336</v>
      </c>
      <c r="E19" s="165">
        <f t="shared" si="2"/>
        <v>338</v>
      </c>
      <c r="F19" s="73"/>
      <c r="G19" s="74"/>
      <c r="H19" s="169">
        <v>245123.96</v>
      </c>
      <c r="I19" s="169">
        <v>51476.04</v>
      </c>
      <c r="J19" s="76"/>
      <c r="K19" s="83">
        <f t="shared" si="3"/>
        <v>296600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5"/>
      <c r="S19" s="165"/>
      <c r="T19" s="79"/>
      <c r="U19" s="80">
        <f t="shared" si="37"/>
        <v>0</v>
      </c>
      <c r="V19" s="166"/>
      <c r="W19" s="82">
        <f t="shared" si="7"/>
        <v>0</v>
      </c>
      <c r="X19" s="165"/>
      <c r="Y19" s="165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296600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-296600</v>
      </c>
      <c r="AQ19" s="169">
        <v>0.0</v>
      </c>
      <c r="AR19" s="96"/>
      <c r="AS19" s="90"/>
      <c r="AT19" s="90">
        <f t="shared" si="41"/>
        <v>296600</v>
      </c>
      <c r="AU19" s="169">
        <f>139600+59000</f>
        <v>198600</v>
      </c>
      <c r="AV19" s="169">
        <v>98000.0</v>
      </c>
      <c r="AW19" s="187"/>
      <c r="AX19" s="88"/>
      <c r="AY19" s="75"/>
      <c r="AZ19" s="90">
        <f t="shared" si="17"/>
        <v>0</v>
      </c>
      <c r="BA19" s="75"/>
      <c r="BB19" s="90">
        <f t="shared" si="38"/>
        <v>0</v>
      </c>
      <c r="BC19" s="75"/>
      <c r="BD19" s="90">
        <f t="shared" si="40"/>
        <v>0</v>
      </c>
      <c r="BE19" s="75"/>
      <c r="BF19" s="90">
        <f t="shared" si="39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296600</v>
      </c>
      <c r="BL19" s="93">
        <f t="shared" si="24"/>
        <v>296600</v>
      </c>
      <c r="BM19" s="94">
        <f t="shared" si="25"/>
        <v>0</v>
      </c>
      <c r="BO19" s="240">
        <f t="shared" si="26"/>
        <v>0</v>
      </c>
      <c r="BP19" s="240">
        <f t="shared" si="27"/>
        <v>0.6695886716</v>
      </c>
      <c r="BQ19" s="240">
        <f t="shared" si="28"/>
        <v>0.3304113284</v>
      </c>
      <c r="BR19" s="240">
        <f t="shared" si="29"/>
        <v>0</v>
      </c>
      <c r="BS19" s="240">
        <f t="shared" si="30"/>
        <v>0</v>
      </c>
      <c r="BT19" s="240">
        <f t="shared" si="31"/>
        <v>0</v>
      </c>
      <c r="BU19" s="240">
        <f t="shared" si="32"/>
        <v>0</v>
      </c>
      <c r="BV19" s="240">
        <f t="shared" si="33"/>
        <v>1</v>
      </c>
      <c r="BW19" s="240">
        <f t="shared" si="34"/>
        <v>0.0415887287</v>
      </c>
    </row>
    <row r="20" ht="15.75" customHeight="1">
      <c r="A20" s="168">
        <f>'LUCERO RECOLETA'!A20</f>
        <v>46154</v>
      </c>
      <c r="B20" s="162"/>
      <c r="C20" s="163">
        <v>5.0</v>
      </c>
      <c r="D20" s="165">
        <f t="shared" si="35"/>
        <v>339</v>
      </c>
      <c r="E20" s="165">
        <f t="shared" si="2"/>
        <v>343</v>
      </c>
      <c r="F20" s="73"/>
      <c r="G20" s="74"/>
      <c r="H20" s="169">
        <v>105702.47</v>
      </c>
      <c r="I20" s="169">
        <v>22197.53</v>
      </c>
      <c r="J20" s="76"/>
      <c r="K20" s="83">
        <f t="shared" si="3"/>
        <v>127900</v>
      </c>
      <c r="L20" s="78"/>
      <c r="M20" s="78"/>
      <c r="N20" s="79"/>
      <c r="O20" s="80">
        <f t="shared" si="4"/>
        <v>0</v>
      </c>
      <c r="P20" s="166"/>
      <c r="Q20" s="83">
        <f t="shared" si="5"/>
        <v>0</v>
      </c>
      <c r="R20" s="165"/>
      <c r="S20" s="165"/>
      <c r="T20" s="79"/>
      <c r="U20" s="80">
        <f t="shared" si="37"/>
        <v>0</v>
      </c>
      <c r="V20" s="166"/>
      <c r="W20" s="82">
        <f t="shared" si="7"/>
        <v>0</v>
      </c>
      <c r="X20" s="165"/>
      <c r="Y20" s="165"/>
      <c r="Z20" s="79"/>
      <c r="AA20" s="80">
        <f t="shared" si="8"/>
        <v>0</v>
      </c>
      <c r="AB20" s="166"/>
      <c r="AC20" s="81">
        <f t="shared" si="9"/>
        <v>0</v>
      </c>
      <c r="AD20" s="84">
        <f t="shared" si="10"/>
        <v>127900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-122900</v>
      </c>
      <c r="AQ20" s="169">
        <v>0.0</v>
      </c>
      <c r="AR20" s="96"/>
      <c r="AS20" s="90"/>
      <c r="AT20" s="90">
        <f t="shared" si="41"/>
        <v>122900</v>
      </c>
      <c r="AU20" s="169">
        <v>34900.0</v>
      </c>
      <c r="AV20" s="169">
        <v>88000.0</v>
      </c>
      <c r="AW20" s="187"/>
      <c r="AX20" s="88"/>
      <c r="AY20" s="75"/>
      <c r="AZ20" s="90">
        <f t="shared" si="17"/>
        <v>0</v>
      </c>
      <c r="BA20" s="75"/>
      <c r="BB20" s="90">
        <f t="shared" si="38"/>
        <v>0</v>
      </c>
      <c r="BC20" s="75"/>
      <c r="BD20" s="90">
        <f t="shared" si="40"/>
        <v>0</v>
      </c>
      <c r="BE20" s="75"/>
      <c r="BF20" s="90">
        <f t="shared" si="39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122900</v>
      </c>
      <c r="BL20" s="93">
        <f t="shared" si="24"/>
        <v>127900</v>
      </c>
      <c r="BM20" s="94">
        <f t="shared" si="25"/>
        <v>-5000</v>
      </c>
      <c r="BO20" s="240">
        <f t="shared" si="26"/>
        <v>0</v>
      </c>
      <c r="BP20" s="240">
        <f t="shared" si="27"/>
        <v>0.2728694292</v>
      </c>
      <c r="BQ20" s="240">
        <f t="shared" si="28"/>
        <v>0.6880375293</v>
      </c>
      <c r="BR20" s="240">
        <f t="shared" si="29"/>
        <v>0</v>
      </c>
      <c r="BS20" s="240">
        <f t="shared" si="30"/>
        <v>0</v>
      </c>
      <c r="BT20" s="240">
        <f t="shared" si="31"/>
        <v>0</v>
      </c>
      <c r="BU20" s="240">
        <f t="shared" si="32"/>
        <v>0</v>
      </c>
      <c r="BV20" s="240">
        <f t="shared" si="33"/>
        <v>0.9609069586</v>
      </c>
      <c r="BW20" s="240">
        <f t="shared" si="34"/>
        <v>0.01793391234</v>
      </c>
    </row>
    <row r="21" ht="15.75" customHeight="1">
      <c r="A21" s="168">
        <f>'LUCERO RECOLETA'!A21</f>
        <v>46155</v>
      </c>
      <c r="B21" s="162"/>
      <c r="C21" s="163">
        <v>5.0</v>
      </c>
      <c r="D21" s="165">
        <f t="shared" si="35"/>
        <v>344</v>
      </c>
      <c r="E21" s="165">
        <f t="shared" si="2"/>
        <v>348</v>
      </c>
      <c r="F21" s="73"/>
      <c r="G21" s="74"/>
      <c r="H21" s="169">
        <v>699752.08</v>
      </c>
      <c r="I21" s="169">
        <v>146947.92</v>
      </c>
      <c r="J21" s="76"/>
      <c r="K21" s="83">
        <f t="shared" si="3"/>
        <v>846700</v>
      </c>
      <c r="L21" s="78"/>
      <c r="M21" s="78"/>
      <c r="N21" s="79"/>
      <c r="O21" s="80">
        <f t="shared" si="4"/>
        <v>0</v>
      </c>
      <c r="P21" s="166"/>
      <c r="Q21" s="83">
        <f t="shared" si="5"/>
        <v>0</v>
      </c>
      <c r="R21" s="165"/>
      <c r="S21" s="165"/>
      <c r="T21" s="79"/>
      <c r="U21" s="80">
        <f t="shared" si="37"/>
        <v>0</v>
      </c>
      <c r="V21" s="166"/>
      <c r="W21" s="82">
        <f t="shared" si="7"/>
        <v>0</v>
      </c>
      <c r="X21" s="171">
        <v>15.0</v>
      </c>
      <c r="Y21" s="171">
        <v>15.0</v>
      </c>
      <c r="Z21" s="172">
        <v>32231.41</v>
      </c>
      <c r="AA21" s="173">
        <v>6768.59</v>
      </c>
      <c r="AB21" s="166"/>
      <c r="AC21" s="81">
        <f t="shared" si="9"/>
        <v>39000</v>
      </c>
      <c r="AD21" s="84">
        <f t="shared" si="10"/>
        <v>807700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-807700</v>
      </c>
      <c r="AQ21" s="169">
        <v>0.0</v>
      </c>
      <c r="AR21" s="96"/>
      <c r="AS21" s="90"/>
      <c r="AT21" s="90">
        <f t="shared" si="41"/>
        <v>807700</v>
      </c>
      <c r="AU21" s="75">
        <f>447900+30800</f>
        <v>478700</v>
      </c>
      <c r="AV21" s="169">
        <v>329000.0</v>
      </c>
      <c r="AW21" s="187"/>
      <c r="AX21" s="88"/>
      <c r="AY21" s="75"/>
      <c r="AZ21" s="90">
        <f t="shared" si="17"/>
        <v>0</v>
      </c>
      <c r="BA21" s="75"/>
      <c r="BB21" s="90">
        <f t="shared" si="38"/>
        <v>0</v>
      </c>
      <c r="BC21" s="75"/>
      <c r="BD21" s="90">
        <f t="shared" si="40"/>
        <v>0</v>
      </c>
      <c r="BE21" s="75"/>
      <c r="BF21" s="90">
        <f t="shared" si="39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807700</v>
      </c>
      <c r="BL21" s="93">
        <f t="shared" si="24"/>
        <v>807700</v>
      </c>
      <c r="BM21" s="94">
        <f t="shared" si="25"/>
        <v>0</v>
      </c>
      <c r="BN21" s="241"/>
      <c r="BO21" s="240">
        <f t="shared" si="26"/>
        <v>0</v>
      </c>
      <c r="BP21" s="240">
        <f t="shared" si="27"/>
        <v>0.592670546</v>
      </c>
      <c r="BQ21" s="240">
        <f t="shared" si="28"/>
        <v>0.407329454</v>
      </c>
      <c r="BR21" s="240">
        <f t="shared" si="29"/>
        <v>0</v>
      </c>
      <c r="BS21" s="240">
        <f t="shared" si="30"/>
        <v>0</v>
      </c>
      <c r="BT21" s="240">
        <f t="shared" si="31"/>
        <v>0</v>
      </c>
      <c r="BU21" s="240">
        <f t="shared" si="32"/>
        <v>0</v>
      </c>
      <c r="BV21" s="240">
        <f t="shared" si="33"/>
        <v>1</v>
      </c>
      <c r="BW21" s="240">
        <f t="shared" si="34"/>
        <v>0.1132542689</v>
      </c>
    </row>
    <row r="22" ht="15.75" customHeight="1">
      <c r="A22" s="168">
        <f>'LUCERO RECOLETA'!A22</f>
        <v>46156</v>
      </c>
      <c r="B22" s="162"/>
      <c r="C22" s="163">
        <v>3.0</v>
      </c>
      <c r="D22" s="165">
        <f t="shared" si="35"/>
        <v>349</v>
      </c>
      <c r="E22" s="165">
        <f t="shared" si="2"/>
        <v>351</v>
      </c>
      <c r="F22" s="73"/>
      <c r="G22" s="74"/>
      <c r="H22" s="169">
        <v>267603.31</v>
      </c>
      <c r="I22" s="169">
        <v>56196.69</v>
      </c>
      <c r="J22" s="76"/>
      <c r="K22" s="83">
        <f t="shared" si="3"/>
        <v>323800</v>
      </c>
      <c r="L22" s="78"/>
      <c r="M22" s="78"/>
      <c r="N22" s="79"/>
      <c r="O22" s="80">
        <f t="shared" si="4"/>
        <v>0</v>
      </c>
      <c r="P22" s="166"/>
      <c r="Q22" s="83">
        <f t="shared" si="5"/>
        <v>0</v>
      </c>
      <c r="R22" s="165"/>
      <c r="S22" s="165"/>
      <c r="T22" s="79"/>
      <c r="U22" s="80">
        <f t="shared" si="37"/>
        <v>0</v>
      </c>
      <c r="V22" s="166"/>
      <c r="W22" s="82">
        <f t="shared" si="7"/>
        <v>0</v>
      </c>
      <c r="X22" s="165"/>
      <c r="Y22" s="165"/>
      <c r="Z22" s="79"/>
      <c r="AA22" s="80">
        <f t="shared" ref="AA22:AA27" si="42">Z22*21%</f>
        <v>0</v>
      </c>
      <c r="AB22" s="166"/>
      <c r="AC22" s="81">
        <f t="shared" si="9"/>
        <v>0</v>
      </c>
      <c r="AD22" s="84">
        <f t="shared" si="10"/>
        <v>323800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-325800</v>
      </c>
      <c r="AQ22" s="170">
        <v>40000.0</v>
      </c>
      <c r="AR22" s="96"/>
      <c r="AS22" s="90"/>
      <c r="AT22" s="90">
        <f t="shared" si="41"/>
        <v>285800</v>
      </c>
      <c r="AU22" s="169">
        <v>167800.0</v>
      </c>
      <c r="AV22" s="169">
        <v>118000.0</v>
      </c>
      <c r="AW22" s="187"/>
      <c r="AX22" s="88"/>
      <c r="AY22" s="75"/>
      <c r="AZ22" s="90">
        <f t="shared" si="17"/>
        <v>0</v>
      </c>
      <c r="BA22" s="75"/>
      <c r="BB22" s="90">
        <f t="shared" si="38"/>
        <v>0</v>
      </c>
      <c r="BC22" s="75"/>
      <c r="BD22" s="90">
        <f t="shared" si="40"/>
        <v>0</v>
      </c>
      <c r="BE22" s="75"/>
      <c r="BF22" s="90">
        <f t="shared" si="39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325800</v>
      </c>
      <c r="BL22" s="93">
        <f t="shared" si="24"/>
        <v>323800</v>
      </c>
      <c r="BM22" s="94">
        <f t="shared" si="25"/>
        <v>2000</v>
      </c>
      <c r="BO22" s="240">
        <f t="shared" si="26"/>
        <v>0.1235330451</v>
      </c>
      <c r="BP22" s="240">
        <f t="shared" si="27"/>
        <v>0.5182211242</v>
      </c>
      <c r="BQ22" s="240">
        <f t="shared" si="28"/>
        <v>0.364422483</v>
      </c>
      <c r="BR22" s="240">
        <f t="shared" si="29"/>
        <v>0</v>
      </c>
      <c r="BS22" s="240">
        <f t="shared" si="30"/>
        <v>0</v>
      </c>
      <c r="BT22" s="240">
        <f t="shared" si="31"/>
        <v>0</v>
      </c>
      <c r="BU22" s="240">
        <f t="shared" si="32"/>
        <v>0</v>
      </c>
      <c r="BV22" s="240">
        <f t="shared" si="33"/>
        <v>1.006176652</v>
      </c>
      <c r="BW22" s="240">
        <f t="shared" si="34"/>
        <v>0.04540266471</v>
      </c>
    </row>
    <row r="23" ht="15.75" customHeight="1">
      <c r="A23" s="168">
        <f>'LUCERO RECOLETA'!A23</f>
        <v>46157</v>
      </c>
      <c r="B23" s="162"/>
      <c r="C23" s="163">
        <v>4.0</v>
      </c>
      <c r="D23" s="165">
        <f t="shared" si="35"/>
        <v>352</v>
      </c>
      <c r="E23" s="165">
        <f t="shared" si="2"/>
        <v>355</v>
      </c>
      <c r="F23" s="73"/>
      <c r="G23" s="74"/>
      <c r="H23" s="169">
        <v>207264.47</v>
      </c>
      <c r="I23" s="169">
        <v>43525.53</v>
      </c>
      <c r="J23" s="76"/>
      <c r="K23" s="83">
        <f t="shared" si="3"/>
        <v>250790</v>
      </c>
      <c r="L23" s="78"/>
      <c r="M23" s="78"/>
      <c r="N23" s="79"/>
      <c r="O23" s="80">
        <f t="shared" si="4"/>
        <v>0</v>
      </c>
      <c r="P23" s="166"/>
      <c r="Q23" s="83">
        <f t="shared" si="5"/>
        <v>0</v>
      </c>
      <c r="R23" s="165"/>
      <c r="S23" s="165"/>
      <c r="T23" s="79"/>
      <c r="U23" s="80">
        <f t="shared" si="37"/>
        <v>0</v>
      </c>
      <c r="V23" s="166"/>
      <c r="W23" s="82">
        <f t="shared" si="7"/>
        <v>0</v>
      </c>
      <c r="X23" s="165"/>
      <c r="Y23" s="165"/>
      <c r="Z23" s="79"/>
      <c r="AA23" s="80">
        <f t="shared" si="42"/>
        <v>0</v>
      </c>
      <c r="AB23" s="166"/>
      <c r="AC23" s="81">
        <f t="shared" si="9"/>
        <v>0</v>
      </c>
      <c r="AD23" s="84">
        <f t="shared" si="10"/>
        <v>250790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-242900</v>
      </c>
      <c r="AQ23" s="170">
        <v>20000.0</v>
      </c>
      <c r="AR23" s="96"/>
      <c r="AS23" s="90"/>
      <c r="AT23" s="90">
        <f t="shared" si="41"/>
        <v>222900</v>
      </c>
      <c r="AU23" s="75"/>
      <c r="AV23" s="169">
        <v>222900.0</v>
      </c>
      <c r="AW23" s="187"/>
      <c r="AX23" s="88"/>
      <c r="AY23" s="75"/>
      <c r="AZ23" s="90">
        <f t="shared" si="17"/>
        <v>0</v>
      </c>
      <c r="BA23" s="75"/>
      <c r="BB23" s="90">
        <f t="shared" si="38"/>
        <v>0</v>
      </c>
      <c r="BC23" s="75"/>
      <c r="BD23" s="90">
        <f t="shared" si="40"/>
        <v>0</v>
      </c>
      <c r="BE23" s="75"/>
      <c r="BF23" s="90">
        <f t="shared" si="39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242900</v>
      </c>
      <c r="BL23" s="93">
        <f t="shared" si="24"/>
        <v>250790</v>
      </c>
      <c r="BM23" s="94">
        <f t="shared" si="25"/>
        <v>-7890</v>
      </c>
      <c r="BO23" s="240">
        <f t="shared" si="26"/>
        <v>0.07974799633</v>
      </c>
      <c r="BP23" s="240">
        <f t="shared" si="27"/>
        <v>0</v>
      </c>
      <c r="BQ23" s="240">
        <f t="shared" si="28"/>
        <v>0.8887914191</v>
      </c>
      <c r="BR23" s="240">
        <f t="shared" si="29"/>
        <v>0</v>
      </c>
      <c r="BS23" s="240">
        <f t="shared" si="30"/>
        <v>0</v>
      </c>
      <c r="BT23" s="240">
        <f t="shared" si="31"/>
        <v>0</v>
      </c>
      <c r="BU23" s="240">
        <f t="shared" si="32"/>
        <v>0</v>
      </c>
      <c r="BV23" s="240">
        <f t="shared" si="33"/>
        <v>0.9685394154</v>
      </c>
      <c r="BW23" s="240">
        <f t="shared" si="34"/>
        <v>0.03516533132</v>
      </c>
    </row>
    <row r="24" ht="15.75" customHeight="1">
      <c r="A24" s="168">
        <f>'LUCERO RECOLETA'!A24</f>
        <v>46158</v>
      </c>
      <c r="B24" s="162"/>
      <c r="C24" s="163">
        <v>0.0</v>
      </c>
      <c r="D24" s="165">
        <f t="shared" si="35"/>
        <v>356</v>
      </c>
      <c r="E24" s="165">
        <f t="shared" si="2"/>
        <v>355</v>
      </c>
      <c r="F24" s="73"/>
      <c r="G24" s="74"/>
      <c r="H24" s="75"/>
      <c r="I24" s="75"/>
      <c r="J24" s="76"/>
      <c r="K24" s="83">
        <f t="shared" si="3"/>
        <v>0</v>
      </c>
      <c r="L24" s="78"/>
      <c r="M24" s="78"/>
      <c r="N24" s="79"/>
      <c r="O24" s="80">
        <f t="shared" si="4"/>
        <v>0</v>
      </c>
      <c r="P24" s="166"/>
      <c r="Q24" s="83">
        <f t="shared" si="5"/>
        <v>0</v>
      </c>
      <c r="R24" s="165"/>
      <c r="S24" s="165"/>
      <c r="T24" s="175"/>
      <c r="U24" s="80">
        <f t="shared" si="37"/>
        <v>0</v>
      </c>
      <c r="V24" s="166"/>
      <c r="W24" s="82">
        <f t="shared" si="7"/>
        <v>0</v>
      </c>
      <c r="X24" s="165"/>
      <c r="Y24" s="165"/>
      <c r="Z24" s="79"/>
      <c r="AA24" s="80">
        <f t="shared" si="42"/>
        <v>0</v>
      </c>
      <c r="AB24" s="166"/>
      <c r="AC24" s="81">
        <f t="shared" si="9"/>
        <v>0</v>
      </c>
      <c r="AD24" s="84">
        <f t="shared" si="10"/>
        <v>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0</v>
      </c>
      <c r="AQ24" s="98"/>
      <c r="AR24" s="96"/>
      <c r="AS24" s="90"/>
      <c r="AT24" s="90">
        <f t="shared" si="41"/>
        <v>0</v>
      </c>
      <c r="AU24" s="169"/>
      <c r="AV24" s="169"/>
      <c r="AW24" s="90"/>
      <c r="AX24" s="88"/>
      <c r="AY24" s="75"/>
      <c r="AZ24" s="90">
        <f t="shared" si="17"/>
        <v>0</v>
      </c>
      <c r="BA24" s="75"/>
      <c r="BB24" s="90">
        <f t="shared" si="38"/>
        <v>0</v>
      </c>
      <c r="BC24" s="75"/>
      <c r="BD24" s="90">
        <f t="shared" si="40"/>
        <v>0</v>
      </c>
      <c r="BE24" s="75"/>
      <c r="BF24" s="90">
        <f t="shared" si="39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0</v>
      </c>
      <c r="BL24" s="93">
        <f t="shared" si="24"/>
        <v>0</v>
      </c>
      <c r="BM24" s="94">
        <f t="shared" si="25"/>
        <v>0</v>
      </c>
      <c r="BN24" s="222"/>
      <c r="BO24" s="240">
        <f t="shared" si="26"/>
        <v>0</v>
      </c>
      <c r="BP24" s="240">
        <f t="shared" si="27"/>
        <v>0</v>
      </c>
      <c r="BQ24" s="240">
        <f t="shared" si="28"/>
        <v>0</v>
      </c>
      <c r="BR24" s="240">
        <f t="shared" si="29"/>
        <v>0</v>
      </c>
      <c r="BS24" s="240">
        <f t="shared" si="30"/>
        <v>0</v>
      </c>
      <c r="BT24" s="240">
        <f t="shared" si="31"/>
        <v>0</v>
      </c>
      <c r="BU24" s="240">
        <f t="shared" si="32"/>
        <v>0</v>
      </c>
      <c r="BV24" s="240">
        <f t="shared" si="33"/>
        <v>0</v>
      </c>
      <c r="BW24" s="240">
        <f t="shared" si="34"/>
        <v>0</v>
      </c>
    </row>
    <row r="25" ht="15.75" customHeight="1">
      <c r="A25" s="168">
        <f>'LUCERO RECOLETA'!A25</f>
        <v>46159</v>
      </c>
      <c r="B25" s="162"/>
      <c r="C25" s="176">
        <v>0.0</v>
      </c>
      <c r="D25" s="165">
        <f t="shared" si="35"/>
        <v>356</v>
      </c>
      <c r="E25" s="165">
        <f t="shared" si="2"/>
        <v>355</v>
      </c>
      <c r="F25" s="73"/>
      <c r="G25" s="74"/>
      <c r="H25" s="75"/>
      <c r="I25" s="75"/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6"/>
      <c r="Q25" s="83">
        <f t="shared" si="5"/>
        <v>0</v>
      </c>
      <c r="R25" s="165"/>
      <c r="S25" s="165"/>
      <c r="T25" s="177"/>
      <c r="U25" s="80">
        <f t="shared" si="37"/>
        <v>0</v>
      </c>
      <c r="V25" s="166"/>
      <c r="W25" s="82">
        <f t="shared" si="7"/>
        <v>0</v>
      </c>
      <c r="X25" s="165"/>
      <c r="Y25" s="165"/>
      <c r="Z25" s="79"/>
      <c r="AA25" s="80">
        <f t="shared" si="42"/>
        <v>0</v>
      </c>
      <c r="AB25" s="166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98"/>
      <c r="AR25" s="97"/>
      <c r="AS25" s="90"/>
      <c r="AT25" s="90">
        <f t="shared" si="41"/>
        <v>0</v>
      </c>
      <c r="AU25" s="75"/>
      <c r="AV25" s="75"/>
      <c r="AW25" s="90"/>
      <c r="AX25" s="88"/>
      <c r="AY25" s="75"/>
      <c r="AZ25" s="90">
        <f t="shared" si="17"/>
        <v>0</v>
      </c>
      <c r="BA25" s="75"/>
      <c r="BB25" s="90">
        <f t="shared" si="38"/>
        <v>0</v>
      </c>
      <c r="BC25" s="75"/>
      <c r="BD25" s="90">
        <f t="shared" si="40"/>
        <v>0</v>
      </c>
      <c r="BE25" s="75"/>
      <c r="BF25" s="90">
        <f t="shared" si="39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0</v>
      </c>
      <c r="BL25" s="93">
        <f t="shared" si="24"/>
        <v>0</v>
      </c>
      <c r="BM25" s="94">
        <f t="shared" si="25"/>
        <v>0</v>
      </c>
      <c r="BO25" s="240">
        <f t="shared" si="26"/>
        <v>0</v>
      </c>
      <c r="BP25" s="240">
        <f t="shared" si="27"/>
        <v>0</v>
      </c>
      <c r="BQ25" s="240">
        <f t="shared" si="28"/>
        <v>0</v>
      </c>
      <c r="BR25" s="240">
        <f t="shared" si="29"/>
        <v>0</v>
      </c>
      <c r="BS25" s="240">
        <f t="shared" si="30"/>
        <v>0</v>
      </c>
      <c r="BT25" s="240">
        <f t="shared" si="31"/>
        <v>0</v>
      </c>
      <c r="BU25" s="240">
        <f t="shared" si="32"/>
        <v>0</v>
      </c>
      <c r="BV25" s="240">
        <f t="shared" si="33"/>
        <v>0</v>
      </c>
      <c r="BW25" s="240">
        <f t="shared" si="34"/>
        <v>0</v>
      </c>
    </row>
    <row r="26" ht="15.75" customHeight="1">
      <c r="A26" s="168">
        <f>'LUCERO RECOLETA'!A26</f>
        <v>46160</v>
      </c>
      <c r="B26" s="162"/>
      <c r="C26" s="163">
        <v>5.0</v>
      </c>
      <c r="D26" s="165">
        <f t="shared" si="35"/>
        <v>356</v>
      </c>
      <c r="E26" s="165">
        <f t="shared" si="2"/>
        <v>360</v>
      </c>
      <c r="F26" s="73"/>
      <c r="G26" s="74"/>
      <c r="H26" s="169">
        <v>537851.24</v>
      </c>
      <c r="I26" s="169">
        <v>112948.76</v>
      </c>
      <c r="J26" s="76"/>
      <c r="K26" s="83">
        <f t="shared" si="3"/>
        <v>650800</v>
      </c>
      <c r="L26" s="78"/>
      <c r="M26" s="78"/>
      <c r="N26" s="79"/>
      <c r="O26" s="80">
        <f t="shared" si="4"/>
        <v>0</v>
      </c>
      <c r="P26" s="166"/>
      <c r="Q26" s="83">
        <f t="shared" si="5"/>
        <v>0</v>
      </c>
      <c r="R26" s="165"/>
      <c r="S26" s="165"/>
      <c r="T26" s="79"/>
      <c r="U26" s="80">
        <f t="shared" si="37"/>
        <v>0</v>
      </c>
      <c r="V26" s="166"/>
      <c r="W26" s="82">
        <f t="shared" si="7"/>
        <v>0</v>
      </c>
      <c r="X26" s="165"/>
      <c r="Y26" s="165"/>
      <c r="Z26" s="79"/>
      <c r="AA26" s="80">
        <f t="shared" si="42"/>
        <v>0</v>
      </c>
      <c r="AB26" s="166"/>
      <c r="AC26" s="81">
        <f t="shared" si="9"/>
        <v>0</v>
      </c>
      <c r="AD26" s="84">
        <f t="shared" si="10"/>
        <v>650800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-652800</v>
      </c>
      <c r="AQ26" s="75">
        <f>160000</f>
        <v>160000</v>
      </c>
      <c r="AR26" s="96"/>
      <c r="AS26" s="90"/>
      <c r="AT26" s="90">
        <f t="shared" si="41"/>
        <v>434800</v>
      </c>
      <c r="AU26" s="169">
        <v>149000.0</v>
      </c>
      <c r="AV26" s="169">
        <v>285800.0</v>
      </c>
      <c r="AW26" s="187">
        <v>58000.0</v>
      </c>
      <c r="AX26" s="88"/>
      <c r="AY26" s="75"/>
      <c r="AZ26" s="90">
        <f t="shared" si="17"/>
        <v>0</v>
      </c>
      <c r="BA26" s="75"/>
      <c r="BB26" s="90">
        <f t="shared" si="38"/>
        <v>0</v>
      </c>
      <c r="BC26" s="75"/>
      <c r="BD26" s="90">
        <f t="shared" si="40"/>
        <v>0</v>
      </c>
      <c r="BE26" s="75"/>
      <c r="BF26" s="90">
        <f t="shared" si="39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652800</v>
      </c>
      <c r="BL26" s="93">
        <f t="shared" si="24"/>
        <v>650800</v>
      </c>
      <c r="BM26" s="94">
        <f t="shared" si="25"/>
        <v>2000</v>
      </c>
      <c r="BN26" s="222"/>
      <c r="BO26" s="240">
        <f t="shared" si="26"/>
        <v>0.24585126</v>
      </c>
      <c r="BP26" s="240">
        <f t="shared" si="27"/>
        <v>0.2289489859</v>
      </c>
      <c r="BQ26" s="240">
        <f t="shared" si="28"/>
        <v>0.4391518132</v>
      </c>
      <c r="BR26" s="240">
        <f t="shared" si="29"/>
        <v>0.08912108175</v>
      </c>
      <c r="BS26" s="240">
        <f t="shared" si="30"/>
        <v>0</v>
      </c>
      <c r="BT26" s="240">
        <f t="shared" si="31"/>
        <v>0</v>
      </c>
      <c r="BU26" s="240">
        <f t="shared" si="32"/>
        <v>0</v>
      </c>
      <c r="BV26" s="240">
        <f t="shared" si="33"/>
        <v>1.003073141</v>
      </c>
      <c r="BW26" s="240">
        <f t="shared" si="34"/>
        <v>0.09125402777</v>
      </c>
    </row>
    <row r="27" ht="15.75" customHeight="1">
      <c r="A27" s="168">
        <f>'LUCERO RECOLETA'!A27</f>
        <v>46161</v>
      </c>
      <c r="B27" s="162"/>
      <c r="C27" s="163">
        <v>2.0</v>
      </c>
      <c r="D27" s="165">
        <f t="shared" si="35"/>
        <v>361</v>
      </c>
      <c r="E27" s="165">
        <f t="shared" si="2"/>
        <v>362</v>
      </c>
      <c r="F27" s="73"/>
      <c r="G27" s="74"/>
      <c r="H27" s="169">
        <v>180165.3</v>
      </c>
      <c r="I27" s="169">
        <v>37834.7</v>
      </c>
      <c r="J27" s="76"/>
      <c r="K27" s="83">
        <f t="shared" si="3"/>
        <v>218000</v>
      </c>
      <c r="L27" s="78"/>
      <c r="M27" s="78"/>
      <c r="N27" s="79"/>
      <c r="O27" s="80">
        <f t="shared" si="4"/>
        <v>0</v>
      </c>
      <c r="P27" s="166"/>
      <c r="Q27" s="83">
        <f t="shared" si="5"/>
        <v>0</v>
      </c>
      <c r="R27" s="165"/>
      <c r="S27" s="165"/>
      <c r="T27" s="79"/>
      <c r="U27" s="80">
        <f t="shared" si="37"/>
        <v>0</v>
      </c>
      <c r="V27" s="166"/>
      <c r="W27" s="82">
        <f t="shared" si="7"/>
        <v>0</v>
      </c>
      <c r="X27" s="165"/>
      <c r="Y27" s="165"/>
      <c r="Z27" s="79"/>
      <c r="AA27" s="80">
        <f t="shared" si="42"/>
        <v>0</v>
      </c>
      <c r="AB27" s="166"/>
      <c r="AC27" s="81">
        <f t="shared" si="9"/>
        <v>0</v>
      </c>
      <c r="AD27" s="84">
        <f t="shared" si="10"/>
        <v>218000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-218000</v>
      </c>
      <c r="AQ27" s="169">
        <v>0.0</v>
      </c>
      <c r="AR27" s="96"/>
      <c r="AS27" s="90"/>
      <c r="AT27" s="90">
        <f t="shared" si="41"/>
        <v>218000</v>
      </c>
      <c r="AU27" s="75"/>
      <c r="AV27" s="169">
        <v>218000.0</v>
      </c>
      <c r="AW27" s="187"/>
      <c r="AX27" s="88"/>
      <c r="AY27" s="75"/>
      <c r="AZ27" s="90">
        <f t="shared" si="17"/>
        <v>0</v>
      </c>
      <c r="BA27" s="75"/>
      <c r="BB27" s="90">
        <f t="shared" si="38"/>
        <v>0</v>
      </c>
      <c r="BC27" s="75"/>
      <c r="BD27" s="90">
        <f t="shared" si="40"/>
        <v>0</v>
      </c>
      <c r="BE27" s="75"/>
      <c r="BF27" s="90">
        <f t="shared" si="39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218000</v>
      </c>
      <c r="BL27" s="93">
        <f t="shared" si="24"/>
        <v>218000</v>
      </c>
      <c r="BM27" s="94">
        <f t="shared" si="25"/>
        <v>0</v>
      </c>
      <c r="BN27" s="222"/>
      <c r="BO27" s="240">
        <f t="shared" si="26"/>
        <v>0</v>
      </c>
      <c r="BP27" s="240">
        <f t="shared" si="27"/>
        <v>0</v>
      </c>
      <c r="BQ27" s="240">
        <f t="shared" si="28"/>
        <v>1</v>
      </c>
      <c r="BR27" s="240">
        <f t="shared" si="29"/>
        <v>0</v>
      </c>
      <c r="BS27" s="240">
        <f t="shared" si="30"/>
        <v>0</v>
      </c>
      <c r="BT27" s="240">
        <f t="shared" si="31"/>
        <v>0</v>
      </c>
      <c r="BU27" s="240">
        <f t="shared" si="32"/>
        <v>0</v>
      </c>
      <c r="BV27" s="240">
        <f t="shared" si="33"/>
        <v>1</v>
      </c>
      <c r="BW27" s="240">
        <f t="shared" si="34"/>
        <v>0.03056757537</v>
      </c>
    </row>
    <row r="28" ht="15.75" customHeight="1">
      <c r="A28" s="168">
        <f>'LUCERO RECOLETA'!A28</f>
        <v>46162</v>
      </c>
      <c r="B28" s="162"/>
      <c r="C28" s="163">
        <v>7.0</v>
      </c>
      <c r="D28" s="165">
        <f t="shared" si="35"/>
        <v>363</v>
      </c>
      <c r="E28" s="165">
        <f t="shared" si="2"/>
        <v>369</v>
      </c>
      <c r="F28" s="73"/>
      <c r="G28" s="74"/>
      <c r="H28" s="169">
        <v>459834.71</v>
      </c>
      <c r="I28" s="169">
        <v>96565.29</v>
      </c>
      <c r="J28" s="76"/>
      <c r="K28" s="83">
        <f t="shared" si="3"/>
        <v>556400</v>
      </c>
      <c r="L28" s="78"/>
      <c r="M28" s="78"/>
      <c r="N28" s="79"/>
      <c r="O28" s="80">
        <f t="shared" si="4"/>
        <v>0</v>
      </c>
      <c r="P28" s="166"/>
      <c r="Q28" s="83">
        <f t="shared" si="5"/>
        <v>0</v>
      </c>
      <c r="R28" s="165"/>
      <c r="S28" s="165"/>
      <c r="T28" s="79"/>
      <c r="U28" s="80">
        <f t="shared" si="37"/>
        <v>0</v>
      </c>
      <c r="V28" s="166"/>
      <c r="W28" s="82">
        <f t="shared" si="7"/>
        <v>0</v>
      </c>
      <c r="X28" s="171">
        <v>16.0</v>
      </c>
      <c r="Y28" s="171">
        <v>16.0</v>
      </c>
      <c r="Z28" s="172">
        <v>159504.13</v>
      </c>
      <c r="AA28" s="173">
        <v>33495.87</v>
      </c>
      <c r="AB28" s="166"/>
      <c r="AC28" s="81">
        <f t="shared" si="9"/>
        <v>193000</v>
      </c>
      <c r="AD28" s="84">
        <f t="shared" si="10"/>
        <v>363400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-372800</v>
      </c>
      <c r="AQ28" s="169">
        <v>20000.0</v>
      </c>
      <c r="AR28" s="99"/>
      <c r="AS28" s="90"/>
      <c r="AT28" s="90">
        <f t="shared" si="41"/>
        <v>352800</v>
      </c>
      <c r="AU28" s="169">
        <v>253800.0</v>
      </c>
      <c r="AV28" s="169">
        <v>99000.0</v>
      </c>
      <c r="AW28" s="187"/>
      <c r="AX28" s="88"/>
      <c r="AY28" s="75"/>
      <c r="AZ28" s="90">
        <f t="shared" si="17"/>
        <v>0</v>
      </c>
      <c r="BA28" s="75"/>
      <c r="BB28" s="90">
        <f t="shared" si="38"/>
        <v>0</v>
      </c>
      <c r="BC28" s="75"/>
      <c r="BD28" s="90">
        <f t="shared" si="40"/>
        <v>0</v>
      </c>
      <c r="BE28" s="75"/>
      <c r="BF28" s="90">
        <f t="shared" si="39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372800</v>
      </c>
      <c r="BL28" s="93">
        <f t="shared" si="24"/>
        <v>363400</v>
      </c>
      <c r="BM28" s="94">
        <f t="shared" si="25"/>
        <v>9400</v>
      </c>
      <c r="BO28" s="240">
        <f t="shared" si="26"/>
        <v>0.05503577325</v>
      </c>
      <c r="BP28" s="240">
        <f t="shared" si="27"/>
        <v>0.6984039626</v>
      </c>
      <c r="BQ28" s="240">
        <f t="shared" si="28"/>
        <v>0.2724270776</v>
      </c>
      <c r="BR28" s="240">
        <f t="shared" si="29"/>
        <v>0</v>
      </c>
      <c r="BS28" s="240">
        <f t="shared" si="30"/>
        <v>0</v>
      </c>
      <c r="BT28" s="240">
        <f t="shared" si="31"/>
        <v>0</v>
      </c>
      <c r="BU28" s="240">
        <f t="shared" si="32"/>
        <v>0</v>
      </c>
      <c r="BV28" s="240">
        <f t="shared" si="33"/>
        <v>1.025866813</v>
      </c>
      <c r="BW28" s="240">
        <f t="shared" si="34"/>
        <v>0.05095530684</v>
      </c>
    </row>
    <row r="29" ht="15.75" customHeight="1">
      <c r="A29" s="168">
        <f>'LUCERO RECOLETA'!A29</f>
        <v>46163</v>
      </c>
      <c r="B29" s="162"/>
      <c r="C29" s="163">
        <v>6.0</v>
      </c>
      <c r="D29" s="165">
        <f t="shared" si="35"/>
        <v>370</v>
      </c>
      <c r="E29" s="165">
        <f t="shared" si="2"/>
        <v>375</v>
      </c>
      <c r="F29" s="73"/>
      <c r="G29" s="74"/>
      <c r="H29" s="169">
        <v>763462.81</v>
      </c>
      <c r="I29" s="169">
        <v>160327.19</v>
      </c>
      <c r="J29" s="76"/>
      <c r="K29" s="83">
        <f t="shared" si="3"/>
        <v>923790</v>
      </c>
      <c r="L29" s="78"/>
      <c r="M29" s="78"/>
      <c r="N29" s="79"/>
      <c r="O29" s="80">
        <f t="shared" si="4"/>
        <v>0</v>
      </c>
      <c r="P29" s="166"/>
      <c r="Q29" s="83">
        <f t="shared" si="5"/>
        <v>0</v>
      </c>
      <c r="R29" s="165"/>
      <c r="S29" s="165"/>
      <c r="T29" s="79"/>
      <c r="U29" s="80">
        <f t="shared" si="37"/>
        <v>0</v>
      </c>
      <c r="V29" s="166"/>
      <c r="W29" s="82">
        <f t="shared" si="7"/>
        <v>0</v>
      </c>
      <c r="X29" s="165"/>
      <c r="Y29" s="165"/>
      <c r="Z29" s="79"/>
      <c r="AA29" s="80">
        <f t="shared" ref="AA29:AA34" si="43">Z29*21%</f>
        <v>0</v>
      </c>
      <c r="AB29" s="166"/>
      <c r="AC29" s="81">
        <f t="shared" si="9"/>
        <v>0</v>
      </c>
      <c r="AD29" s="84">
        <f t="shared" si="10"/>
        <v>923790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-921800</v>
      </c>
      <c r="AQ29" s="169">
        <v>40000.0</v>
      </c>
      <c r="AR29" s="99"/>
      <c r="AS29" s="90"/>
      <c r="AT29" s="90">
        <f t="shared" si="41"/>
        <v>881800</v>
      </c>
      <c r="AU29" s="169">
        <v>120300.0</v>
      </c>
      <c r="AV29" s="169">
        <v>761500.0</v>
      </c>
      <c r="AW29" s="187"/>
      <c r="AX29" s="88"/>
      <c r="AY29" s="75"/>
      <c r="AZ29" s="90">
        <f t="shared" si="17"/>
        <v>0</v>
      </c>
      <c r="BA29" s="75"/>
      <c r="BB29" s="90">
        <f t="shared" si="38"/>
        <v>0</v>
      </c>
      <c r="BC29" s="75"/>
      <c r="BD29" s="90">
        <f t="shared" si="40"/>
        <v>0</v>
      </c>
      <c r="BE29" s="75"/>
      <c r="BF29" s="90">
        <f t="shared" si="39"/>
        <v>0</v>
      </c>
      <c r="BG29" s="75"/>
      <c r="BH29" s="90">
        <f t="shared" si="21"/>
        <v>0</v>
      </c>
      <c r="BI29" s="75"/>
      <c r="BJ29" s="90">
        <f t="shared" si="22"/>
        <v>0</v>
      </c>
      <c r="BK29" s="92">
        <f t="shared" si="36"/>
        <v>921800</v>
      </c>
      <c r="BL29" s="93">
        <f t="shared" si="24"/>
        <v>923790</v>
      </c>
      <c r="BM29" s="94">
        <f t="shared" si="25"/>
        <v>-1990</v>
      </c>
      <c r="BO29" s="240">
        <f t="shared" si="26"/>
        <v>0.04329988417</v>
      </c>
      <c r="BP29" s="240">
        <f t="shared" si="27"/>
        <v>0.1302244016</v>
      </c>
      <c r="BQ29" s="240">
        <f t="shared" si="28"/>
        <v>0.8243215449</v>
      </c>
      <c r="BR29" s="240">
        <f t="shared" si="29"/>
        <v>0</v>
      </c>
      <c r="BS29" s="240">
        <f t="shared" si="30"/>
        <v>0</v>
      </c>
      <c r="BT29" s="240">
        <f t="shared" si="31"/>
        <v>0</v>
      </c>
      <c r="BU29" s="240">
        <f t="shared" si="32"/>
        <v>0</v>
      </c>
      <c r="BV29" s="240">
        <f t="shared" si="33"/>
        <v>0.9978458308</v>
      </c>
      <c r="BW29" s="240">
        <f t="shared" si="34"/>
        <v>0.1295322039</v>
      </c>
    </row>
    <row r="30" ht="15.75" customHeight="1">
      <c r="A30" s="168">
        <f>'LUCERO RECOLETA'!A30</f>
        <v>46164</v>
      </c>
      <c r="B30" s="162"/>
      <c r="C30" s="163">
        <v>4.0</v>
      </c>
      <c r="D30" s="165">
        <f t="shared" si="35"/>
        <v>376</v>
      </c>
      <c r="E30" s="165">
        <f t="shared" si="2"/>
        <v>379</v>
      </c>
      <c r="F30" s="73"/>
      <c r="G30" s="74"/>
      <c r="H30" s="169">
        <v>220495.87</v>
      </c>
      <c r="I30" s="169">
        <v>46304.13</v>
      </c>
      <c r="J30" s="76"/>
      <c r="K30" s="83">
        <f t="shared" si="3"/>
        <v>266800</v>
      </c>
      <c r="L30" s="78"/>
      <c r="M30" s="78"/>
      <c r="N30" s="79"/>
      <c r="O30" s="80">
        <f t="shared" si="4"/>
        <v>0</v>
      </c>
      <c r="P30" s="166"/>
      <c r="Q30" s="83">
        <f t="shared" si="5"/>
        <v>0</v>
      </c>
      <c r="R30" s="165"/>
      <c r="S30" s="165"/>
      <c r="T30" s="79"/>
      <c r="U30" s="80">
        <f t="shared" si="37"/>
        <v>0</v>
      </c>
      <c r="V30" s="166"/>
      <c r="W30" s="82">
        <f t="shared" si="7"/>
        <v>0</v>
      </c>
      <c r="X30" s="165"/>
      <c r="Y30" s="165"/>
      <c r="Z30" s="79"/>
      <c r="AA30" s="80">
        <f t="shared" si="43"/>
        <v>0</v>
      </c>
      <c r="AB30" s="166"/>
      <c r="AC30" s="81">
        <f t="shared" si="9"/>
        <v>0</v>
      </c>
      <c r="AD30" s="84">
        <f t="shared" si="10"/>
        <v>266800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-261800</v>
      </c>
      <c r="AQ30" s="169">
        <v>0.0</v>
      </c>
      <c r="AR30" s="99"/>
      <c r="AS30" s="90"/>
      <c r="AT30" s="90">
        <f t="shared" si="41"/>
        <v>261800</v>
      </c>
      <c r="AU30" s="169">
        <v>222800.0</v>
      </c>
      <c r="AV30" s="169">
        <v>39000.0</v>
      </c>
      <c r="AW30" s="187"/>
      <c r="AX30" s="88"/>
      <c r="AY30" s="75"/>
      <c r="AZ30" s="90">
        <f t="shared" si="17"/>
        <v>0</v>
      </c>
      <c r="BA30" s="75"/>
      <c r="BB30" s="90">
        <f t="shared" si="38"/>
        <v>0</v>
      </c>
      <c r="BC30" s="75"/>
      <c r="BD30" s="90">
        <f t="shared" si="40"/>
        <v>0</v>
      </c>
      <c r="BE30" s="75"/>
      <c r="BF30" s="90">
        <f t="shared" si="39"/>
        <v>0</v>
      </c>
      <c r="BG30" s="75"/>
      <c r="BH30" s="90">
        <f t="shared" si="21"/>
        <v>0</v>
      </c>
      <c r="BI30" s="75"/>
      <c r="BJ30" s="90">
        <f t="shared" si="22"/>
        <v>0</v>
      </c>
      <c r="BK30" s="92">
        <f t="shared" si="36"/>
        <v>261800</v>
      </c>
      <c r="BL30" s="93">
        <f t="shared" si="24"/>
        <v>266800</v>
      </c>
      <c r="BM30" s="94">
        <f t="shared" si="25"/>
        <v>-5000</v>
      </c>
      <c r="BO30" s="240">
        <f t="shared" si="26"/>
        <v>0</v>
      </c>
      <c r="BP30" s="240">
        <f t="shared" si="27"/>
        <v>0.8350824588</v>
      </c>
      <c r="BQ30" s="240">
        <f t="shared" si="28"/>
        <v>0.1461769115</v>
      </c>
      <c r="BR30" s="240">
        <f t="shared" si="29"/>
        <v>0</v>
      </c>
      <c r="BS30" s="240">
        <f t="shared" si="30"/>
        <v>0</v>
      </c>
      <c r="BT30" s="240">
        <f t="shared" si="31"/>
        <v>0</v>
      </c>
      <c r="BU30" s="240">
        <f t="shared" si="32"/>
        <v>0</v>
      </c>
      <c r="BV30" s="240">
        <f t="shared" si="33"/>
        <v>0.9812593703</v>
      </c>
      <c r="BW30" s="240">
        <f t="shared" si="34"/>
        <v>0.03741022527</v>
      </c>
    </row>
    <row r="31" ht="15.75" customHeight="1">
      <c r="A31" s="168">
        <f>'LUCERO RECOLETA'!A31</f>
        <v>46165</v>
      </c>
      <c r="B31" s="162"/>
      <c r="C31" s="163">
        <v>0.0</v>
      </c>
      <c r="D31" s="165">
        <f t="shared" si="35"/>
        <v>380</v>
      </c>
      <c r="E31" s="165">
        <f t="shared" si="2"/>
        <v>379</v>
      </c>
      <c r="F31" s="73"/>
      <c r="G31" s="74"/>
      <c r="H31" s="169">
        <v>0.0</v>
      </c>
      <c r="I31" s="75">
        <f t="shared" ref="I31:I33" si="44">H31*21%</f>
        <v>0</v>
      </c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6"/>
      <c r="Q31" s="83">
        <f t="shared" si="5"/>
        <v>0</v>
      </c>
      <c r="R31" s="165"/>
      <c r="S31" s="165"/>
      <c r="T31" s="79"/>
      <c r="U31" s="80">
        <f t="shared" si="37"/>
        <v>0</v>
      </c>
      <c r="V31" s="166"/>
      <c r="W31" s="82">
        <f t="shared" si="7"/>
        <v>0</v>
      </c>
      <c r="X31" s="165"/>
      <c r="Y31" s="165"/>
      <c r="Z31" s="79"/>
      <c r="AA31" s="80">
        <f t="shared" si="43"/>
        <v>0</v>
      </c>
      <c r="AB31" s="166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98"/>
      <c r="AR31" s="96"/>
      <c r="AS31" s="90"/>
      <c r="AT31" s="90">
        <f t="shared" si="41"/>
        <v>0</v>
      </c>
      <c r="AU31" s="75"/>
      <c r="AV31" s="75"/>
      <c r="AW31" s="90"/>
      <c r="AX31" s="88"/>
      <c r="AY31" s="75"/>
      <c r="AZ31" s="90">
        <f t="shared" si="17"/>
        <v>0</v>
      </c>
      <c r="BA31" s="75"/>
      <c r="BB31" s="90">
        <f t="shared" si="38"/>
        <v>0</v>
      </c>
      <c r="BC31" s="75"/>
      <c r="BD31" s="90">
        <f t="shared" si="40"/>
        <v>0</v>
      </c>
      <c r="BE31" s="75"/>
      <c r="BF31" s="90">
        <f t="shared" si="39"/>
        <v>0</v>
      </c>
      <c r="BG31" s="75"/>
      <c r="BH31" s="90">
        <f t="shared" si="21"/>
        <v>0</v>
      </c>
      <c r="BI31" s="75"/>
      <c r="BJ31" s="90">
        <f t="shared" si="22"/>
        <v>0</v>
      </c>
      <c r="BK31" s="92">
        <f t="shared" si="36"/>
        <v>0</v>
      </c>
      <c r="BL31" s="93">
        <f t="shared" si="24"/>
        <v>0</v>
      </c>
      <c r="BM31" s="94">
        <f t="shared" si="25"/>
        <v>0</v>
      </c>
      <c r="BO31" s="240">
        <f t="shared" si="26"/>
        <v>0</v>
      </c>
      <c r="BP31" s="240">
        <f t="shared" si="27"/>
        <v>0</v>
      </c>
      <c r="BQ31" s="240">
        <f t="shared" si="28"/>
        <v>0</v>
      </c>
      <c r="BR31" s="240">
        <f t="shared" si="29"/>
        <v>0</v>
      </c>
      <c r="BS31" s="240">
        <f t="shared" si="30"/>
        <v>0</v>
      </c>
      <c r="BT31" s="240">
        <f t="shared" si="31"/>
        <v>0</v>
      </c>
      <c r="BU31" s="240">
        <f t="shared" si="32"/>
        <v>0</v>
      </c>
      <c r="BV31" s="240">
        <f t="shared" si="33"/>
        <v>0</v>
      </c>
      <c r="BW31" s="240">
        <f t="shared" si="34"/>
        <v>0</v>
      </c>
    </row>
    <row r="32" ht="15.75" customHeight="1">
      <c r="A32" s="168">
        <f>'LUCERO RECOLETA'!A32</f>
        <v>46166</v>
      </c>
      <c r="B32" s="162"/>
      <c r="C32" s="163">
        <v>0.0</v>
      </c>
      <c r="D32" s="165">
        <f t="shared" si="35"/>
        <v>380</v>
      </c>
      <c r="E32" s="165">
        <f t="shared" si="2"/>
        <v>379</v>
      </c>
      <c r="F32" s="73"/>
      <c r="G32" s="74"/>
      <c r="H32" s="169">
        <v>0.0</v>
      </c>
      <c r="I32" s="75">
        <f t="shared" si="44"/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6"/>
      <c r="Q32" s="83">
        <f t="shared" si="5"/>
        <v>0</v>
      </c>
      <c r="R32" s="165"/>
      <c r="S32" s="165"/>
      <c r="T32" s="79"/>
      <c r="U32" s="80">
        <f t="shared" si="37"/>
        <v>0</v>
      </c>
      <c r="V32" s="166"/>
      <c r="W32" s="82">
        <f t="shared" si="7"/>
        <v>0</v>
      </c>
      <c r="X32" s="165"/>
      <c r="Y32" s="165"/>
      <c r="Z32" s="79"/>
      <c r="AA32" s="80">
        <f t="shared" si="43"/>
        <v>0</v>
      </c>
      <c r="AB32" s="166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98"/>
      <c r="AR32" s="96"/>
      <c r="AS32" s="90"/>
      <c r="AT32" s="90">
        <f t="shared" si="41"/>
        <v>0</v>
      </c>
      <c r="AU32" s="75"/>
      <c r="AV32" s="75"/>
      <c r="AW32" s="90"/>
      <c r="AX32" s="88"/>
      <c r="AY32" s="75"/>
      <c r="AZ32" s="90">
        <f t="shared" si="17"/>
        <v>0</v>
      </c>
      <c r="BA32" s="75"/>
      <c r="BB32" s="90">
        <f t="shared" si="38"/>
        <v>0</v>
      </c>
      <c r="BC32" s="75"/>
      <c r="BD32" s="90">
        <f t="shared" si="40"/>
        <v>0</v>
      </c>
      <c r="BE32" s="75"/>
      <c r="BF32" s="90">
        <f t="shared" si="39"/>
        <v>0</v>
      </c>
      <c r="BG32" s="75"/>
      <c r="BH32" s="90">
        <f t="shared" si="21"/>
        <v>0</v>
      </c>
      <c r="BI32" s="75"/>
      <c r="BJ32" s="90">
        <f t="shared" si="22"/>
        <v>0</v>
      </c>
      <c r="BK32" s="92">
        <f t="shared" si="36"/>
        <v>0</v>
      </c>
      <c r="BL32" s="93">
        <f t="shared" si="24"/>
        <v>0</v>
      </c>
      <c r="BM32" s="94">
        <f t="shared" si="25"/>
        <v>0</v>
      </c>
      <c r="BO32" s="240">
        <f t="shared" si="26"/>
        <v>0</v>
      </c>
      <c r="BP32" s="240">
        <f t="shared" si="27"/>
        <v>0</v>
      </c>
      <c r="BQ32" s="240">
        <f t="shared" si="28"/>
        <v>0</v>
      </c>
      <c r="BR32" s="240">
        <f t="shared" si="29"/>
        <v>0</v>
      </c>
      <c r="BS32" s="240">
        <f t="shared" si="30"/>
        <v>0</v>
      </c>
      <c r="BT32" s="240">
        <f t="shared" si="31"/>
        <v>0</v>
      </c>
      <c r="BU32" s="240">
        <f t="shared" si="32"/>
        <v>0</v>
      </c>
      <c r="BV32" s="240">
        <f t="shared" si="33"/>
        <v>0</v>
      </c>
      <c r="BW32" s="240">
        <f t="shared" si="34"/>
        <v>0</v>
      </c>
    </row>
    <row r="33" ht="15.75" customHeight="1">
      <c r="A33" s="168">
        <f>'LUCERO RECOLETA'!A33</f>
        <v>46167</v>
      </c>
      <c r="B33" s="162"/>
      <c r="C33" s="176">
        <v>0.0</v>
      </c>
      <c r="D33" s="165">
        <f t="shared" si="35"/>
        <v>380</v>
      </c>
      <c r="E33" s="165">
        <f t="shared" si="2"/>
        <v>379</v>
      </c>
      <c r="F33" s="73"/>
      <c r="G33" s="74"/>
      <c r="H33" s="169">
        <v>0.0</v>
      </c>
      <c r="I33" s="75">
        <f t="shared" si="44"/>
        <v>0</v>
      </c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6"/>
      <c r="Q33" s="83">
        <f t="shared" si="5"/>
        <v>0</v>
      </c>
      <c r="R33" s="165"/>
      <c r="S33" s="165"/>
      <c r="T33" s="79"/>
      <c r="U33" s="80">
        <f t="shared" si="37"/>
        <v>0</v>
      </c>
      <c r="V33" s="166"/>
      <c r="W33" s="82">
        <f t="shared" si="7"/>
        <v>0</v>
      </c>
      <c r="X33" s="165"/>
      <c r="Y33" s="165"/>
      <c r="Z33" s="79"/>
      <c r="AA33" s="80">
        <f t="shared" si="43"/>
        <v>0</v>
      </c>
      <c r="AB33" s="166"/>
      <c r="AC33" s="81">
        <f t="shared" si="9"/>
        <v>0</v>
      </c>
      <c r="AD33" s="84">
        <f t="shared" si="10"/>
        <v>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0</v>
      </c>
      <c r="AQ33" s="98"/>
      <c r="AR33" s="96"/>
      <c r="AS33" s="90"/>
      <c r="AT33" s="90">
        <f t="shared" si="41"/>
        <v>0</v>
      </c>
      <c r="AU33" s="75"/>
      <c r="AV33" s="75"/>
      <c r="AW33" s="90"/>
      <c r="AX33" s="88"/>
      <c r="AY33" s="75"/>
      <c r="AZ33" s="90">
        <f t="shared" si="17"/>
        <v>0</v>
      </c>
      <c r="BA33" s="75"/>
      <c r="BB33" s="90">
        <f t="shared" si="38"/>
        <v>0</v>
      </c>
      <c r="BC33" s="75"/>
      <c r="BD33" s="90">
        <f t="shared" si="40"/>
        <v>0</v>
      </c>
      <c r="BE33" s="75"/>
      <c r="BF33" s="90">
        <f t="shared" si="39"/>
        <v>0</v>
      </c>
      <c r="BG33" s="75"/>
      <c r="BH33" s="90">
        <f t="shared" si="21"/>
        <v>0</v>
      </c>
      <c r="BI33" s="75"/>
      <c r="BJ33" s="90">
        <f t="shared" si="22"/>
        <v>0</v>
      </c>
      <c r="BK33" s="92">
        <f t="shared" si="36"/>
        <v>0</v>
      </c>
      <c r="BL33" s="93">
        <f t="shared" si="24"/>
        <v>0</v>
      </c>
      <c r="BM33" s="94">
        <f t="shared" si="25"/>
        <v>0</v>
      </c>
      <c r="BO33" s="240">
        <f t="shared" si="26"/>
        <v>0</v>
      </c>
      <c r="BP33" s="240">
        <f t="shared" si="27"/>
        <v>0</v>
      </c>
      <c r="BQ33" s="240">
        <f t="shared" si="28"/>
        <v>0</v>
      </c>
      <c r="BR33" s="240">
        <f t="shared" si="29"/>
        <v>0</v>
      </c>
      <c r="BS33" s="240">
        <f t="shared" si="30"/>
        <v>0</v>
      </c>
      <c r="BT33" s="240">
        <f t="shared" si="31"/>
        <v>0</v>
      </c>
      <c r="BU33" s="240">
        <f t="shared" si="32"/>
        <v>0</v>
      </c>
      <c r="BV33" s="240">
        <f t="shared" si="33"/>
        <v>0</v>
      </c>
      <c r="BW33" s="240">
        <f t="shared" si="34"/>
        <v>0</v>
      </c>
    </row>
    <row r="34" ht="15.75" customHeight="1">
      <c r="A34" s="168">
        <f>'LUCERO RECOLETA'!A34</f>
        <v>46168</v>
      </c>
      <c r="B34" s="162"/>
      <c r="C34" s="176">
        <v>4.0</v>
      </c>
      <c r="D34" s="165">
        <f t="shared" si="35"/>
        <v>380</v>
      </c>
      <c r="E34" s="165">
        <f t="shared" si="2"/>
        <v>383</v>
      </c>
      <c r="F34" s="73"/>
      <c r="G34" s="74"/>
      <c r="H34" s="169">
        <v>507272.73</v>
      </c>
      <c r="I34" s="169">
        <v>106527.27</v>
      </c>
      <c r="J34" s="76"/>
      <c r="K34" s="83">
        <f t="shared" si="3"/>
        <v>613800</v>
      </c>
      <c r="L34" s="78"/>
      <c r="M34" s="78"/>
      <c r="N34" s="79"/>
      <c r="O34" s="80">
        <f t="shared" si="4"/>
        <v>0</v>
      </c>
      <c r="P34" s="166"/>
      <c r="Q34" s="83">
        <f t="shared" si="5"/>
        <v>0</v>
      </c>
      <c r="R34" s="165"/>
      <c r="S34" s="165"/>
      <c r="T34" s="79"/>
      <c r="U34" s="80">
        <f t="shared" si="37"/>
        <v>0</v>
      </c>
      <c r="V34" s="166"/>
      <c r="W34" s="82">
        <f t="shared" si="7"/>
        <v>0</v>
      </c>
      <c r="X34" s="165"/>
      <c r="Y34" s="165"/>
      <c r="Z34" s="79"/>
      <c r="AA34" s="80">
        <f t="shared" si="43"/>
        <v>0</v>
      </c>
      <c r="AB34" s="166"/>
      <c r="AC34" s="81">
        <f t="shared" si="9"/>
        <v>0</v>
      </c>
      <c r="AD34" s="84">
        <f t="shared" si="10"/>
        <v>613800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-613800</v>
      </c>
      <c r="AQ34" s="178">
        <v>0.0</v>
      </c>
      <c r="AR34" s="96"/>
      <c r="AS34" s="90"/>
      <c r="AT34" s="90">
        <f t="shared" si="41"/>
        <v>613800</v>
      </c>
      <c r="AU34" s="75"/>
      <c r="AV34" s="169">
        <v>613800.0</v>
      </c>
      <c r="AW34" s="187"/>
      <c r="AX34" s="88"/>
      <c r="AY34" s="75"/>
      <c r="AZ34" s="90">
        <f t="shared" ref="AZ34:AZ40" si="45">AY34*AZ$3</f>
        <v>0</v>
      </c>
      <c r="BA34" s="75"/>
      <c r="BB34" s="90">
        <f>BA34*1410</f>
        <v>0</v>
      </c>
      <c r="BC34" s="75"/>
      <c r="BD34" s="90">
        <f t="shared" ref="BD34:BD36" si="46">BC34*BD$3</f>
        <v>0</v>
      </c>
      <c r="BE34" s="75"/>
      <c r="BF34" s="90">
        <f t="shared" ref="BF34:BF40" si="47">BE34*BF$3</f>
        <v>0</v>
      </c>
      <c r="BG34" s="75"/>
      <c r="BH34" s="90">
        <f t="shared" ref="BH34:BH40" si="48">BG34*BH$3</f>
        <v>0</v>
      </c>
      <c r="BI34" s="75"/>
      <c r="BJ34" s="90">
        <f t="shared" ref="BJ34:BJ40" si="49">BI34*BJ$3</f>
        <v>0</v>
      </c>
      <c r="BK34" s="92">
        <f t="shared" si="36"/>
        <v>613800</v>
      </c>
      <c r="BL34" s="93">
        <f t="shared" si="24"/>
        <v>613800</v>
      </c>
      <c r="BM34" s="94">
        <f t="shared" si="25"/>
        <v>0</v>
      </c>
      <c r="BN34" s="222"/>
      <c r="BO34" s="240">
        <f t="shared" si="26"/>
        <v>0</v>
      </c>
      <c r="BP34" s="240">
        <f t="shared" si="27"/>
        <v>0</v>
      </c>
      <c r="BQ34" s="240">
        <f t="shared" si="28"/>
        <v>1</v>
      </c>
      <c r="BR34" s="240">
        <f t="shared" si="29"/>
        <v>0</v>
      </c>
      <c r="BS34" s="240">
        <f t="shared" si="30"/>
        <v>0</v>
      </c>
      <c r="BT34" s="240">
        <f t="shared" si="31"/>
        <v>0</v>
      </c>
      <c r="BU34" s="240">
        <f t="shared" si="32"/>
        <v>0</v>
      </c>
      <c r="BV34" s="240">
        <f t="shared" si="33"/>
        <v>1</v>
      </c>
      <c r="BW34" s="240">
        <f t="shared" si="34"/>
        <v>0.08606595305</v>
      </c>
    </row>
    <row r="35" ht="15.75" customHeight="1">
      <c r="A35" s="168">
        <f>'LUCERO RECOLETA'!A35</f>
        <v>46169</v>
      </c>
      <c r="B35" s="162"/>
      <c r="C35" s="163">
        <v>9.0</v>
      </c>
      <c r="D35" s="165">
        <f t="shared" si="35"/>
        <v>384</v>
      </c>
      <c r="E35" s="165">
        <f t="shared" si="2"/>
        <v>392</v>
      </c>
      <c r="F35" s="73"/>
      <c r="G35" s="74"/>
      <c r="H35" s="169">
        <v>806859.51</v>
      </c>
      <c r="I35" s="169">
        <v>169440.49</v>
      </c>
      <c r="J35" s="76"/>
      <c r="K35" s="83">
        <f t="shared" si="3"/>
        <v>976300</v>
      </c>
      <c r="L35" s="78"/>
      <c r="M35" s="78"/>
      <c r="N35" s="79"/>
      <c r="O35" s="80">
        <f t="shared" si="4"/>
        <v>0</v>
      </c>
      <c r="P35" s="166"/>
      <c r="Q35" s="83">
        <f t="shared" si="5"/>
        <v>0</v>
      </c>
      <c r="R35" s="165"/>
      <c r="S35" s="165"/>
      <c r="T35" s="79"/>
      <c r="U35" s="80">
        <f t="shared" si="37"/>
        <v>0</v>
      </c>
      <c r="V35" s="166"/>
      <c r="W35" s="82">
        <f t="shared" si="7"/>
        <v>0</v>
      </c>
      <c r="X35" s="171">
        <v>17.0</v>
      </c>
      <c r="Y35" s="171">
        <v>19.0</v>
      </c>
      <c r="Z35" s="172">
        <v>219834.71</v>
      </c>
      <c r="AA35" s="173">
        <v>46165.29</v>
      </c>
      <c r="AB35" s="166"/>
      <c r="AC35" s="81">
        <f t="shared" si="9"/>
        <v>266000</v>
      </c>
      <c r="AD35" s="84">
        <f t="shared" si="10"/>
        <v>710300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-705400</v>
      </c>
      <c r="AQ35" s="178">
        <v>90000.0</v>
      </c>
      <c r="AR35" s="96"/>
      <c r="AS35" s="90"/>
      <c r="AT35" s="187">
        <v>615400.0</v>
      </c>
      <c r="AU35" s="75"/>
      <c r="AV35" s="75"/>
      <c r="AW35" s="187"/>
      <c r="AX35" s="88"/>
      <c r="AY35" s="75"/>
      <c r="AZ35" s="90">
        <f t="shared" si="45"/>
        <v>0</v>
      </c>
      <c r="BA35" s="75"/>
      <c r="BB35" s="90">
        <f>BA35*1460</f>
        <v>0</v>
      </c>
      <c r="BC35" s="75"/>
      <c r="BD35" s="90">
        <f t="shared" si="46"/>
        <v>0</v>
      </c>
      <c r="BE35" s="75"/>
      <c r="BF35" s="90">
        <f t="shared" si="47"/>
        <v>0</v>
      </c>
      <c r="BG35" s="75"/>
      <c r="BH35" s="90">
        <f t="shared" si="48"/>
        <v>0</v>
      </c>
      <c r="BI35" s="75"/>
      <c r="BJ35" s="90">
        <f t="shared" si="49"/>
        <v>0</v>
      </c>
      <c r="BK35" s="92">
        <f t="shared" si="36"/>
        <v>705400</v>
      </c>
      <c r="BL35" s="93">
        <f t="shared" si="24"/>
        <v>710300</v>
      </c>
      <c r="BM35" s="94">
        <f t="shared" si="25"/>
        <v>-4900</v>
      </c>
      <c r="BO35" s="240">
        <f t="shared" si="26"/>
        <v>0.1267070252</v>
      </c>
      <c r="BP35" s="240">
        <f t="shared" si="27"/>
        <v>0</v>
      </c>
      <c r="BQ35" s="240">
        <f t="shared" si="28"/>
        <v>0</v>
      </c>
      <c r="BR35" s="240">
        <f t="shared" si="29"/>
        <v>0</v>
      </c>
      <c r="BS35" s="240">
        <f t="shared" si="30"/>
        <v>0</v>
      </c>
      <c r="BT35" s="240">
        <f t="shared" si="31"/>
        <v>0</v>
      </c>
      <c r="BU35" s="240">
        <f t="shared" si="32"/>
        <v>0</v>
      </c>
      <c r="BV35" s="240">
        <f t="shared" si="33"/>
        <v>0.1267070252</v>
      </c>
      <c r="BW35" s="240">
        <f t="shared" si="34"/>
        <v>0.09959701279</v>
      </c>
    </row>
    <row r="36" ht="15.75" customHeight="1">
      <c r="A36" s="168">
        <f>'LUCERO RECOLETA'!A36</f>
        <v>46170</v>
      </c>
      <c r="B36" s="162"/>
      <c r="C36" s="163">
        <v>3.0</v>
      </c>
      <c r="D36" s="165">
        <f t="shared" si="35"/>
        <v>393</v>
      </c>
      <c r="E36" s="165">
        <f t="shared" si="2"/>
        <v>395</v>
      </c>
      <c r="F36" s="73"/>
      <c r="G36" s="74"/>
      <c r="H36" s="169">
        <v>274297.53</v>
      </c>
      <c r="I36" s="169">
        <v>57602.47</v>
      </c>
      <c r="J36" s="76"/>
      <c r="K36" s="83">
        <f t="shared" si="3"/>
        <v>331900</v>
      </c>
      <c r="L36" s="78"/>
      <c r="M36" s="78"/>
      <c r="N36" s="79"/>
      <c r="O36" s="80">
        <f t="shared" si="4"/>
        <v>0</v>
      </c>
      <c r="P36" s="166"/>
      <c r="Q36" s="83">
        <f t="shared" si="5"/>
        <v>0</v>
      </c>
      <c r="R36" s="165"/>
      <c r="S36" s="165"/>
      <c r="T36" s="79"/>
      <c r="U36" s="80">
        <f t="shared" si="37"/>
        <v>0</v>
      </c>
      <c r="V36" s="166"/>
      <c r="W36" s="82">
        <f t="shared" si="7"/>
        <v>0</v>
      </c>
      <c r="X36" s="165"/>
      <c r="Y36" s="165"/>
      <c r="Z36" s="172"/>
      <c r="AA36" s="173">
        <v>0.0</v>
      </c>
      <c r="AB36" s="166"/>
      <c r="AC36" s="81">
        <f t="shared" si="9"/>
        <v>0</v>
      </c>
      <c r="AD36" s="84">
        <f t="shared" si="10"/>
        <v>331900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-331900</v>
      </c>
      <c r="AQ36" s="178">
        <v>0.0</v>
      </c>
      <c r="AR36" s="96"/>
      <c r="AS36" s="90"/>
      <c r="AT36" s="90">
        <f t="shared" ref="AT36:AT39" si="50">SUM(AU36:AV36)</f>
        <v>331900</v>
      </c>
      <c r="AU36" s="169">
        <v>148000.0</v>
      </c>
      <c r="AV36" s="169">
        <v>183900.0</v>
      </c>
      <c r="AW36" s="187"/>
      <c r="AX36" s="88"/>
      <c r="AY36" s="75"/>
      <c r="AZ36" s="90">
        <f t="shared" si="45"/>
        <v>0</v>
      </c>
      <c r="BA36" s="75"/>
      <c r="BB36" s="90">
        <f t="shared" ref="BB36:BB37" si="51">BA36*1400</f>
        <v>0</v>
      </c>
      <c r="BC36" s="75"/>
      <c r="BD36" s="90">
        <f t="shared" si="46"/>
        <v>0</v>
      </c>
      <c r="BE36" s="75"/>
      <c r="BF36" s="90">
        <f t="shared" si="47"/>
        <v>0</v>
      </c>
      <c r="BG36" s="75"/>
      <c r="BH36" s="90">
        <f t="shared" si="48"/>
        <v>0</v>
      </c>
      <c r="BI36" s="75"/>
      <c r="BJ36" s="90">
        <f t="shared" si="49"/>
        <v>0</v>
      </c>
      <c r="BK36" s="92">
        <f t="shared" si="36"/>
        <v>331900</v>
      </c>
      <c r="BL36" s="93">
        <f t="shared" si="24"/>
        <v>331900</v>
      </c>
      <c r="BM36" s="94">
        <f t="shared" si="25"/>
        <v>0</v>
      </c>
      <c r="BO36" s="240">
        <f t="shared" si="26"/>
        <v>0</v>
      </c>
      <c r="BP36" s="240">
        <f t="shared" si="27"/>
        <v>0.445917445</v>
      </c>
      <c r="BQ36" s="240">
        <f t="shared" si="28"/>
        <v>0.554082555</v>
      </c>
      <c r="BR36" s="240">
        <f t="shared" si="29"/>
        <v>0</v>
      </c>
      <c r="BS36" s="240">
        <f t="shared" si="30"/>
        <v>0</v>
      </c>
      <c r="BT36" s="240">
        <f t="shared" si="31"/>
        <v>0</v>
      </c>
      <c r="BU36" s="240">
        <f t="shared" si="32"/>
        <v>0</v>
      </c>
      <c r="BV36" s="240">
        <f t="shared" si="33"/>
        <v>1</v>
      </c>
      <c r="BW36" s="240">
        <f t="shared" si="34"/>
        <v>0.04653843242</v>
      </c>
    </row>
    <row r="37" ht="15.75" customHeight="1">
      <c r="A37" s="168">
        <f>'LUCERO RECOLETA'!A37</f>
        <v>46171</v>
      </c>
      <c r="B37" s="162"/>
      <c r="C37" s="163">
        <v>4.0</v>
      </c>
      <c r="D37" s="165">
        <f t="shared" si="35"/>
        <v>396</v>
      </c>
      <c r="E37" s="165">
        <f t="shared" si="2"/>
        <v>399</v>
      </c>
      <c r="F37" s="73"/>
      <c r="G37" s="74"/>
      <c r="H37" s="169">
        <v>236198.34</v>
      </c>
      <c r="I37" s="169">
        <v>49601.66</v>
      </c>
      <c r="J37" s="76"/>
      <c r="K37" s="83">
        <f t="shared" si="3"/>
        <v>285800</v>
      </c>
      <c r="L37" s="78"/>
      <c r="M37" s="78"/>
      <c r="N37" s="79"/>
      <c r="O37" s="80">
        <f t="shared" si="4"/>
        <v>0</v>
      </c>
      <c r="P37" s="166"/>
      <c r="Q37" s="83">
        <f t="shared" si="5"/>
        <v>0</v>
      </c>
      <c r="R37" s="165"/>
      <c r="S37" s="165"/>
      <c r="T37" s="79"/>
      <c r="U37" s="80">
        <f t="shared" si="37"/>
        <v>0</v>
      </c>
      <c r="V37" s="166"/>
      <c r="W37" s="82">
        <f t="shared" si="7"/>
        <v>0</v>
      </c>
      <c r="X37" s="171">
        <v>20.0</v>
      </c>
      <c r="Y37" s="171">
        <v>21.0</v>
      </c>
      <c r="Z37" s="172">
        <v>118099.17</v>
      </c>
      <c r="AA37" s="173">
        <v>24800.83</v>
      </c>
      <c r="AB37" s="166"/>
      <c r="AC37" s="81">
        <f t="shared" si="9"/>
        <v>142900</v>
      </c>
      <c r="AD37" s="84">
        <f t="shared" si="10"/>
        <v>142900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-144000</v>
      </c>
      <c r="AQ37" s="178">
        <v>16000.0</v>
      </c>
      <c r="AR37" s="96"/>
      <c r="AS37" s="90"/>
      <c r="AT37" s="90">
        <f t="shared" si="50"/>
        <v>128000</v>
      </c>
      <c r="AU37" s="75"/>
      <c r="AV37" s="169">
        <v>128000.0</v>
      </c>
      <c r="AW37" s="187"/>
      <c r="AX37" s="88"/>
      <c r="AY37" s="75"/>
      <c r="AZ37" s="90">
        <f t="shared" si="45"/>
        <v>0</v>
      </c>
      <c r="BA37" s="75"/>
      <c r="BB37" s="90">
        <f t="shared" si="51"/>
        <v>0</v>
      </c>
      <c r="BC37" s="75"/>
      <c r="BD37" s="90">
        <f>BC37*1400</f>
        <v>0</v>
      </c>
      <c r="BE37" s="75"/>
      <c r="BF37" s="90">
        <f t="shared" si="47"/>
        <v>0</v>
      </c>
      <c r="BG37" s="75"/>
      <c r="BH37" s="90">
        <f t="shared" si="48"/>
        <v>0</v>
      </c>
      <c r="BI37" s="75"/>
      <c r="BJ37" s="90">
        <f t="shared" si="49"/>
        <v>0</v>
      </c>
      <c r="BK37" s="92">
        <f t="shared" si="36"/>
        <v>144000</v>
      </c>
      <c r="BL37" s="93">
        <f t="shared" si="24"/>
        <v>142900</v>
      </c>
      <c r="BM37" s="94">
        <f t="shared" si="25"/>
        <v>1100</v>
      </c>
      <c r="BO37" s="240">
        <f t="shared" si="26"/>
        <v>0.1119664101</v>
      </c>
      <c r="BP37" s="240">
        <f t="shared" si="27"/>
        <v>0</v>
      </c>
      <c r="BQ37" s="240">
        <f t="shared" si="28"/>
        <v>0.8957312806</v>
      </c>
      <c r="BR37" s="240">
        <f t="shared" si="29"/>
        <v>0</v>
      </c>
      <c r="BS37" s="240">
        <f t="shared" si="30"/>
        <v>0</v>
      </c>
      <c r="BT37" s="240">
        <f t="shared" si="31"/>
        <v>0</v>
      </c>
      <c r="BU37" s="240">
        <f t="shared" si="32"/>
        <v>0</v>
      </c>
      <c r="BV37" s="240">
        <f t="shared" si="33"/>
        <v>1.007697691</v>
      </c>
      <c r="BW37" s="240">
        <f t="shared" si="34"/>
        <v>0.02003718588</v>
      </c>
    </row>
    <row r="38" ht="15.75" customHeight="1">
      <c r="A38" s="168">
        <f>'LUCERO RECOLETA'!A38</f>
        <v>46172</v>
      </c>
      <c r="B38" s="162"/>
      <c r="C38" s="163">
        <v>0.0</v>
      </c>
      <c r="D38" s="165">
        <f t="shared" si="35"/>
        <v>400</v>
      </c>
      <c r="E38" s="165">
        <f t="shared" si="2"/>
        <v>399</v>
      </c>
      <c r="F38" s="73"/>
      <c r="G38" s="74"/>
      <c r="H38" s="169">
        <v>0.0</v>
      </c>
      <c r="I38" s="75">
        <f t="shared" ref="I38:I40" si="52">H38*21%</f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6"/>
      <c r="Q38" s="83">
        <f t="shared" si="5"/>
        <v>0</v>
      </c>
      <c r="R38" s="165"/>
      <c r="S38" s="165"/>
      <c r="T38" s="79"/>
      <c r="U38" s="80">
        <f t="shared" si="37"/>
        <v>0</v>
      </c>
      <c r="V38" s="166"/>
      <c r="W38" s="82">
        <f t="shared" si="7"/>
        <v>0</v>
      </c>
      <c r="X38" s="165"/>
      <c r="Y38" s="165"/>
      <c r="Z38" s="79"/>
      <c r="AA38" s="80">
        <f t="shared" ref="AA38:AA40" si="53">Z38*21%</f>
        <v>0</v>
      </c>
      <c r="AB38" s="166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>AG38</f>
        <v/>
      </c>
      <c r="AT38" s="90">
        <f t="shared" si="50"/>
        <v>0</v>
      </c>
      <c r="AU38" s="75"/>
      <c r="AV38" s="75"/>
      <c r="AW38" s="90"/>
      <c r="AX38" s="88"/>
      <c r="AY38" s="75"/>
      <c r="AZ38" s="90">
        <f t="shared" si="45"/>
        <v>0</v>
      </c>
      <c r="BA38" s="75"/>
      <c r="BB38" s="90">
        <f t="shared" ref="BB38:BB40" si="54">BA38*BB$3</f>
        <v>0</v>
      </c>
      <c r="BC38" s="75"/>
      <c r="BD38" s="90">
        <f t="shared" ref="BD38:BD40" si="55">BC38*BD$3</f>
        <v>0</v>
      </c>
      <c r="BE38" s="75"/>
      <c r="BF38" s="90">
        <f t="shared" si="47"/>
        <v>0</v>
      </c>
      <c r="BG38" s="75"/>
      <c r="BH38" s="90">
        <f t="shared" si="48"/>
        <v>0</v>
      </c>
      <c r="BI38" s="75"/>
      <c r="BJ38" s="90">
        <f t="shared" si="49"/>
        <v>0</v>
      </c>
      <c r="BK38" s="92">
        <f t="shared" si="36"/>
        <v>0</v>
      </c>
      <c r="BL38" s="93">
        <f t="shared" si="24"/>
        <v>0</v>
      </c>
      <c r="BM38" s="94">
        <f t="shared" si="25"/>
        <v>0</v>
      </c>
      <c r="BN38" s="222"/>
      <c r="BO38" s="240">
        <f t="shared" si="26"/>
        <v>0</v>
      </c>
      <c r="BP38" s="240">
        <f t="shared" si="27"/>
        <v>0</v>
      </c>
      <c r="BQ38" s="240">
        <f t="shared" si="28"/>
        <v>0</v>
      </c>
      <c r="BR38" s="240">
        <f t="shared" si="29"/>
        <v>0</v>
      </c>
      <c r="BS38" s="240">
        <f t="shared" si="30"/>
        <v>0</v>
      </c>
      <c r="BT38" s="240">
        <f t="shared" si="31"/>
        <v>0</v>
      </c>
      <c r="BU38" s="240">
        <f t="shared" si="32"/>
        <v>0</v>
      </c>
      <c r="BV38" s="240">
        <f t="shared" si="33"/>
        <v>0</v>
      </c>
      <c r="BW38" s="240">
        <f t="shared" si="34"/>
        <v>0</v>
      </c>
    </row>
    <row r="39" ht="15.75" customHeight="1">
      <c r="A39" s="168">
        <f>'LUCERO RECOLETA'!A39</f>
        <v>46173</v>
      </c>
      <c r="B39" s="162"/>
      <c r="C39" s="163">
        <v>0.0</v>
      </c>
      <c r="D39" s="165">
        <f t="shared" si="35"/>
        <v>400</v>
      </c>
      <c r="E39" s="165">
        <f t="shared" si="2"/>
        <v>399</v>
      </c>
      <c r="F39" s="73"/>
      <c r="G39" s="74"/>
      <c r="H39" s="169">
        <v>0.0</v>
      </c>
      <c r="I39" s="75">
        <f t="shared" si="52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6"/>
      <c r="Q39" s="83">
        <f t="shared" si="5"/>
        <v>0</v>
      </c>
      <c r="R39" s="165"/>
      <c r="S39" s="165"/>
      <c r="T39" s="79"/>
      <c r="U39" s="80">
        <f t="shared" si="37"/>
        <v>0</v>
      </c>
      <c r="V39" s="166"/>
      <c r="W39" s="82">
        <f t="shared" si="7"/>
        <v>0</v>
      </c>
      <c r="X39" s="165"/>
      <c r="Y39" s="165"/>
      <c r="Z39" s="79"/>
      <c r="AA39" s="80">
        <f t="shared" si="53"/>
        <v>0</v>
      </c>
      <c r="AB39" s="166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 t="shared" si="50"/>
        <v>0</v>
      </c>
      <c r="AU39" s="75"/>
      <c r="AV39" s="75"/>
      <c r="AW39" s="90"/>
      <c r="AX39" s="88"/>
      <c r="AY39" s="75"/>
      <c r="AZ39" s="90">
        <f t="shared" si="45"/>
        <v>0</v>
      </c>
      <c r="BA39" s="75"/>
      <c r="BB39" s="90">
        <f t="shared" si="54"/>
        <v>0</v>
      </c>
      <c r="BC39" s="75"/>
      <c r="BD39" s="90">
        <f t="shared" si="55"/>
        <v>0</v>
      </c>
      <c r="BE39" s="75"/>
      <c r="BF39" s="90">
        <f t="shared" si="47"/>
        <v>0</v>
      </c>
      <c r="BG39" s="75"/>
      <c r="BH39" s="90">
        <f t="shared" si="48"/>
        <v>0</v>
      </c>
      <c r="BI39" s="75"/>
      <c r="BJ39" s="90">
        <f t="shared" si="49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222"/>
      <c r="BO39" s="240"/>
      <c r="BP39" s="240"/>
      <c r="BQ39" s="240"/>
      <c r="BR39" s="240"/>
      <c r="BS39" s="240"/>
      <c r="BT39" s="240"/>
      <c r="BU39" s="240"/>
      <c r="BV39" s="240"/>
      <c r="BW39" s="240">
        <f t="shared" si="34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 t="shared" si="52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6"/>
      <c r="Q40" s="83"/>
      <c r="R40" s="165"/>
      <c r="S40" s="165"/>
      <c r="T40" s="79"/>
      <c r="U40" s="80">
        <f t="shared" si="37"/>
        <v>0</v>
      </c>
      <c r="V40" s="166"/>
      <c r="W40" s="82"/>
      <c r="X40" s="165"/>
      <c r="Y40" s="165"/>
      <c r="Z40" s="79"/>
      <c r="AA40" s="80">
        <f t="shared" si="53"/>
        <v>0</v>
      </c>
      <c r="AB40" s="166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5"/>
        <v>0</v>
      </c>
      <c r="BA40" s="75"/>
      <c r="BB40" s="90">
        <f t="shared" si="54"/>
        <v>0</v>
      </c>
      <c r="BC40" s="75"/>
      <c r="BD40" s="90">
        <f t="shared" si="55"/>
        <v>0</v>
      </c>
      <c r="BE40" s="75"/>
      <c r="BF40" s="90">
        <f t="shared" si="47"/>
        <v>0</v>
      </c>
      <c r="BG40" s="75"/>
      <c r="BH40" s="90">
        <f t="shared" si="48"/>
        <v>0</v>
      </c>
      <c r="BI40" s="75"/>
      <c r="BJ40" s="90">
        <f t="shared" si="49"/>
        <v>0</v>
      </c>
      <c r="BK40" s="92">
        <f t="shared" si="36"/>
        <v>0</v>
      </c>
      <c r="BL40" s="93"/>
      <c r="BM40" s="94">
        <f t="shared" si="25"/>
        <v>0</v>
      </c>
      <c r="BN40" s="222"/>
      <c r="BO40" s="240"/>
      <c r="BP40" s="240"/>
      <c r="BQ40" s="240"/>
      <c r="BR40" s="240"/>
      <c r="BS40" s="240"/>
      <c r="BT40" s="240"/>
      <c r="BU40" s="240"/>
      <c r="BV40" s="240"/>
      <c r="BW40" s="240"/>
    </row>
    <row r="41" ht="20.25" customHeight="1">
      <c r="A41" s="242" t="s">
        <v>54</v>
      </c>
      <c r="B41" s="243">
        <f>MAX(B9:B40)</f>
        <v>0</v>
      </c>
      <c r="C41" s="244">
        <f>SUM(C9:C40)</f>
        <v>76</v>
      </c>
      <c r="D41" s="243">
        <f>MIN(D9:D40)</f>
        <v>324</v>
      </c>
      <c r="E41" s="243">
        <f>MAX(E9:E40)</f>
        <v>399</v>
      </c>
      <c r="F41" s="244">
        <f t="shared" ref="F41:K41" si="56">SUM(F9:F40)</f>
        <v>0</v>
      </c>
      <c r="G41" s="244">
        <f t="shared" si="56"/>
        <v>0</v>
      </c>
      <c r="H41" s="245">
        <f t="shared" si="56"/>
        <v>6423669.45</v>
      </c>
      <c r="I41" s="245">
        <f t="shared" si="56"/>
        <v>1348970.55</v>
      </c>
      <c r="J41" s="245">
        <f t="shared" si="56"/>
        <v>0</v>
      </c>
      <c r="K41" s="245">
        <f t="shared" si="56"/>
        <v>7772640</v>
      </c>
      <c r="L41" s="285">
        <f>MIN(L9:L40)</f>
        <v>0</v>
      </c>
      <c r="M41" s="285">
        <f>MAX(M9:M40)</f>
        <v>0</v>
      </c>
      <c r="N41" s="247">
        <f t="shared" ref="N41:Q41" si="57">SUM(N9:N40)</f>
        <v>0</v>
      </c>
      <c r="O41" s="247">
        <f t="shared" si="57"/>
        <v>0</v>
      </c>
      <c r="P41" s="247">
        <f t="shared" si="57"/>
        <v>0</v>
      </c>
      <c r="Q41" s="247">
        <f t="shared" si="57"/>
        <v>0</v>
      </c>
      <c r="R41" s="248">
        <f>MIN(R9:R40)</f>
        <v>0</v>
      </c>
      <c r="S41" s="248">
        <f>MAX(S9:S40)</f>
        <v>0</v>
      </c>
      <c r="T41" s="249">
        <f t="shared" ref="T41:W41" si="58">SUM(T9:T40)</f>
        <v>0</v>
      </c>
      <c r="U41" s="249">
        <f t="shared" si="58"/>
        <v>0</v>
      </c>
      <c r="V41" s="249">
        <f t="shared" si="58"/>
        <v>0</v>
      </c>
      <c r="W41" s="249">
        <f t="shared" si="58"/>
        <v>0</v>
      </c>
      <c r="X41" s="246">
        <f>MIN(X9:X40)</f>
        <v>15</v>
      </c>
      <c r="Y41" s="246">
        <f>MAX(Y9:Y40)</f>
        <v>21</v>
      </c>
      <c r="Z41" s="247">
        <f t="shared" ref="Z41:AD41" si="59">SUM(Z9:Z40)</f>
        <v>529669.42</v>
      </c>
      <c r="AA41" s="247">
        <f t="shared" si="59"/>
        <v>111230.58</v>
      </c>
      <c r="AB41" s="247">
        <f t="shared" si="59"/>
        <v>0</v>
      </c>
      <c r="AC41" s="247">
        <f t="shared" si="59"/>
        <v>640900</v>
      </c>
      <c r="AD41" s="250">
        <f t="shared" si="59"/>
        <v>7131740</v>
      </c>
      <c r="AE41" s="251">
        <f t="shared" ref="AE41:AI41" si="60">SUM(AE9:AE38)</f>
        <v>0</v>
      </c>
      <c r="AF41" s="251">
        <f t="shared" si="60"/>
        <v>0</v>
      </c>
      <c r="AG41" s="251">
        <f t="shared" si="60"/>
        <v>0</v>
      </c>
      <c r="AH41" s="251">
        <f t="shared" si="60"/>
        <v>0</v>
      </c>
      <c r="AI41" s="251">
        <f t="shared" si="60"/>
        <v>0</v>
      </c>
      <c r="AJ41" s="286">
        <f>(AI41*AH$1)</f>
        <v>0</v>
      </c>
      <c r="AK41" s="251">
        <f>SUM(AK9:AK38)</f>
        <v>0</v>
      </c>
      <c r="AL41" s="286">
        <f>AK41*AI$2</f>
        <v>0</v>
      </c>
      <c r="AM41" s="251">
        <f t="shared" ref="AM41:AP41" si="61">SUM(AM9:AM38)</f>
        <v>0</v>
      </c>
      <c r="AN41" s="251">
        <f t="shared" si="61"/>
        <v>0</v>
      </c>
      <c r="AO41" s="253">
        <f t="shared" si="61"/>
        <v>0</v>
      </c>
      <c r="AP41" s="254">
        <f t="shared" si="61"/>
        <v>-7126760</v>
      </c>
      <c r="AQ41" s="254">
        <f t="shared" ref="AQ41:BM41" si="62">SUM(AQ9:AQ40)</f>
        <v>446000</v>
      </c>
      <c r="AR41" s="254">
        <f t="shared" si="62"/>
        <v>0</v>
      </c>
      <c r="AS41" s="254">
        <f t="shared" si="62"/>
        <v>0</v>
      </c>
      <c r="AT41" s="254">
        <f t="shared" si="62"/>
        <v>6622760</v>
      </c>
      <c r="AU41" s="254">
        <f t="shared" si="62"/>
        <v>2089700</v>
      </c>
      <c r="AV41" s="254">
        <f t="shared" si="62"/>
        <v>3610660</v>
      </c>
      <c r="AW41" s="254">
        <f t="shared" si="62"/>
        <v>58000</v>
      </c>
      <c r="AX41" s="254">
        <f t="shared" si="62"/>
        <v>0</v>
      </c>
      <c r="AY41" s="254">
        <f t="shared" si="62"/>
        <v>0</v>
      </c>
      <c r="AZ41" s="254">
        <f t="shared" si="62"/>
        <v>0</v>
      </c>
      <c r="BA41" s="254">
        <f t="shared" si="62"/>
        <v>0</v>
      </c>
      <c r="BB41" s="254">
        <f t="shared" si="62"/>
        <v>0</v>
      </c>
      <c r="BC41" s="254">
        <f t="shared" si="62"/>
        <v>0</v>
      </c>
      <c r="BD41" s="254">
        <f t="shared" si="62"/>
        <v>0</v>
      </c>
      <c r="BE41" s="254">
        <f t="shared" si="62"/>
        <v>0</v>
      </c>
      <c r="BF41" s="254">
        <f t="shared" si="62"/>
        <v>0</v>
      </c>
      <c r="BG41" s="254">
        <f t="shared" si="62"/>
        <v>0</v>
      </c>
      <c r="BH41" s="254">
        <f t="shared" si="62"/>
        <v>0</v>
      </c>
      <c r="BI41" s="254">
        <f t="shared" si="62"/>
        <v>0</v>
      </c>
      <c r="BJ41" s="254">
        <f t="shared" si="62"/>
        <v>0</v>
      </c>
      <c r="BK41" s="254">
        <f t="shared" si="62"/>
        <v>7126760</v>
      </c>
      <c r="BL41" s="254">
        <f t="shared" si="62"/>
        <v>7131740</v>
      </c>
      <c r="BM41" s="254">
        <f t="shared" si="62"/>
        <v>-4980</v>
      </c>
      <c r="BN41" s="222"/>
      <c r="BO41" s="240">
        <f>(AQ41+AR41)/AD41</f>
        <v>0.06253733311</v>
      </c>
      <c r="BP41" s="240">
        <f>AU41/AD41</f>
        <v>0.2930140471</v>
      </c>
      <c r="BQ41" s="240">
        <f>AV41/AD41</f>
        <v>0.5062803748</v>
      </c>
      <c r="BR41" s="240">
        <f>AW41/AD41</f>
        <v>0.008132657668</v>
      </c>
      <c r="BS41" s="240">
        <f>AZ41/AD41</f>
        <v>0</v>
      </c>
      <c r="BT41" s="240">
        <f>(BB41+BD41+BF41)/AD41</f>
        <v>0</v>
      </c>
      <c r="BU41" s="240">
        <f>BJ41/AD41</f>
        <v>0</v>
      </c>
      <c r="BV41" s="240">
        <f>SUM(BO41:BU41)</f>
        <v>0.8699644126</v>
      </c>
      <c r="BW41" s="255"/>
    </row>
    <row r="42" ht="14.25" customHeight="1">
      <c r="A42" s="181"/>
      <c r="B42" s="7"/>
      <c r="C42" s="14"/>
      <c r="D42" s="182">
        <v>176.0</v>
      </c>
      <c r="E42" s="14"/>
      <c r="F42" s="14"/>
      <c r="G42" s="14"/>
      <c r="H42" s="14"/>
      <c r="I42" s="14"/>
      <c r="J42" s="14"/>
      <c r="K42" s="14"/>
      <c r="L42" s="182">
        <v>67.0</v>
      </c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92">
        <v>14.0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87"/>
      <c r="B43" s="256"/>
      <c r="C43" s="256"/>
      <c r="D43" s="256"/>
      <c r="E43" s="256"/>
      <c r="F43" s="288"/>
      <c r="G43" s="288"/>
      <c r="H43" s="258"/>
      <c r="I43" s="258"/>
      <c r="J43" s="258"/>
      <c r="K43" s="258"/>
      <c r="L43" s="260"/>
      <c r="M43" s="260"/>
      <c r="N43" s="258"/>
      <c r="O43" s="258"/>
      <c r="P43" s="258"/>
      <c r="Q43" s="258"/>
      <c r="R43" s="256"/>
      <c r="S43" s="256"/>
      <c r="T43" s="258"/>
      <c r="U43" s="258"/>
      <c r="V43" s="258"/>
      <c r="W43" s="258"/>
      <c r="X43" s="256"/>
      <c r="Y43" s="256"/>
      <c r="Z43" s="287"/>
      <c r="AA43" s="256"/>
      <c r="AB43" s="256"/>
      <c r="AC43" s="256"/>
      <c r="AD43" s="256">
        <f>AD41-AD35</f>
        <v>6421440</v>
      </c>
      <c r="AE43" s="256"/>
      <c r="AF43" s="288"/>
      <c r="AG43" s="288"/>
      <c r="AH43" s="258"/>
      <c r="AI43" s="258"/>
      <c r="AJ43" s="258"/>
      <c r="AK43" s="256"/>
      <c r="AL43" s="256"/>
      <c r="AM43" s="258"/>
      <c r="AN43" s="258"/>
      <c r="AO43" s="258"/>
      <c r="AP43" s="256"/>
      <c r="AQ43" s="256"/>
      <c r="AR43" s="258"/>
      <c r="AS43" s="258"/>
      <c r="AT43" s="258"/>
      <c r="AU43" s="256"/>
      <c r="AV43" s="256"/>
      <c r="AW43" s="287"/>
      <c r="AX43" s="256"/>
      <c r="AY43" s="256"/>
      <c r="AZ43" s="256"/>
      <c r="BA43" s="256"/>
      <c r="BB43" s="288"/>
      <c r="BC43" s="288"/>
      <c r="BD43" s="258"/>
      <c r="BE43" s="258"/>
      <c r="BF43" s="258"/>
      <c r="BG43" s="256"/>
      <c r="BH43" s="256"/>
      <c r="BI43" s="256"/>
      <c r="BJ43" s="256"/>
      <c r="BK43" s="258"/>
      <c r="BL43" s="258"/>
      <c r="BM43" s="258"/>
      <c r="BN43" s="256"/>
      <c r="BO43" s="256"/>
      <c r="BP43" s="258"/>
      <c r="BQ43" s="258"/>
      <c r="BR43" s="258"/>
      <c r="BS43" s="256"/>
      <c r="BT43" s="256"/>
      <c r="BU43" s="260"/>
      <c r="BV43" s="260"/>
      <c r="BW43" s="289"/>
    </row>
    <row r="44" ht="15.0" customHeight="1">
      <c r="A44" s="256" t="s">
        <v>55</v>
      </c>
      <c r="B44" s="256">
        <f>B9-B42</f>
        <v>0</v>
      </c>
      <c r="C44" s="256"/>
      <c r="D44" s="256">
        <f>D41-D42</f>
        <v>148</v>
      </c>
      <c r="E44" s="256"/>
      <c r="F44" s="256"/>
      <c r="G44" s="256"/>
      <c r="H44" s="256"/>
      <c r="I44" s="256"/>
      <c r="J44" s="256"/>
      <c r="K44" s="256"/>
      <c r="L44" s="261">
        <f>L41-L42</f>
        <v>-67</v>
      </c>
      <c r="M44" s="260"/>
      <c r="N44" s="256"/>
      <c r="O44" s="256"/>
      <c r="P44" s="256"/>
      <c r="Q44" s="258"/>
      <c r="R44" s="256">
        <f>R41-R42</f>
        <v>-1</v>
      </c>
      <c r="S44" s="256"/>
      <c r="T44" s="258"/>
      <c r="U44" s="258"/>
      <c r="V44" s="258"/>
      <c r="W44" s="258"/>
      <c r="X44" s="256">
        <f>X41-X42</f>
        <v>1</v>
      </c>
      <c r="Y44" s="256"/>
      <c r="Z44" s="258"/>
      <c r="AA44" s="258"/>
      <c r="AB44" s="258"/>
      <c r="AC44" s="260"/>
      <c r="AD44" s="260"/>
      <c r="AE44" s="261">
        <v>0.0</v>
      </c>
      <c r="AF44" s="261">
        <v>0.0</v>
      </c>
      <c r="AG44" s="261">
        <v>0.0</v>
      </c>
      <c r="AH44" s="261">
        <v>0.0</v>
      </c>
      <c r="AI44" s="261">
        <v>0.0</v>
      </c>
      <c r="AJ44" s="261">
        <v>0.0</v>
      </c>
      <c r="AK44" s="261">
        <v>0.0</v>
      </c>
      <c r="AL44" s="261">
        <v>0.0</v>
      </c>
      <c r="AM44" s="261">
        <v>0.0</v>
      </c>
      <c r="AN44" s="261">
        <v>0.0</v>
      </c>
      <c r="AO44" s="290">
        <v>0.0</v>
      </c>
      <c r="AP44" s="258" t="s">
        <v>91</v>
      </c>
      <c r="AQ44" s="258"/>
      <c r="AR44" s="258"/>
      <c r="AS44" s="258"/>
      <c r="AT44" s="258"/>
      <c r="AU44" s="258"/>
      <c r="AV44" s="258"/>
      <c r="AW44" s="258"/>
      <c r="AX44" s="258"/>
      <c r="AY44" s="258"/>
      <c r="AZ44" s="258"/>
      <c r="BA44" s="258"/>
      <c r="BB44" s="258"/>
      <c r="BC44" s="258"/>
      <c r="BD44" s="258"/>
      <c r="BE44" s="258"/>
      <c r="BF44" s="258"/>
      <c r="BG44" s="258"/>
      <c r="BH44" s="258"/>
      <c r="BI44" s="258"/>
      <c r="BJ44" s="258"/>
      <c r="BK44" s="258"/>
      <c r="BL44" s="258"/>
      <c r="BM44" s="258"/>
      <c r="BN44" s="260"/>
      <c r="BO44" s="263"/>
      <c r="BP44" s="263"/>
      <c r="BQ44" s="263"/>
      <c r="BR44" s="263"/>
      <c r="BS44" s="263"/>
      <c r="BT44" s="263"/>
      <c r="BU44" s="263"/>
      <c r="BV44" s="263"/>
      <c r="BW44" s="263"/>
    </row>
    <row r="45" ht="15.0" customHeight="1">
      <c r="A45" s="287"/>
      <c r="B45" s="289"/>
      <c r="C45" s="260"/>
      <c r="D45" s="260"/>
      <c r="E45" s="260"/>
      <c r="F45" s="260"/>
      <c r="G45" s="260"/>
      <c r="H45" s="291"/>
      <c r="I45" s="291"/>
      <c r="J45" s="291"/>
      <c r="K45" s="292"/>
      <c r="L45" s="293"/>
      <c r="M45" s="293"/>
      <c r="N45" s="292"/>
      <c r="O45" s="292"/>
      <c r="P45" s="292"/>
      <c r="Q45" s="294"/>
      <c r="R45" s="295"/>
      <c r="S45" s="295"/>
      <c r="T45" s="296"/>
      <c r="U45" s="296"/>
      <c r="V45" s="296"/>
      <c r="W45" s="296"/>
      <c r="X45" s="297"/>
      <c r="Y45" s="298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9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289"/>
      <c r="BH45" s="289"/>
      <c r="BI45" s="289"/>
      <c r="BJ45" s="289"/>
      <c r="BK45" s="289"/>
      <c r="BL45" s="289"/>
      <c r="BM45" s="289"/>
      <c r="BN45" s="260"/>
      <c r="BO45" s="289"/>
      <c r="BP45" s="289"/>
      <c r="BQ45" s="289"/>
      <c r="BR45" s="289"/>
      <c r="BS45" s="289"/>
      <c r="BT45" s="289"/>
      <c r="BU45" s="289"/>
      <c r="BV45" s="289"/>
      <c r="BW45" s="289"/>
    </row>
    <row r="46" ht="15.0" customHeight="1">
      <c r="A46" s="210"/>
      <c r="C46" s="212"/>
      <c r="D46" s="212"/>
      <c r="E46" s="212"/>
      <c r="F46" s="212"/>
      <c r="G46" s="212"/>
      <c r="H46" s="213"/>
      <c r="I46" s="213"/>
      <c r="J46" s="213"/>
      <c r="K46" s="214"/>
      <c r="L46" s="282"/>
      <c r="M46" s="282"/>
      <c r="N46" s="214"/>
      <c r="O46" s="214"/>
      <c r="P46" s="214"/>
      <c r="Q46" s="283"/>
      <c r="R46" s="264"/>
      <c r="S46" s="264"/>
      <c r="T46" s="215"/>
      <c r="U46" s="215"/>
      <c r="V46" s="215"/>
      <c r="W46" s="215"/>
      <c r="X46" s="216"/>
      <c r="Y46" s="217"/>
      <c r="Z46" s="218"/>
      <c r="AC46" s="300"/>
      <c r="AD46" s="300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69"/>
      <c r="AP46" s="270"/>
      <c r="AQ46" s="271" t="s">
        <v>37</v>
      </c>
      <c r="AR46" s="271" t="s">
        <v>38</v>
      </c>
      <c r="AS46" s="271" t="s">
        <v>41</v>
      </c>
      <c r="AT46" s="271" t="s">
        <v>42</v>
      </c>
      <c r="AU46" s="271" t="s">
        <v>43</v>
      </c>
      <c r="AV46" s="271" t="s">
        <v>33</v>
      </c>
      <c r="AW46" s="272" t="s">
        <v>57</v>
      </c>
      <c r="AX46" s="273" t="s">
        <v>58</v>
      </c>
      <c r="BN46" s="238"/>
      <c r="BO46" s="222"/>
      <c r="BP46" s="222"/>
      <c r="BQ46" s="222"/>
      <c r="BR46" s="222"/>
      <c r="BS46" s="222"/>
      <c r="BT46" s="222"/>
      <c r="BU46" s="222"/>
      <c r="BV46" s="222"/>
      <c r="BW46" s="222"/>
    </row>
    <row r="47" ht="15.0" customHeight="1">
      <c r="A47" s="210"/>
      <c r="C47" s="212"/>
      <c r="D47" s="212"/>
      <c r="E47" s="212"/>
      <c r="F47" s="212"/>
      <c r="G47" s="212"/>
      <c r="H47" s="213"/>
      <c r="I47" s="213"/>
      <c r="J47" s="213"/>
      <c r="K47" s="214"/>
      <c r="L47" s="282"/>
      <c r="M47" s="282"/>
      <c r="N47" s="214"/>
      <c r="O47" s="214"/>
      <c r="P47" s="214"/>
      <c r="Q47" s="283"/>
      <c r="R47" s="264"/>
      <c r="S47" s="264"/>
      <c r="T47" s="215"/>
      <c r="U47" s="215"/>
      <c r="V47" s="215"/>
      <c r="W47" s="215"/>
      <c r="X47" s="216"/>
      <c r="Y47" s="217"/>
      <c r="Z47" s="218"/>
      <c r="AC47" s="267" t="s">
        <v>56</v>
      </c>
      <c r="AD47" s="268">
        <f>AD41+AD46</f>
        <v>7131740</v>
      </c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74"/>
      <c r="AP47" s="275" t="s">
        <v>59</v>
      </c>
      <c r="AQ47" s="276">
        <f t="shared" ref="AQ47:AR47" si="63">AQ41</f>
        <v>446000</v>
      </c>
      <c r="AR47" s="276">
        <f t="shared" si="63"/>
        <v>0</v>
      </c>
      <c r="AS47" s="276">
        <f t="shared" ref="AS47:AU47" si="64">AU41</f>
        <v>2089700</v>
      </c>
      <c r="AT47" s="276">
        <f t="shared" si="64"/>
        <v>3610660</v>
      </c>
      <c r="AU47" s="276">
        <f t="shared" si="64"/>
        <v>58000</v>
      </c>
      <c r="AV47" s="276">
        <f>AZ41</f>
        <v>0</v>
      </c>
      <c r="AW47" s="276">
        <f>BD41+BF41+BH41+BB41</f>
        <v>0</v>
      </c>
      <c r="AX47" s="277">
        <f>BJ41</f>
        <v>0</v>
      </c>
      <c r="BN47" s="238"/>
      <c r="BO47" s="222"/>
      <c r="BP47" s="222"/>
      <c r="BQ47" s="222"/>
      <c r="BR47" s="222"/>
      <c r="BS47" s="222"/>
      <c r="BT47" s="222"/>
      <c r="BU47" s="222"/>
      <c r="BV47" s="222"/>
      <c r="BW47" s="222"/>
    </row>
    <row r="48" ht="15.0" customHeight="1">
      <c r="A48" s="210"/>
      <c r="C48" s="212"/>
      <c r="D48" s="212"/>
      <c r="E48" s="212"/>
      <c r="F48" s="212"/>
      <c r="G48" s="212"/>
      <c r="H48" s="213"/>
      <c r="I48" s="213"/>
      <c r="J48" s="213"/>
      <c r="K48" s="214"/>
      <c r="L48" s="282"/>
      <c r="M48" s="282"/>
      <c r="N48" s="214"/>
      <c r="O48" s="214"/>
      <c r="P48" s="214"/>
      <c r="Q48" s="283"/>
      <c r="R48" s="264"/>
      <c r="S48" s="264"/>
      <c r="T48" s="215"/>
      <c r="U48" s="215"/>
      <c r="V48" s="215"/>
      <c r="W48" s="215"/>
      <c r="X48" s="216"/>
      <c r="Y48" s="217"/>
      <c r="Z48" s="218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65"/>
      <c r="AQ48" s="255">
        <f t="shared" ref="AQ48:AX48" si="65">AQ47/$AD$41</f>
        <v>0.06253733311</v>
      </c>
      <c r="AR48" s="255">
        <f t="shared" si="65"/>
        <v>0</v>
      </c>
      <c r="AS48" s="255">
        <f t="shared" si="65"/>
        <v>0.2930140471</v>
      </c>
      <c r="AT48" s="255">
        <f t="shared" si="65"/>
        <v>0.5062803748</v>
      </c>
      <c r="AU48" s="255">
        <f t="shared" si="65"/>
        <v>0.008132657668</v>
      </c>
      <c r="AV48" s="255">
        <f t="shared" si="65"/>
        <v>0</v>
      </c>
      <c r="AW48" s="255">
        <f t="shared" si="65"/>
        <v>0</v>
      </c>
      <c r="AX48" s="255">
        <f t="shared" si="65"/>
        <v>0</v>
      </c>
      <c r="BN48" s="238"/>
      <c r="BO48" s="222"/>
      <c r="BP48" s="222"/>
      <c r="BQ48" s="222"/>
      <c r="BR48" s="222"/>
      <c r="BS48" s="222"/>
      <c r="BT48" s="222"/>
      <c r="BU48" s="222"/>
      <c r="BV48" s="222"/>
      <c r="BW48" s="222"/>
    </row>
    <row r="49" ht="15.0" customHeight="1">
      <c r="A49" s="279"/>
      <c r="C49" s="212"/>
      <c r="D49" s="212"/>
      <c r="E49" s="212"/>
      <c r="F49" s="212"/>
      <c r="G49" s="212"/>
      <c r="H49" s="213"/>
      <c r="I49" s="213"/>
      <c r="J49" s="213"/>
      <c r="K49" s="214"/>
      <c r="L49" s="222"/>
      <c r="M49" s="222"/>
      <c r="N49" s="215"/>
      <c r="O49" s="215"/>
      <c r="P49" s="215"/>
      <c r="Q49" s="215"/>
      <c r="R49" s="216"/>
      <c r="S49" s="217"/>
      <c r="T49" s="218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65"/>
      <c r="AN49" s="222"/>
      <c r="AO49" s="222"/>
      <c r="BN49" s="238"/>
      <c r="BO49" s="222"/>
      <c r="BP49" s="222"/>
      <c r="BQ49" s="222"/>
      <c r="BR49" s="222"/>
      <c r="BS49" s="222"/>
      <c r="BT49" s="222"/>
      <c r="BU49" s="222"/>
      <c r="BV49" s="222"/>
      <c r="BW49" s="222"/>
    </row>
    <row r="50" ht="15.0" customHeight="1">
      <c r="A50" s="279"/>
      <c r="C50" s="212"/>
      <c r="D50" s="212"/>
      <c r="E50" s="212"/>
      <c r="F50" s="212"/>
      <c r="G50" s="212"/>
      <c r="H50" s="213"/>
      <c r="I50" s="213"/>
      <c r="J50" s="213"/>
      <c r="K50" s="214"/>
      <c r="L50" s="222"/>
      <c r="M50" s="222"/>
      <c r="N50" s="215"/>
      <c r="O50" s="215"/>
      <c r="P50" s="215"/>
      <c r="Q50" s="215"/>
      <c r="R50" s="216"/>
      <c r="S50" s="217"/>
      <c r="T50" s="218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65"/>
      <c r="AN50" s="222"/>
      <c r="AO50" s="222"/>
      <c r="BN50" s="238"/>
      <c r="BO50" s="222"/>
      <c r="BP50" s="222"/>
      <c r="BQ50" s="222"/>
      <c r="BR50" s="222"/>
      <c r="BS50" s="222"/>
      <c r="BT50" s="222"/>
      <c r="BU50" s="222"/>
      <c r="BV50" s="222"/>
      <c r="BW50" s="222"/>
    </row>
    <row r="51" ht="15.0" customHeight="1">
      <c r="A51" s="279"/>
      <c r="C51" s="212"/>
      <c r="D51" s="212"/>
      <c r="E51" s="212"/>
      <c r="F51" s="212"/>
      <c r="G51" s="212"/>
      <c r="H51" s="213"/>
      <c r="I51" s="213"/>
      <c r="J51" s="213"/>
      <c r="K51" s="214"/>
      <c r="L51" s="222"/>
      <c r="M51" s="222"/>
      <c r="N51" s="215"/>
      <c r="O51" s="215"/>
      <c r="P51" s="215"/>
      <c r="Q51" s="215"/>
      <c r="R51" s="216"/>
      <c r="S51" s="217"/>
      <c r="T51" s="218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65"/>
      <c r="AN51" s="222"/>
      <c r="AO51" s="222"/>
      <c r="BN51" s="238"/>
      <c r="BO51" s="222"/>
      <c r="BP51" s="222"/>
      <c r="BQ51" s="222"/>
      <c r="BR51" s="222"/>
      <c r="BS51" s="222"/>
      <c r="BT51" s="222"/>
      <c r="BU51" s="222"/>
      <c r="BV51" s="222"/>
      <c r="BW51" s="222"/>
    </row>
    <row r="52" ht="15.0" customHeight="1">
      <c r="A52" s="279"/>
      <c r="C52" s="212"/>
      <c r="D52" s="212"/>
      <c r="E52" s="212"/>
      <c r="F52" s="212"/>
      <c r="G52" s="212"/>
      <c r="H52" s="213"/>
      <c r="I52" s="213"/>
      <c r="J52" s="213"/>
      <c r="K52" s="214"/>
      <c r="L52" s="222"/>
      <c r="M52" s="222"/>
      <c r="N52" s="215"/>
      <c r="O52" s="215"/>
      <c r="P52" s="215"/>
      <c r="Q52" s="215"/>
      <c r="R52" s="216"/>
      <c r="S52" s="217"/>
      <c r="T52" s="218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65"/>
      <c r="AN52" s="222"/>
      <c r="AO52" s="222"/>
      <c r="BN52" s="238"/>
      <c r="BO52" s="222"/>
      <c r="BP52" s="222"/>
      <c r="BQ52" s="222"/>
      <c r="BR52" s="222"/>
      <c r="BS52" s="222"/>
      <c r="BT52" s="222"/>
      <c r="BU52" s="222"/>
      <c r="BV52" s="222"/>
      <c r="BW52" s="222"/>
    </row>
    <row r="53" ht="15.0" customHeight="1">
      <c r="A53" s="279"/>
      <c r="C53" s="212"/>
      <c r="D53" s="212"/>
      <c r="E53" s="212"/>
      <c r="F53" s="212"/>
      <c r="G53" s="212"/>
      <c r="H53" s="213"/>
      <c r="I53" s="213"/>
      <c r="J53" s="213"/>
      <c r="K53" s="214"/>
      <c r="L53" s="222"/>
      <c r="M53" s="222"/>
      <c r="N53" s="215"/>
      <c r="O53" s="215"/>
      <c r="P53" s="215"/>
      <c r="Q53" s="215"/>
      <c r="R53" s="216"/>
      <c r="S53" s="217"/>
      <c r="T53" s="218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65"/>
      <c r="AN53" s="222"/>
      <c r="AO53" s="222"/>
      <c r="BN53" s="238"/>
      <c r="BO53" s="222"/>
      <c r="BP53" s="222"/>
      <c r="BQ53" s="222"/>
      <c r="BR53" s="222"/>
      <c r="BS53" s="222"/>
      <c r="BT53" s="222"/>
      <c r="BU53" s="222"/>
      <c r="BV53" s="222"/>
      <c r="BW53" s="222"/>
    </row>
    <row r="54" ht="15.0" customHeight="1">
      <c r="A54" s="279"/>
      <c r="C54" s="212"/>
      <c r="D54" s="212"/>
      <c r="E54" s="212"/>
      <c r="F54" s="212"/>
      <c r="G54" s="212"/>
      <c r="H54" s="213"/>
      <c r="I54" s="213"/>
      <c r="J54" s="213"/>
      <c r="K54" s="214"/>
      <c r="L54" s="222"/>
      <c r="M54" s="222"/>
      <c r="N54" s="215"/>
      <c r="O54" s="215"/>
      <c r="P54" s="215"/>
      <c r="Q54" s="215"/>
      <c r="R54" s="216"/>
      <c r="S54" s="217"/>
      <c r="T54" s="218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65"/>
      <c r="AN54" s="222"/>
      <c r="AO54" s="222"/>
      <c r="BN54" s="238"/>
      <c r="BO54" s="222"/>
      <c r="BP54" s="222"/>
      <c r="BQ54" s="222"/>
      <c r="BR54" s="222"/>
      <c r="BS54" s="222"/>
      <c r="BT54" s="222"/>
      <c r="BU54" s="222"/>
      <c r="BV54" s="222"/>
      <c r="BW54" s="222"/>
    </row>
    <row r="55" ht="15.0" customHeight="1">
      <c r="A55" s="279"/>
      <c r="C55" s="212"/>
      <c r="D55" s="212"/>
      <c r="E55" s="212"/>
      <c r="F55" s="212"/>
      <c r="G55" s="212"/>
      <c r="H55" s="213"/>
      <c r="I55" s="213"/>
      <c r="J55" s="213"/>
      <c r="K55" s="214"/>
      <c r="L55" s="222"/>
      <c r="M55" s="222"/>
      <c r="N55" s="215"/>
      <c r="O55" s="215"/>
      <c r="P55" s="215"/>
      <c r="Q55" s="215"/>
      <c r="R55" s="216"/>
      <c r="S55" s="217"/>
      <c r="T55" s="218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65"/>
      <c r="AN55" s="222"/>
      <c r="AO55" s="222"/>
      <c r="BN55" s="238"/>
      <c r="BO55" s="222"/>
      <c r="BP55" s="222"/>
      <c r="BQ55" s="222"/>
      <c r="BR55" s="222"/>
      <c r="BS55" s="222"/>
      <c r="BT55" s="222"/>
      <c r="BU55" s="222"/>
      <c r="BV55" s="222"/>
      <c r="BW55" s="222"/>
    </row>
    <row r="56" ht="15.0" customHeight="1">
      <c r="A56" s="279"/>
      <c r="C56" s="212"/>
      <c r="D56" s="212"/>
      <c r="E56" s="212"/>
      <c r="F56" s="212"/>
      <c r="G56" s="212"/>
      <c r="H56" s="213"/>
      <c r="I56" s="213"/>
      <c r="J56" s="213"/>
      <c r="K56" s="214"/>
      <c r="L56" s="222"/>
      <c r="M56" s="222"/>
      <c r="N56" s="215"/>
      <c r="O56" s="215"/>
      <c r="P56" s="215"/>
      <c r="Q56" s="215"/>
      <c r="R56" s="216"/>
      <c r="S56" s="217"/>
      <c r="T56" s="218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65"/>
      <c r="AN56" s="222"/>
      <c r="AO56" s="222"/>
      <c r="BN56" s="238"/>
      <c r="BO56" s="222"/>
      <c r="BP56" s="222"/>
      <c r="BQ56" s="222"/>
      <c r="BR56" s="222"/>
      <c r="BS56" s="222"/>
      <c r="BT56" s="222"/>
      <c r="BU56" s="222"/>
      <c r="BV56" s="222"/>
      <c r="BW56" s="222"/>
    </row>
    <row r="57" ht="15.0" customHeight="1">
      <c r="A57" s="279"/>
      <c r="C57" s="212"/>
      <c r="D57" s="212"/>
      <c r="E57" s="212"/>
      <c r="F57" s="212"/>
      <c r="G57" s="212"/>
      <c r="H57" s="213"/>
      <c r="I57" s="213"/>
      <c r="J57" s="213"/>
      <c r="K57" s="214"/>
      <c r="L57" s="222"/>
      <c r="M57" s="222"/>
      <c r="N57" s="215"/>
      <c r="O57" s="215"/>
      <c r="P57" s="215"/>
      <c r="Q57" s="215"/>
      <c r="R57" s="216"/>
      <c r="S57" s="217"/>
      <c r="T57" s="218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65"/>
      <c r="AN57" s="222"/>
      <c r="AO57" s="222"/>
      <c r="BN57" s="238"/>
      <c r="BO57" s="222"/>
      <c r="BP57" s="222"/>
      <c r="BQ57" s="222"/>
      <c r="BR57" s="222"/>
      <c r="BS57" s="222"/>
      <c r="BT57" s="222"/>
      <c r="BU57" s="222"/>
      <c r="BV57" s="222"/>
      <c r="BW57" s="222"/>
    </row>
    <row r="58" ht="15.0" customHeight="1">
      <c r="A58" s="279"/>
      <c r="C58" s="212"/>
      <c r="D58" s="212"/>
      <c r="E58" s="212"/>
      <c r="F58" s="212"/>
      <c r="G58" s="212"/>
      <c r="H58" s="213"/>
      <c r="I58" s="213"/>
      <c r="J58" s="213"/>
      <c r="K58" s="214"/>
      <c r="L58" s="222"/>
      <c r="M58" s="222"/>
      <c r="N58" s="215"/>
      <c r="O58" s="215"/>
      <c r="P58" s="215"/>
      <c r="Q58" s="215"/>
      <c r="R58" s="216"/>
      <c r="S58" s="217"/>
      <c r="T58" s="218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65"/>
      <c r="AN58" s="222"/>
      <c r="AO58" s="222"/>
      <c r="BN58" s="238"/>
      <c r="BO58" s="222"/>
      <c r="BP58" s="222"/>
      <c r="BQ58" s="222"/>
      <c r="BR58" s="222"/>
      <c r="BS58" s="222"/>
      <c r="BT58" s="222"/>
      <c r="BU58" s="222"/>
      <c r="BV58" s="222"/>
      <c r="BW58" s="222"/>
    </row>
    <row r="59" ht="15.0" customHeight="1">
      <c r="A59" s="279"/>
      <c r="C59" s="212"/>
      <c r="D59" s="212"/>
      <c r="E59" s="212"/>
      <c r="F59" s="212"/>
      <c r="G59" s="212"/>
      <c r="H59" s="213"/>
      <c r="I59" s="213"/>
      <c r="J59" s="213"/>
      <c r="K59" s="214"/>
      <c r="L59" s="222"/>
      <c r="M59" s="222"/>
      <c r="N59" s="215"/>
      <c r="O59" s="215"/>
      <c r="P59" s="215"/>
      <c r="Q59" s="215"/>
      <c r="R59" s="216"/>
      <c r="S59" s="217"/>
      <c r="T59" s="218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65"/>
      <c r="AN59" s="222"/>
      <c r="AO59" s="222"/>
      <c r="BN59" s="238"/>
      <c r="BO59" s="222"/>
      <c r="BP59" s="222"/>
      <c r="BQ59" s="222"/>
      <c r="BR59" s="222"/>
      <c r="BS59" s="222"/>
      <c r="BT59" s="222"/>
      <c r="BU59" s="222"/>
      <c r="BV59" s="222"/>
      <c r="BW59" s="222"/>
    </row>
    <row r="60" ht="15.0" customHeight="1">
      <c r="A60" s="279"/>
      <c r="C60" s="212"/>
      <c r="D60" s="212"/>
      <c r="E60" s="212"/>
      <c r="F60" s="212"/>
      <c r="G60" s="212"/>
      <c r="H60" s="213"/>
      <c r="I60" s="213"/>
      <c r="J60" s="213"/>
      <c r="K60" s="214"/>
      <c r="L60" s="222"/>
      <c r="M60" s="222"/>
      <c r="N60" s="215"/>
      <c r="O60" s="215"/>
      <c r="P60" s="215"/>
      <c r="Q60" s="215"/>
      <c r="R60" s="216"/>
      <c r="S60" s="217"/>
      <c r="T60" s="218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65"/>
      <c r="AN60" s="222"/>
      <c r="AO60" s="222"/>
      <c r="BN60" s="238"/>
      <c r="BO60" s="222"/>
      <c r="BP60" s="222"/>
      <c r="BQ60" s="222"/>
      <c r="BR60" s="222"/>
      <c r="BS60" s="222"/>
      <c r="BT60" s="222"/>
      <c r="BU60" s="222"/>
      <c r="BV60" s="222"/>
      <c r="BW60" s="222"/>
    </row>
    <row r="61" ht="15.0" customHeight="1">
      <c r="A61" s="279"/>
      <c r="C61" s="212"/>
      <c r="D61" s="212"/>
      <c r="E61" s="212"/>
      <c r="F61" s="212"/>
      <c r="G61" s="212"/>
      <c r="H61" s="213"/>
      <c r="I61" s="213"/>
      <c r="J61" s="213"/>
      <c r="K61" s="214"/>
      <c r="L61" s="222"/>
      <c r="M61" s="222"/>
      <c r="N61" s="215"/>
      <c r="O61" s="215"/>
      <c r="P61" s="215"/>
      <c r="Q61" s="215"/>
      <c r="R61" s="216"/>
      <c r="S61" s="217"/>
      <c r="T61" s="218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65"/>
      <c r="AN61" s="222"/>
      <c r="AO61" s="222"/>
      <c r="BN61" s="238"/>
      <c r="BO61" s="222"/>
      <c r="BP61" s="222"/>
      <c r="BQ61" s="222"/>
      <c r="BR61" s="222"/>
      <c r="BS61" s="222"/>
      <c r="BT61" s="222"/>
      <c r="BU61" s="222"/>
      <c r="BV61" s="222"/>
      <c r="BW61" s="222"/>
    </row>
    <row r="62" ht="15.0" customHeight="1">
      <c r="A62" s="279"/>
      <c r="C62" s="212"/>
      <c r="D62" s="212"/>
      <c r="E62" s="212"/>
      <c r="F62" s="212"/>
      <c r="G62" s="212"/>
      <c r="H62" s="213"/>
      <c r="I62" s="213"/>
      <c r="J62" s="213"/>
      <c r="K62" s="214"/>
      <c r="L62" s="222"/>
      <c r="M62" s="222"/>
      <c r="N62" s="215"/>
      <c r="O62" s="215"/>
      <c r="P62" s="215"/>
      <c r="Q62" s="215"/>
      <c r="R62" s="216"/>
      <c r="S62" s="217"/>
      <c r="T62" s="218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65"/>
      <c r="AN62" s="222"/>
      <c r="AO62" s="222"/>
      <c r="BN62" s="238"/>
      <c r="BO62" s="222"/>
      <c r="BP62" s="222"/>
      <c r="BQ62" s="222"/>
      <c r="BR62" s="222"/>
      <c r="BS62" s="222"/>
      <c r="BT62" s="222"/>
      <c r="BU62" s="222"/>
      <c r="BV62" s="222"/>
      <c r="BW62" s="222"/>
    </row>
    <row r="63" ht="15.0" customHeight="1">
      <c r="A63" s="279"/>
      <c r="C63" s="212"/>
      <c r="D63" s="212"/>
      <c r="E63" s="212"/>
      <c r="F63" s="212"/>
      <c r="G63" s="212"/>
      <c r="H63" s="213"/>
      <c r="I63" s="213"/>
      <c r="J63" s="213"/>
      <c r="K63" s="214"/>
      <c r="L63" s="222"/>
      <c r="M63" s="222"/>
      <c r="N63" s="215"/>
      <c r="O63" s="215"/>
      <c r="P63" s="215"/>
      <c r="Q63" s="215"/>
      <c r="R63" s="216"/>
      <c r="S63" s="217"/>
      <c r="T63" s="218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65"/>
      <c r="AN63" s="222"/>
      <c r="AO63" s="222"/>
      <c r="BN63" s="238"/>
      <c r="BO63" s="222"/>
      <c r="BP63" s="222"/>
      <c r="BQ63" s="222"/>
      <c r="BR63" s="222"/>
      <c r="BS63" s="222"/>
      <c r="BT63" s="222"/>
      <c r="BU63" s="222"/>
      <c r="BV63" s="222"/>
      <c r="BW63" s="222"/>
    </row>
    <row r="64" ht="15.0" customHeight="1">
      <c r="A64" s="279"/>
      <c r="C64" s="212"/>
      <c r="D64" s="212"/>
      <c r="E64" s="212"/>
      <c r="F64" s="212"/>
      <c r="G64" s="212"/>
      <c r="H64" s="213"/>
      <c r="I64" s="213"/>
      <c r="J64" s="213"/>
      <c r="K64" s="214"/>
      <c r="L64" s="222"/>
      <c r="M64" s="222"/>
      <c r="N64" s="215"/>
      <c r="O64" s="215"/>
      <c r="P64" s="215"/>
      <c r="Q64" s="215"/>
      <c r="R64" s="216"/>
      <c r="S64" s="217"/>
      <c r="T64" s="218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65"/>
      <c r="AN64" s="222"/>
      <c r="AO64" s="222"/>
      <c r="BN64" s="238"/>
      <c r="BO64" s="222"/>
      <c r="BP64" s="222"/>
      <c r="BQ64" s="222"/>
      <c r="BR64" s="222"/>
      <c r="BS64" s="222"/>
      <c r="BT64" s="222"/>
      <c r="BU64" s="222"/>
      <c r="BV64" s="222"/>
      <c r="BW64" s="222"/>
    </row>
    <row r="65" ht="15.0" customHeight="1">
      <c r="A65" s="279"/>
      <c r="C65" s="212"/>
      <c r="D65" s="212"/>
      <c r="E65" s="212"/>
      <c r="F65" s="212"/>
      <c r="G65" s="212"/>
      <c r="H65" s="213"/>
      <c r="I65" s="213"/>
      <c r="J65" s="213"/>
      <c r="K65" s="214"/>
      <c r="L65" s="222"/>
      <c r="M65" s="222"/>
      <c r="N65" s="215"/>
      <c r="O65" s="215"/>
      <c r="P65" s="215"/>
      <c r="Q65" s="215"/>
      <c r="R65" s="216"/>
      <c r="S65" s="217"/>
      <c r="T65" s="218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65"/>
      <c r="AN65" s="222"/>
      <c r="AO65" s="222"/>
      <c r="BN65" s="238"/>
      <c r="BO65" s="222"/>
      <c r="BP65" s="222"/>
      <c r="BQ65" s="222"/>
      <c r="BR65" s="222"/>
      <c r="BS65" s="222"/>
      <c r="BT65" s="222"/>
      <c r="BU65" s="222"/>
      <c r="BV65" s="222"/>
      <c r="BW65" s="222"/>
    </row>
    <row r="66" ht="15.0" customHeight="1">
      <c r="A66" s="279"/>
      <c r="C66" s="212"/>
      <c r="D66" s="212"/>
      <c r="E66" s="212"/>
      <c r="F66" s="212"/>
      <c r="G66" s="212"/>
      <c r="H66" s="213"/>
      <c r="I66" s="213"/>
      <c r="J66" s="213"/>
      <c r="K66" s="214"/>
      <c r="L66" s="222"/>
      <c r="M66" s="222"/>
      <c r="N66" s="215"/>
      <c r="O66" s="215"/>
      <c r="P66" s="215"/>
      <c r="Q66" s="215"/>
      <c r="R66" s="216"/>
      <c r="S66" s="217"/>
      <c r="T66" s="218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65"/>
      <c r="AN66" s="222"/>
      <c r="AO66" s="222"/>
      <c r="BN66" s="238"/>
      <c r="BO66" s="222"/>
      <c r="BP66" s="222"/>
      <c r="BQ66" s="222"/>
      <c r="BR66" s="222"/>
      <c r="BS66" s="222"/>
      <c r="BT66" s="222"/>
      <c r="BU66" s="222"/>
      <c r="BV66" s="222"/>
      <c r="BW66" s="222"/>
    </row>
    <row r="67" ht="15.0" customHeight="1">
      <c r="A67" s="279"/>
      <c r="C67" s="212"/>
      <c r="D67" s="212"/>
      <c r="E67" s="212"/>
      <c r="F67" s="212"/>
      <c r="G67" s="212"/>
      <c r="H67" s="213"/>
      <c r="I67" s="213"/>
      <c r="J67" s="213"/>
      <c r="K67" s="214"/>
      <c r="L67" s="222"/>
      <c r="M67" s="222"/>
      <c r="N67" s="215"/>
      <c r="O67" s="215"/>
      <c r="P67" s="215"/>
      <c r="Q67" s="215"/>
      <c r="R67" s="216"/>
      <c r="S67" s="217"/>
      <c r="T67" s="218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65"/>
      <c r="AN67" s="222"/>
      <c r="AO67" s="222"/>
      <c r="BN67" s="238"/>
      <c r="BO67" s="222"/>
      <c r="BP67" s="222"/>
      <c r="BQ67" s="222"/>
      <c r="BR67" s="222"/>
      <c r="BS67" s="222"/>
      <c r="BT67" s="222"/>
      <c r="BU67" s="222"/>
      <c r="BV67" s="222"/>
      <c r="BW67" s="222"/>
    </row>
    <row r="68" ht="15.0" customHeight="1">
      <c r="A68" s="279"/>
      <c r="C68" s="212"/>
      <c r="D68" s="212"/>
      <c r="E68" s="212"/>
      <c r="F68" s="212"/>
      <c r="G68" s="212"/>
      <c r="H68" s="213"/>
      <c r="I68" s="213"/>
      <c r="J68" s="213"/>
      <c r="K68" s="214"/>
      <c r="L68" s="222"/>
      <c r="M68" s="222"/>
      <c r="N68" s="215"/>
      <c r="O68" s="215"/>
      <c r="P68" s="215"/>
      <c r="Q68" s="215"/>
      <c r="R68" s="216"/>
      <c r="S68" s="217"/>
      <c r="T68" s="218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65"/>
      <c r="AN68" s="222"/>
      <c r="AO68" s="222"/>
      <c r="BN68" s="238"/>
      <c r="BO68" s="222"/>
      <c r="BP68" s="222"/>
      <c r="BQ68" s="222"/>
      <c r="BR68" s="222"/>
      <c r="BS68" s="222"/>
      <c r="BT68" s="222"/>
      <c r="BU68" s="222"/>
      <c r="BV68" s="222"/>
      <c r="BW68" s="222"/>
    </row>
    <row r="69" ht="15.0" customHeight="1">
      <c r="A69" s="279"/>
      <c r="C69" s="212"/>
      <c r="D69" s="212"/>
      <c r="E69" s="212"/>
      <c r="F69" s="212"/>
      <c r="G69" s="212"/>
      <c r="H69" s="213"/>
      <c r="I69" s="213"/>
      <c r="J69" s="213"/>
      <c r="K69" s="214"/>
      <c r="L69" s="222"/>
      <c r="M69" s="222"/>
      <c r="N69" s="215"/>
      <c r="O69" s="215"/>
      <c r="P69" s="215"/>
      <c r="Q69" s="215"/>
      <c r="R69" s="216"/>
      <c r="S69" s="217"/>
      <c r="T69" s="218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65"/>
      <c r="AN69" s="222"/>
      <c r="AO69" s="222"/>
      <c r="BN69" s="238"/>
      <c r="BO69" s="222"/>
      <c r="BP69" s="222"/>
      <c r="BQ69" s="222"/>
      <c r="BR69" s="222"/>
      <c r="BS69" s="222"/>
      <c r="BT69" s="222"/>
      <c r="BU69" s="222"/>
      <c r="BV69" s="222"/>
      <c r="BW69" s="222"/>
    </row>
    <row r="70" ht="15.0" customHeight="1">
      <c r="A70" s="279"/>
      <c r="C70" s="212"/>
      <c r="D70" s="212"/>
      <c r="E70" s="212"/>
      <c r="F70" s="212"/>
      <c r="G70" s="212"/>
      <c r="H70" s="213"/>
      <c r="I70" s="213"/>
      <c r="J70" s="213"/>
      <c r="K70" s="214"/>
      <c r="L70" s="222"/>
      <c r="M70" s="222"/>
      <c r="N70" s="215"/>
      <c r="O70" s="215"/>
      <c r="P70" s="215"/>
      <c r="Q70" s="215"/>
      <c r="R70" s="216"/>
      <c r="S70" s="217"/>
      <c r="T70" s="218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65"/>
      <c r="AN70" s="222"/>
      <c r="AO70" s="222"/>
      <c r="BN70" s="238"/>
      <c r="BO70" s="222"/>
      <c r="BP70" s="222"/>
      <c r="BQ70" s="222"/>
      <c r="BR70" s="222"/>
      <c r="BS70" s="222"/>
      <c r="BT70" s="222"/>
      <c r="BU70" s="222"/>
      <c r="BV70" s="222"/>
      <c r="BW70" s="222"/>
    </row>
    <row r="71" ht="15.0" customHeight="1">
      <c r="A71" s="279"/>
      <c r="C71" s="212"/>
      <c r="D71" s="212"/>
      <c r="E71" s="212"/>
      <c r="F71" s="212"/>
      <c r="G71" s="212"/>
      <c r="H71" s="213"/>
      <c r="I71" s="213"/>
      <c r="J71" s="213"/>
      <c r="K71" s="214"/>
      <c r="L71" s="222"/>
      <c r="M71" s="222"/>
      <c r="N71" s="215"/>
      <c r="O71" s="215"/>
      <c r="P71" s="215"/>
      <c r="Q71" s="215"/>
      <c r="R71" s="216"/>
      <c r="S71" s="217"/>
      <c r="T71" s="218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65"/>
      <c r="AN71" s="222"/>
      <c r="AO71" s="222"/>
      <c r="BN71" s="238"/>
      <c r="BO71" s="222"/>
      <c r="BP71" s="222"/>
      <c r="BQ71" s="222"/>
      <c r="BR71" s="222"/>
      <c r="BS71" s="222"/>
      <c r="BT71" s="222"/>
      <c r="BU71" s="222"/>
      <c r="BV71" s="222"/>
      <c r="BW71" s="222"/>
    </row>
    <row r="72" ht="15.0" customHeight="1">
      <c r="A72" s="279"/>
      <c r="C72" s="212"/>
      <c r="D72" s="212"/>
      <c r="E72" s="212"/>
      <c r="F72" s="212"/>
      <c r="G72" s="212"/>
      <c r="H72" s="213"/>
      <c r="I72" s="213"/>
      <c r="J72" s="213"/>
      <c r="K72" s="214"/>
      <c r="L72" s="222"/>
      <c r="M72" s="222"/>
      <c r="N72" s="215"/>
      <c r="O72" s="215"/>
      <c r="P72" s="215"/>
      <c r="Q72" s="215"/>
      <c r="R72" s="216"/>
      <c r="S72" s="217"/>
      <c r="T72" s="218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65"/>
      <c r="AN72" s="222"/>
      <c r="AO72" s="222"/>
      <c r="BN72" s="238"/>
      <c r="BO72" s="222"/>
      <c r="BP72" s="222"/>
      <c r="BQ72" s="222"/>
      <c r="BR72" s="222"/>
      <c r="BS72" s="222"/>
      <c r="BT72" s="222"/>
      <c r="BU72" s="222"/>
      <c r="BV72" s="222"/>
      <c r="BW72" s="222"/>
    </row>
    <row r="73" ht="15.0" customHeight="1">
      <c r="A73" s="279"/>
      <c r="C73" s="212"/>
      <c r="D73" s="212"/>
      <c r="E73" s="212"/>
      <c r="F73" s="212"/>
      <c r="G73" s="212"/>
      <c r="H73" s="213"/>
      <c r="I73" s="213"/>
      <c r="J73" s="213"/>
      <c r="K73" s="214"/>
      <c r="L73" s="222"/>
      <c r="M73" s="222"/>
      <c r="N73" s="215"/>
      <c r="O73" s="215"/>
      <c r="P73" s="215"/>
      <c r="Q73" s="215"/>
      <c r="R73" s="216"/>
      <c r="S73" s="217"/>
      <c r="T73" s="218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65"/>
      <c r="AN73" s="222"/>
      <c r="AO73" s="222"/>
      <c r="BN73" s="238"/>
      <c r="BO73" s="222"/>
      <c r="BP73" s="222"/>
      <c r="BQ73" s="222"/>
      <c r="BR73" s="222"/>
      <c r="BS73" s="222"/>
      <c r="BT73" s="222"/>
      <c r="BU73" s="222"/>
      <c r="BV73" s="222"/>
      <c r="BW73" s="222"/>
    </row>
    <row r="74" ht="15.0" customHeight="1">
      <c r="A74" s="279"/>
      <c r="C74" s="212"/>
      <c r="D74" s="212"/>
      <c r="E74" s="212"/>
      <c r="F74" s="212"/>
      <c r="G74" s="212"/>
      <c r="H74" s="213"/>
      <c r="I74" s="213"/>
      <c r="J74" s="213"/>
      <c r="K74" s="214"/>
      <c r="L74" s="222"/>
      <c r="M74" s="222"/>
      <c r="N74" s="215"/>
      <c r="O74" s="215"/>
      <c r="P74" s="215"/>
      <c r="Q74" s="215"/>
      <c r="R74" s="216"/>
      <c r="S74" s="217"/>
      <c r="T74" s="218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65"/>
      <c r="AN74" s="222"/>
      <c r="AO74" s="222"/>
      <c r="BN74" s="238"/>
      <c r="BO74" s="222"/>
      <c r="BP74" s="222"/>
      <c r="BQ74" s="222"/>
      <c r="BR74" s="222"/>
      <c r="BS74" s="222"/>
      <c r="BT74" s="222"/>
      <c r="BU74" s="222"/>
      <c r="BV74" s="222"/>
      <c r="BW74" s="222"/>
    </row>
    <row r="75" ht="15.0" customHeight="1">
      <c r="A75" s="279"/>
      <c r="C75" s="212"/>
      <c r="D75" s="212"/>
      <c r="E75" s="212"/>
      <c r="F75" s="212"/>
      <c r="G75" s="212"/>
      <c r="H75" s="213"/>
      <c r="I75" s="213"/>
      <c r="J75" s="213"/>
      <c r="K75" s="214"/>
      <c r="L75" s="222"/>
      <c r="M75" s="222"/>
      <c r="N75" s="215"/>
      <c r="O75" s="215"/>
      <c r="P75" s="215"/>
      <c r="Q75" s="215"/>
      <c r="R75" s="216"/>
      <c r="S75" s="217"/>
      <c r="T75" s="218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65"/>
      <c r="AN75" s="222"/>
      <c r="AO75" s="222"/>
      <c r="BO75" s="222"/>
      <c r="BP75" s="222"/>
      <c r="BQ75" s="222"/>
      <c r="BR75" s="222"/>
      <c r="BS75" s="222"/>
      <c r="BT75" s="222"/>
      <c r="BU75" s="222"/>
      <c r="BV75" s="222"/>
      <c r="BW75" s="222"/>
    </row>
    <row r="76" ht="15.0" customHeight="1">
      <c r="A76" s="279"/>
      <c r="C76" s="212"/>
      <c r="D76" s="212"/>
      <c r="E76" s="212"/>
      <c r="F76" s="212"/>
      <c r="G76" s="212"/>
      <c r="H76" s="213"/>
      <c r="I76" s="213"/>
      <c r="J76" s="213"/>
      <c r="K76" s="214"/>
      <c r="L76" s="222"/>
      <c r="M76" s="222"/>
      <c r="N76" s="215"/>
      <c r="O76" s="215"/>
      <c r="P76" s="215"/>
      <c r="Q76" s="215"/>
      <c r="R76" s="216"/>
      <c r="S76" s="217"/>
      <c r="T76" s="218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65"/>
      <c r="AN76" s="222"/>
      <c r="AO76" s="222"/>
      <c r="BO76" s="222"/>
      <c r="BP76" s="222"/>
      <c r="BQ76" s="222"/>
      <c r="BR76" s="222"/>
      <c r="BS76" s="222"/>
      <c r="BT76" s="222"/>
      <c r="BU76" s="222"/>
      <c r="BV76" s="222"/>
      <c r="BW76" s="222"/>
    </row>
    <row r="77" ht="15.0" customHeight="1">
      <c r="A77" s="279"/>
      <c r="C77" s="212"/>
      <c r="D77" s="212"/>
      <c r="E77" s="212"/>
      <c r="F77" s="212"/>
      <c r="G77" s="212"/>
      <c r="H77" s="213"/>
      <c r="I77" s="213"/>
      <c r="J77" s="213"/>
      <c r="K77" s="214"/>
      <c r="L77" s="222"/>
      <c r="M77" s="222"/>
      <c r="N77" s="215"/>
      <c r="O77" s="215"/>
      <c r="P77" s="215"/>
      <c r="Q77" s="215"/>
      <c r="R77" s="216"/>
      <c r="S77" s="217"/>
      <c r="T77" s="218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65"/>
      <c r="AN77" s="222"/>
      <c r="AO77" s="222"/>
      <c r="BO77" s="222"/>
      <c r="BP77" s="222"/>
      <c r="BQ77" s="222"/>
      <c r="BR77" s="222"/>
      <c r="BS77" s="222"/>
      <c r="BT77" s="222"/>
      <c r="BU77" s="222"/>
      <c r="BV77" s="222"/>
      <c r="BW77" s="222"/>
    </row>
    <row r="78" ht="15.0" customHeight="1">
      <c r="A78" s="279"/>
      <c r="C78" s="212"/>
      <c r="D78" s="212"/>
      <c r="E78" s="212"/>
      <c r="F78" s="212"/>
      <c r="G78" s="212"/>
      <c r="H78" s="213"/>
      <c r="I78" s="213"/>
      <c r="J78" s="213"/>
      <c r="K78" s="214"/>
      <c r="L78" s="222"/>
      <c r="M78" s="222"/>
      <c r="N78" s="215"/>
      <c r="O78" s="215"/>
      <c r="P78" s="215"/>
      <c r="Q78" s="215"/>
      <c r="R78" s="216"/>
      <c r="S78" s="217"/>
      <c r="T78" s="218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65"/>
      <c r="AN78" s="222"/>
      <c r="AO78" s="222"/>
      <c r="BO78" s="222"/>
      <c r="BP78" s="222"/>
      <c r="BQ78" s="222"/>
      <c r="BR78" s="222"/>
      <c r="BS78" s="222"/>
      <c r="BT78" s="222"/>
      <c r="BU78" s="222"/>
      <c r="BV78" s="222"/>
      <c r="BW78" s="222"/>
    </row>
    <row r="79" ht="15.0" customHeight="1">
      <c r="A79" s="279"/>
      <c r="C79" s="212"/>
      <c r="D79" s="212"/>
      <c r="E79" s="212"/>
      <c r="F79" s="212"/>
      <c r="G79" s="212"/>
      <c r="H79" s="213"/>
      <c r="I79" s="213"/>
      <c r="J79" s="213"/>
      <c r="K79" s="214"/>
      <c r="L79" s="222"/>
      <c r="M79" s="222"/>
      <c r="N79" s="215"/>
      <c r="O79" s="215"/>
      <c r="P79" s="215"/>
      <c r="Q79" s="215"/>
      <c r="R79" s="216"/>
      <c r="S79" s="217"/>
      <c r="T79" s="218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65"/>
      <c r="AN79" s="222"/>
      <c r="AO79" s="222"/>
      <c r="BO79" s="222"/>
      <c r="BP79" s="222"/>
      <c r="BQ79" s="222"/>
      <c r="BR79" s="222"/>
      <c r="BS79" s="222"/>
      <c r="BT79" s="222"/>
      <c r="BU79" s="222"/>
      <c r="BV79" s="222"/>
      <c r="BW79" s="222"/>
    </row>
    <row r="80" ht="15.0" customHeight="1">
      <c r="A80" s="279"/>
      <c r="C80" s="212"/>
      <c r="D80" s="212"/>
      <c r="E80" s="212"/>
      <c r="F80" s="212"/>
      <c r="G80" s="212"/>
      <c r="H80" s="213"/>
      <c r="I80" s="213"/>
      <c r="J80" s="213"/>
      <c r="K80" s="214"/>
      <c r="L80" s="222"/>
      <c r="M80" s="222"/>
      <c r="N80" s="215"/>
      <c r="O80" s="215"/>
      <c r="P80" s="215"/>
      <c r="Q80" s="215"/>
      <c r="R80" s="216"/>
      <c r="S80" s="217"/>
      <c r="T80" s="218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65"/>
      <c r="AN80" s="222"/>
      <c r="AO80" s="222"/>
      <c r="BO80" s="222"/>
      <c r="BP80" s="222"/>
      <c r="BQ80" s="222"/>
      <c r="BR80" s="222"/>
      <c r="BS80" s="222"/>
      <c r="BT80" s="222"/>
      <c r="BU80" s="222"/>
      <c r="BV80" s="222"/>
      <c r="BW80" s="222"/>
    </row>
    <row r="81" ht="15.0" customHeight="1">
      <c r="A81" s="279"/>
      <c r="C81" s="212"/>
      <c r="D81" s="212"/>
      <c r="E81" s="212"/>
      <c r="F81" s="212"/>
      <c r="G81" s="212"/>
      <c r="H81" s="213"/>
      <c r="I81" s="213"/>
      <c r="J81" s="213"/>
      <c r="K81" s="214"/>
      <c r="L81" s="222"/>
      <c r="M81" s="222"/>
      <c r="N81" s="215"/>
      <c r="O81" s="215"/>
      <c r="P81" s="215"/>
      <c r="Q81" s="215"/>
      <c r="R81" s="216"/>
      <c r="S81" s="217"/>
      <c r="T81" s="218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65"/>
      <c r="AN81" s="222"/>
      <c r="AO81" s="222"/>
      <c r="BO81" s="222"/>
      <c r="BP81" s="222"/>
      <c r="BQ81" s="222"/>
      <c r="BR81" s="222"/>
      <c r="BS81" s="222"/>
      <c r="BT81" s="222"/>
      <c r="BU81" s="222"/>
      <c r="BV81" s="222"/>
      <c r="BW81" s="222"/>
    </row>
    <row r="82" ht="15.0" customHeight="1">
      <c r="A82" s="279"/>
      <c r="C82" s="212"/>
      <c r="D82" s="212"/>
      <c r="E82" s="212"/>
      <c r="F82" s="212"/>
      <c r="G82" s="212"/>
      <c r="H82" s="213"/>
      <c r="I82" s="213"/>
      <c r="J82" s="213"/>
      <c r="K82" s="214"/>
      <c r="L82" s="222"/>
      <c r="M82" s="222"/>
      <c r="N82" s="215"/>
      <c r="O82" s="215"/>
      <c r="P82" s="215"/>
      <c r="Q82" s="215"/>
      <c r="R82" s="216"/>
      <c r="S82" s="217"/>
      <c r="T82" s="218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65"/>
      <c r="AN82" s="222"/>
      <c r="AO82" s="222"/>
      <c r="BO82" s="222"/>
      <c r="BP82" s="222"/>
      <c r="BQ82" s="222"/>
      <c r="BR82" s="222"/>
      <c r="BS82" s="222"/>
      <c r="BT82" s="222"/>
      <c r="BU82" s="222"/>
      <c r="BV82" s="222"/>
      <c r="BW82" s="222"/>
    </row>
    <row r="83" ht="15.0" customHeight="1">
      <c r="A83" s="279"/>
      <c r="C83" s="212"/>
      <c r="D83" s="212"/>
      <c r="E83" s="212"/>
      <c r="F83" s="212"/>
      <c r="G83" s="212"/>
      <c r="H83" s="213"/>
      <c r="I83" s="213"/>
      <c r="J83" s="213"/>
      <c r="K83" s="214"/>
      <c r="L83" s="222"/>
      <c r="M83" s="222"/>
      <c r="N83" s="215"/>
      <c r="O83" s="215"/>
      <c r="P83" s="215"/>
      <c r="Q83" s="215"/>
      <c r="R83" s="216"/>
      <c r="S83" s="217"/>
      <c r="T83" s="218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65"/>
      <c r="AN83" s="222"/>
      <c r="AO83" s="222"/>
      <c r="BO83" s="222"/>
      <c r="BP83" s="222"/>
      <c r="BQ83" s="222"/>
      <c r="BR83" s="222"/>
      <c r="BS83" s="222"/>
      <c r="BT83" s="222"/>
      <c r="BU83" s="222"/>
      <c r="BV83" s="222"/>
      <c r="BW83" s="222"/>
    </row>
    <row r="84" ht="15.0" customHeight="1">
      <c r="A84" s="279"/>
      <c r="C84" s="212"/>
      <c r="D84" s="212"/>
      <c r="E84" s="212"/>
      <c r="F84" s="212"/>
      <c r="G84" s="212"/>
      <c r="H84" s="213"/>
      <c r="I84" s="213"/>
      <c r="J84" s="213"/>
      <c r="K84" s="214"/>
      <c r="L84" s="222"/>
      <c r="M84" s="222"/>
      <c r="N84" s="215"/>
      <c r="O84" s="215"/>
      <c r="P84" s="215"/>
      <c r="Q84" s="215"/>
      <c r="R84" s="216"/>
      <c r="S84" s="217"/>
      <c r="T84" s="218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65"/>
      <c r="AN84" s="222"/>
      <c r="AO84" s="222"/>
      <c r="BO84" s="222"/>
      <c r="BP84" s="222"/>
      <c r="BQ84" s="222"/>
      <c r="BR84" s="222"/>
      <c r="BS84" s="222"/>
      <c r="BT84" s="222"/>
      <c r="BU84" s="222"/>
      <c r="BV84" s="222"/>
      <c r="BW84" s="222"/>
    </row>
    <row r="85" ht="15.0" customHeight="1">
      <c r="A85" s="279"/>
      <c r="C85" s="212"/>
      <c r="D85" s="212"/>
      <c r="E85" s="212"/>
      <c r="F85" s="212"/>
      <c r="G85" s="212"/>
      <c r="H85" s="213"/>
      <c r="I85" s="213"/>
      <c r="J85" s="213"/>
      <c r="K85" s="214"/>
      <c r="L85" s="222"/>
      <c r="M85" s="222"/>
      <c r="N85" s="215"/>
      <c r="O85" s="215"/>
      <c r="P85" s="215"/>
      <c r="Q85" s="215"/>
      <c r="R85" s="216"/>
      <c r="S85" s="217"/>
      <c r="T85" s="218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65"/>
      <c r="AN85" s="222"/>
      <c r="AO85" s="222"/>
      <c r="BO85" s="222"/>
      <c r="BP85" s="222"/>
      <c r="BQ85" s="222"/>
      <c r="BR85" s="222"/>
      <c r="BS85" s="222"/>
      <c r="BT85" s="222"/>
      <c r="BU85" s="222"/>
      <c r="BV85" s="222"/>
      <c r="BW85" s="222"/>
    </row>
    <row r="86" ht="15.0" customHeight="1">
      <c r="A86" s="279"/>
      <c r="C86" s="212"/>
      <c r="D86" s="212"/>
      <c r="E86" s="212"/>
      <c r="F86" s="212"/>
      <c r="G86" s="212"/>
      <c r="H86" s="213"/>
      <c r="I86" s="213"/>
      <c r="J86" s="213"/>
      <c r="K86" s="214"/>
      <c r="L86" s="222"/>
      <c r="M86" s="222"/>
      <c r="N86" s="215"/>
      <c r="O86" s="215"/>
      <c r="P86" s="215"/>
      <c r="Q86" s="215"/>
      <c r="R86" s="216"/>
      <c r="S86" s="217"/>
      <c r="T86" s="218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65"/>
      <c r="AN86" s="222"/>
      <c r="AO86" s="222"/>
      <c r="BO86" s="222"/>
      <c r="BP86" s="222"/>
      <c r="BQ86" s="222"/>
      <c r="BR86" s="222"/>
      <c r="BS86" s="222"/>
      <c r="BT86" s="222"/>
      <c r="BU86" s="222"/>
      <c r="BV86" s="222"/>
      <c r="BW86" s="222"/>
    </row>
    <row r="87" ht="15.0" customHeight="1">
      <c r="A87" s="279"/>
      <c r="C87" s="212"/>
      <c r="D87" s="212"/>
      <c r="E87" s="212"/>
      <c r="F87" s="212"/>
      <c r="G87" s="212"/>
      <c r="H87" s="213"/>
      <c r="I87" s="213"/>
      <c r="J87" s="213"/>
      <c r="K87" s="214"/>
      <c r="L87" s="222"/>
      <c r="M87" s="222"/>
      <c r="N87" s="215"/>
      <c r="O87" s="215"/>
      <c r="P87" s="215"/>
      <c r="Q87" s="215"/>
      <c r="R87" s="216"/>
      <c r="S87" s="217"/>
      <c r="T87" s="218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65"/>
      <c r="AN87" s="222"/>
      <c r="AO87" s="222"/>
      <c r="BO87" s="222"/>
      <c r="BP87" s="222"/>
      <c r="BQ87" s="222"/>
      <c r="BR87" s="222"/>
      <c r="BS87" s="222"/>
      <c r="BT87" s="222"/>
      <c r="BU87" s="222"/>
      <c r="BV87" s="222"/>
      <c r="BW87" s="222"/>
    </row>
    <row r="88" ht="15.0" customHeight="1">
      <c r="A88" s="279"/>
      <c r="C88" s="212"/>
      <c r="D88" s="212"/>
      <c r="E88" s="212"/>
      <c r="F88" s="212"/>
      <c r="G88" s="212"/>
      <c r="H88" s="213"/>
      <c r="I88" s="213"/>
      <c r="J88" s="213"/>
      <c r="K88" s="214"/>
      <c r="L88" s="222"/>
      <c r="M88" s="222"/>
      <c r="N88" s="215"/>
      <c r="O88" s="215"/>
      <c r="P88" s="215"/>
      <c r="Q88" s="215"/>
      <c r="R88" s="216"/>
      <c r="S88" s="217"/>
      <c r="T88" s="218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65"/>
      <c r="AN88" s="222"/>
      <c r="AO88" s="222"/>
      <c r="BO88" s="222"/>
      <c r="BP88" s="222"/>
      <c r="BQ88" s="222"/>
      <c r="BR88" s="222"/>
      <c r="BS88" s="222"/>
      <c r="BT88" s="222"/>
      <c r="BU88" s="222"/>
      <c r="BV88" s="222"/>
      <c r="BW88" s="222"/>
    </row>
    <row r="89" ht="15.0" customHeight="1">
      <c r="A89" s="279"/>
      <c r="C89" s="212"/>
      <c r="D89" s="212"/>
      <c r="E89" s="212"/>
      <c r="F89" s="212"/>
      <c r="G89" s="212"/>
      <c r="H89" s="213"/>
      <c r="I89" s="213"/>
      <c r="J89" s="213"/>
      <c r="K89" s="214"/>
      <c r="L89" s="222"/>
      <c r="M89" s="222"/>
      <c r="N89" s="215"/>
      <c r="O89" s="215"/>
      <c r="P89" s="215"/>
      <c r="Q89" s="215"/>
      <c r="R89" s="216"/>
      <c r="S89" s="217"/>
      <c r="T89" s="218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65"/>
      <c r="AN89" s="222"/>
      <c r="AO89" s="222"/>
      <c r="BO89" s="222"/>
      <c r="BP89" s="222"/>
      <c r="BQ89" s="222"/>
      <c r="BR89" s="222"/>
      <c r="BS89" s="222"/>
      <c r="BT89" s="222"/>
      <c r="BU89" s="222"/>
      <c r="BV89" s="222"/>
      <c r="BW89" s="222"/>
    </row>
    <row r="90" ht="15.0" customHeight="1">
      <c r="A90" s="279"/>
      <c r="C90" s="212"/>
      <c r="D90" s="212"/>
      <c r="E90" s="212"/>
      <c r="F90" s="212"/>
      <c r="G90" s="212"/>
      <c r="H90" s="213"/>
      <c r="I90" s="213"/>
      <c r="J90" s="213"/>
      <c r="K90" s="214"/>
      <c r="L90" s="222"/>
      <c r="M90" s="222"/>
      <c r="N90" s="215"/>
      <c r="O90" s="215"/>
      <c r="P90" s="215"/>
      <c r="Q90" s="215"/>
      <c r="R90" s="216"/>
      <c r="S90" s="217"/>
      <c r="T90" s="218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65"/>
      <c r="AN90" s="222"/>
      <c r="AO90" s="222"/>
      <c r="BO90" s="222"/>
      <c r="BP90" s="222"/>
      <c r="BQ90" s="222"/>
      <c r="BR90" s="222"/>
      <c r="BS90" s="222"/>
      <c r="BT90" s="222"/>
      <c r="BU90" s="222"/>
      <c r="BV90" s="222"/>
      <c r="BW90" s="222"/>
    </row>
    <row r="91" ht="15.0" customHeight="1">
      <c r="A91" s="279"/>
      <c r="C91" s="212"/>
      <c r="D91" s="212"/>
      <c r="E91" s="212"/>
      <c r="F91" s="212"/>
      <c r="G91" s="212"/>
      <c r="H91" s="213"/>
      <c r="I91" s="213"/>
      <c r="J91" s="213"/>
      <c r="K91" s="214"/>
      <c r="L91" s="222"/>
      <c r="M91" s="222"/>
      <c r="N91" s="215"/>
      <c r="O91" s="215"/>
      <c r="P91" s="215"/>
      <c r="Q91" s="215"/>
      <c r="R91" s="216"/>
      <c r="S91" s="217"/>
      <c r="T91" s="218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65"/>
      <c r="AN91" s="222"/>
      <c r="AO91" s="222"/>
      <c r="BO91" s="222"/>
      <c r="BP91" s="222"/>
      <c r="BQ91" s="222"/>
      <c r="BR91" s="222"/>
      <c r="BS91" s="222"/>
      <c r="BT91" s="222"/>
      <c r="BU91" s="222"/>
      <c r="BV91" s="222"/>
      <c r="BW91" s="222"/>
    </row>
    <row r="92" ht="15.0" customHeight="1">
      <c r="A92" s="279"/>
      <c r="C92" s="212"/>
      <c r="D92" s="212"/>
      <c r="E92" s="212"/>
      <c r="F92" s="212"/>
      <c r="G92" s="212"/>
      <c r="H92" s="213"/>
      <c r="I92" s="213"/>
      <c r="J92" s="213"/>
      <c r="K92" s="214"/>
      <c r="L92" s="222"/>
      <c r="M92" s="222"/>
      <c r="N92" s="215"/>
      <c r="O92" s="215"/>
      <c r="P92" s="215"/>
      <c r="Q92" s="215"/>
      <c r="R92" s="216"/>
      <c r="S92" s="217"/>
      <c r="T92" s="218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65"/>
      <c r="AN92" s="222"/>
      <c r="AO92" s="222"/>
      <c r="BO92" s="222"/>
      <c r="BP92" s="222"/>
      <c r="BQ92" s="222"/>
      <c r="BR92" s="222"/>
      <c r="BS92" s="222"/>
      <c r="BT92" s="222"/>
      <c r="BU92" s="222"/>
      <c r="BV92" s="222"/>
      <c r="BW92" s="222"/>
    </row>
    <row r="93" ht="15.0" customHeight="1">
      <c r="A93" s="279"/>
      <c r="C93" s="212"/>
      <c r="D93" s="212"/>
      <c r="E93" s="212"/>
      <c r="F93" s="212"/>
      <c r="G93" s="212"/>
      <c r="H93" s="213"/>
      <c r="I93" s="213"/>
      <c r="J93" s="213"/>
      <c r="K93" s="214"/>
      <c r="L93" s="222"/>
      <c r="M93" s="222"/>
      <c r="N93" s="215"/>
      <c r="O93" s="215"/>
      <c r="P93" s="215"/>
      <c r="Q93" s="215"/>
      <c r="R93" s="216"/>
      <c r="S93" s="217"/>
      <c r="T93" s="218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65"/>
      <c r="AN93" s="222"/>
      <c r="AO93" s="222"/>
      <c r="BO93" s="222"/>
      <c r="BP93" s="222"/>
      <c r="BQ93" s="222"/>
      <c r="BR93" s="222"/>
      <c r="BS93" s="222"/>
      <c r="BT93" s="222"/>
      <c r="BU93" s="222"/>
      <c r="BV93" s="222"/>
      <c r="BW93" s="222"/>
    </row>
    <row r="94" ht="15.0" customHeight="1">
      <c r="A94" s="279"/>
      <c r="C94" s="212"/>
      <c r="D94" s="212"/>
      <c r="E94" s="212"/>
      <c r="F94" s="212"/>
      <c r="G94" s="212"/>
      <c r="H94" s="213"/>
      <c r="I94" s="213"/>
      <c r="J94" s="213"/>
      <c r="K94" s="214"/>
      <c r="L94" s="222"/>
      <c r="M94" s="222"/>
      <c r="N94" s="215"/>
      <c r="O94" s="215"/>
      <c r="P94" s="215"/>
      <c r="Q94" s="215"/>
      <c r="R94" s="216"/>
      <c r="S94" s="217"/>
      <c r="T94" s="218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65"/>
      <c r="AN94" s="222"/>
      <c r="AO94" s="222"/>
      <c r="BO94" s="222"/>
      <c r="BP94" s="222"/>
      <c r="BQ94" s="222"/>
      <c r="BR94" s="222"/>
      <c r="BS94" s="222"/>
      <c r="BT94" s="222"/>
      <c r="BU94" s="222"/>
      <c r="BV94" s="222"/>
      <c r="BW94" s="222"/>
    </row>
    <row r="95" ht="15.0" customHeight="1">
      <c r="A95" s="279"/>
      <c r="C95" s="212"/>
      <c r="D95" s="212"/>
      <c r="E95" s="212"/>
      <c r="F95" s="212"/>
      <c r="G95" s="212"/>
      <c r="H95" s="213"/>
      <c r="I95" s="213"/>
      <c r="J95" s="213"/>
      <c r="K95" s="214"/>
      <c r="L95" s="222"/>
      <c r="M95" s="222"/>
      <c r="N95" s="215"/>
      <c r="O95" s="215"/>
      <c r="P95" s="215"/>
      <c r="Q95" s="215"/>
      <c r="R95" s="216"/>
      <c r="S95" s="217"/>
      <c r="T95" s="218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65"/>
      <c r="AN95" s="222"/>
      <c r="AO95" s="222"/>
      <c r="BO95" s="222"/>
      <c r="BP95" s="222"/>
      <c r="BQ95" s="222"/>
      <c r="BR95" s="222"/>
      <c r="BS95" s="222"/>
      <c r="BT95" s="222"/>
      <c r="BU95" s="222"/>
      <c r="BV95" s="222"/>
      <c r="BW95" s="222"/>
    </row>
    <row r="96" ht="15.0" customHeight="1">
      <c r="A96" s="279"/>
      <c r="C96" s="212"/>
      <c r="D96" s="212"/>
      <c r="E96" s="212"/>
      <c r="F96" s="212"/>
      <c r="G96" s="212"/>
      <c r="H96" s="213"/>
      <c r="I96" s="213"/>
      <c r="J96" s="213"/>
      <c r="K96" s="214"/>
      <c r="L96" s="222"/>
      <c r="M96" s="222"/>
      <c r="N96" s="215"/>
      <c r="O96" s="215"/>
      <c r="P96" s="215"/>
      <c r="Q96" s="215"/>
      <c r="R96" s="216"/>
      <c r="S96" s="217"/>
      <c r="T96" s="218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65"/>
      <c r="AN96" s="222"/>
      <c r="AO96" s="222"/>
      <c r="BO96" s="222"/>
      <c r="BP96" s="222"/>
      <c r="BQ96" s="222"/>
      <c r="BR96" s="222"/>
      <c r="BS96" s="222"/>
      <c r="BT96" s="222"/>
      <c r="BU96" s="222"/>
      <c r="BV96" s="222"/>
      <c r="BW96" s="222"/>
    </row>
    <row r="97" ht="15.0" customHeight="1">
      <c r="A97" s="279"/>
      <c r="C97" s="212"/>
      <c r="D97" s="212"/>
      <c r="E97" s="212"/>
      <c r="F97" s="212"/>
      <c r="G97" s="212"/>
      <c r="H97" s="213"/>
      <c r="I97" s="213"/>
      <c r="J97" s="213"/>
      <c r="K97" s="214"/>
      <c r="L97" s="222"/>
      <c r="M97" s="222"/>
      <c r="N97" s="215"/>
      <c r="O97" s="215"/>
      <c r="P97" s="215"/>
      <c r="Q97" s="215"/>
      <c r="R97" s="216"/>
      <c r="S97" s="217"/>
      <c r="T97" s="218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65"/>
      <c r="AN97" s="222"/>
      <c r="AO97" s="222"/>
      <c r="BO97" s="222"/>
      <c r="BP97" s="222"/>
      <c r="BQ97" s="222"/>
      <c r="BR97" s="222"/>
      <c r="BS97" s="222"/>
      <c r="BT97" s="222"/>
      <c r="BU97" s="222"/>
      <c r="BV97" s="222"/>
      <c r="BW97" s="222"/>
    </row>
    <row r="98" ht="15.0" customHeight="1">
      <c r="A98" s="279"/>
      <c r="C98" s="212"/>
      <c r="D98" s="212"/>
      <c r="E98" s="212"/>
      <c r="F98" s="212"/>
      <c r="G98" s="212"/>
      <c r="H98" s="213"/>
      <c r="I98" s="213"/>
      <c r="J98" s="213"/>
      <c r="K98" s="214"/>
      <c r="L98" s="222"/>
      <c r="M98" s="222"/>
      <c r="N98" s="215"/>
      <c r="O98" s="215"/>
      <c r="P98" s="215"/>
      <c r="Q98" s="215"/>
      <c r="R98" s="216"/>
      <c r="S98" s="217"/>
      <c r="T98" s="218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65"/>
      <c r="AN98" s="222"/>
      <c r="AO98" s="222"/>
      <c r="BO98" s="222"/>
      <c r="BP98" s="222"/>
      <c r="BQ98" s="222"/>
      <c r="BR98" s="222"/>
      <c r="BS98" s="222"/>
      <c r="BT98" s="222"/>
      <c r="BU98" s="222"/>
      <c r="BV98" s="222"/>
      <c r="BW98" s="222"/>
    </row>
    <row r="99" ht="15.0" customHeight="1">
      <c r="A99" s="279"/>
      <c r="C99" s="212"/>
      <c r="D99" s="212"/>
      <c r="E99" s="212"/>
      <c r="F99" s="212"/>
      <c r="G99" s="212"/>
      <c r="H99" s="213"/>
      <c r="I99" s="213"/>
      <c r="J99" s="213"/>
      <c r="K99" s="214"/>
      <c r="L99" s="222"/>
      <c r="M99" s="222"/>
      <c r="N99" s="215"/>
      <c r="O99" s="215"/>
      <c r="P99" s="215"/>
      <c r="Q99" s="215"/>
      <c r="R99" s="216"/>
      <c r="S99" s="217"/>
      <c r="T99" s="218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65"/>
      <c r="AN99" s="222"/>
      <c r="AO99" s="222"/>
      <c r="BO99" s="222"/>
      <c r="BP99" s="222"/>
      <c r="BQ99" s="222"/>
      <c r="BR99" s="222"/>
      <c r="BS99" s="222"/>
      <c r="BT99" s="222"/>
      <c r="BU99" s="222"/>
      <c r="BV99" s="222"/>
      <c r="BW99" s="222"/>
    </row>
    <row r="100" ht="15.0" customHeight="1">
      <c r="A100" s="279"/>
      <c r="C100" s="212"/>
      <c r="D100" s="212"/>
      <c r="E100" s="212"/>
      <c r="F100" s="212"/>
      <c r="G100" s="212"/>
      <c r="H100" s="213"/>
      <c r="I100" s="213"/>
      <c r="J100" s="213"/>
      <c r="K100" s="214"/>
      <c r="L100" s="222"/>
      <c r="M100" s="222"/>
      <c r="N100" s="215"/>
      <c r="O100" s="215"/>
      <c r="P100" s="215"/>
      <c r="Q100" s="215"/>
      <c r="R100" s="216"/>
      <c r="S100" s="217"/>
      <c r="T100" s="218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65"/>
      <c r="AN100" s="222"/>
      <c r="AO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</row>
    <row r="101" ht="15.0" customHeight="1">
      <c r="A101" s="279"/>
      <c r="C101" s="212"/>
      <c r="D101" s="212"/>
      <c r="E101" s="212"/>
      <c r="F101" s="212"/>
      <c r="G101" s="212"/>
      <c r="H101" s="213"/>
      <c r="I101" s="213"/>
      <c r="J101" s="213"/>
      <c r="K101" s="214"/>
      <c r="L101" s="222"/>
      <c r="M101" s="222"/>
      <c r="N101" s="215"/>
      <c r="O101" s="215"/>
      <c r="P101" s="215"/>
      <c r="Q101" s="215"/>
      <c r="R101" s="216"/>
      <c r="S101" s="217"/>
      <c r="T101" s="218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65"/>
      <c r="AN101" s="222"/>
      <c r="AO101" s="222"/>
      <c r="BO101" s="222"/>
      <c r="BP101" s="222"/>
      <c r="BQ101" s="222"/>
      <c r="BR101" s="222"/>
      <c r="BS101" s="222"/>
      <c r="BT101" s="222"/>
      <c r="BU101" s="222"/>
      <c r="BV101" s="222"/>
      <c r="BW101" s="222"/>
    </row>
    <row r="102" ht="15.0" customHeight="1">
      <c r="A102" s="279"/>
      <c r="C102" s="212"/>
      <c r="D102" s="212"/>
      <c r="E102" s="212"/>
      <c r="F102" s="212"/>
      <c r="G102" s="212"/>
      <c r="H102" s="213"/>
      <c r="I102" s="213"/>
      <c r="J102" s="213"/>
      <c r="K102" s="214"/>
      <c r="L102" s="222"/>
      <c r="M102" s="222"/>
      <c r="N102" s="215"/>
      <c r="O102" s="215"/>
      <c r="P102" s="215"/>
      <c r="Q102" s="215"/>
      <c r="R102" s="216"/>
      <c r="S102" s="217"/>
      <c r="T102" s="218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65"/>
      <c r="AN102" s="222"/>
      <c r="AO102" s="222"/>
      <c r="BO102" s="222"/>
      <c r="BP102" s="222"/>
      <c r="BQ102" s="222"/>
      <c r="BR102" s="222"/>
      <c r="BS102" s="222"/>
      <c r="BT102" s="222"/>
      <c r="BU102" s="222"/>
      <c r="BV102" s="222"/>
      <c r="BW102" s="222"/>
    </row>
    <row r="103" ht="15.0" customHeight="1">
      <c r="A103" s="279"/>
      <c r="C103" s="212"/>
      <c r="D103" s="212"/>
      <c r="E103" s="212"/>
      <c r="F103" s="212"/>
      <c r="G103" s="212"/>
      <c r="H103" s="213"/>
      <c r="I103" s="213"/>
      <c r="J103" s="213"/>
      <c r="K103" s="214"/>
      <c r="L103" s="222"/>
      <c r="M103" s="222"/>
      <c r="N103" s="215"/>
      <c r="O103" s="215"/>
      <c r="P103" s="215"/>
      <c r="Q103" s="215"/>
      <c r="R103" s="216"/>
      <c r="S103" s="217"/>
      <c r="T103" s="218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65"/>
      <c r="AN103" s="222"/>
      <c r="AO103" s="222"/>
      <c r="BO103" s="222"/>
      <c r="BP103" s="222"/>
      <c r="BQ103" s="222"/>
      <c r="BR103" s="222"/>
      <c r="BS103" s="222"/>
      <c r="BT103" s="222"/>
      <c r="BU103" s="222"/>
      <c r="BV103" s="222"/>
      <c r="BW103" s="222"/>
    </row>
    <row r="104" ht="15.0" customHeight="1">
      <c r="A104" s="279"/>
      <c r="C104" s="212"/>
      <c r="D104" s="212"/>
      <c r="E104" s="212"/>
      <c r="F104" s="212"/>
      <c r="G104" s="212"/>
      <c r="H104" s="213"/>
      <c r="I104" s="213"/>
      <c r="J104" s="213"/>
      <c r="K104" s="214"/>
      <c r="L104" s="222"/>
      <c r="M104" s="222"/>
      <c r="N104" s="215"/>
      <c r="O104" s="215"/>
      <c r="P104" s="215"/>
      <c r="Q104" s="215"/>
      <c r="R104" s="216"/>
      <c r="S104" s="217"/>
      <c r="T104" s="218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65"/>
      <c r="AN104" s="222"/>
      <c r="AO104" s="222"/>
      <c r="BO104" s="222"/>
      <c r="BP104" s="222"/>
      <c r="BQ104" s="222"/>
      <c r="BR104" s="222"/>
      <c r="BS104" s="222"/>
      <c r="BT104" s="222"/>
      <c r="BU104" s="222"/>
      <c r="BV104" s="222"/>
      <c r="BW104" s="222"/>
    </row>
    <row r="105" ht="15.0" customHeight="1">
      <c r="A105" s="279"/>
      <c r="C105" s="212"/>
      <c r="D105" s="212"/>
      <c r="E105" s="212"/>
      <c r="F105" s="212"/>
      <c r="G105" s="212"/>
      <c r="H105" s="213"/>
      <c r="I105" s="213"/>
      <c r="J105" s="213"/>
      <c r="K105" s="214"/>
      <c r="L105" s="222"/>
      <c r="M105" s="222"/>
      <c r="N105" s="215"/>
      <c r="O105" s="215"/>
      <c r="P105" s="215"/>
      <c r="Q105" s="215"/>
      <c r="R105" s="216"/>
      <c r="S105" s="217"/>
      <c r="T105" s="218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65"/>
      <c r="AN105" s="222"/>
      <c r="AO105" s="222"/>
      <c r="BO105" s="222"/>
      <c r="BP105" s="222"/>
      <c r="BQ105" s="222"/>
      <c r="BR105" s="222"/>
      <c r="BS105" s="222"/>
      <c r="BT105" s="222"/>
      <c r="BU105" s="222"/>
      <c r="BV105" s="222"/>
      <c r="BW105" s="222"/>
    </row>
    <row r="106" ht="15.0" customHeight="1">
      <c r="A106" s="279"/>
      <c r="C106" s="212"/>
      <c r="D106" s="212"/>
      <c r="E106" s="212"/>
      <c r="F106" s="212"/>
      <c r="G106" s="212"/>
      <c r="H106" s="213"/>
      <c r="I106" s="213"/>
      <c r="J106" s="213"/>
      <c r="K106" s="214"/>
      <c r="L106" s="222"/>
      <c r="M106" s="222"/>
      <c r="N106" s="215"/>
      <c r="O106" s="215"/>
      <c r="P106" s="215"/>
      <c r="Q106" s="215"/>
      <c r="R106" s="216"/>
      <c r="S106" s="217"/>
      <c r="T106" s="218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65"/>
      <c r="AN106" s="222"/>
      <c r="AO106" s="222"/>
      <c r="BO106" s="222"/>
      <c r="BP106" s="222"/>
      <c r="BQ106" s="222"/>
      <c r="BR106" s="222"/>
      <c r="BS106" s="222"/>
      <c r="BT106" s="222"/>
      <c r="BU106" s="222"/>
      <c r="BV106" s="222"/>
      <c r="BW106" s="222"/>
    </row>
    <row r="107" ht="15.0" customHeight="1">
      <c r="A107" s="279"/>
      <c r="C107" s="212"/>
      <c r="D107" s="212"/>
      <c r="E107" s="212"/>
      <c r="F107" s="212"/>
      <c r="G107" s="212"/>
      <c r="H107" s="213"/>
      <c r="I107" s="213"/>
      <c r="J107" s="213"/>
      <c r="K107" s="214"/>
      <c r="L107" s="222"/>
      <c r="M107" s="222"/>
      <c r="N107" s="215"/>
      <c r="O107" s="215"/>
      <c r="P107" s="215"/>
      <c r="Q107" s="215"/>
      <c r="R107" s="216"/>
      <c r="S107" s="217"/>
      <c r="T107" s="218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65"/>
      <c r="AN107" s="222"/>
      <c r="AO107" s="222"/>
      <c r="BO107" s="222"/>
      <c r="BP107" s="222"/>
      <c r="BQ107" s="222"/>
      <c r="BR107" s="222"/>
      <c r="BS107" s="222"/>
      <c r="BT107" s="222"/>
      <c r="BU107" s="222"/>
      <c r="BV107" s="222"/>
      <c r="BW107" s="222"/>
    </row>
    <row r="108" ht="15.0" customHeight="1">
      <c r="A108" s="279"/>
      <c r="C108" s="212"/>
      <c r="D108" s="212"/>
      <c r="E108" s="212"/>
      <c r="F108" s="212"/>
      <c r="G108" s="212"/>
      <c r="H108" s="213"/>
      <c r="I108" s="213"/>
      <c r="J108" s="213"/>
      <c r="K108" s="214"/>
      <c r="L108" s="222"/>
      <c r="M108" s="222"/>
      <c r="N108" s="215"/>
      <c r="O108" s="215"/>
      <c r="P108" s="215"/>
      <c r="Q108" s="215"/>
      <c r="R108" s="216"/>
      <c r="S108" s="217"/>
      <c r="T108" s="218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65"/>
      <c r="AN108" s="222"/>
      <c r="AO108" s="222"/>
      <c r="BO108" s="222"/>
      <c r="BP108" s="222"/>
      <c r="BQ108" s="222"/>
      <c r="BR108" s="222"/>
      <c r="BS108" s="222"/>
      <c r="BT108" s="222"/>
      <c r="BU108" s="222"/>
      <c r="BV108" s="222"/>
      <c r="BW108" s="222"/>
    </row>
    <row r="109" ht="15.0" customHeight="1">
      <c r="A109" s="279"/>
      <c r="C109" s="212"/>
      <c r="D109" s="212"/>
      <c r="E109" s="212"/>
      <c r="F109" s="212"/>
      <c r="G109" s="212"/>
      <c r="H109" s="213"/>
      <c r="I109" s="213"/>
      <c r="J109" s="213"/>
      <c r="K109" s="214"/>
      <c r="L109" s="222"/>
      <c r="M109" s="222"/>
      <c r="N109" s="215"/>
      <c r="O109" s="215"/>
      <c r="P109" s="215"/>
      <c r="Q109" s="215"/>
      <c r="R109" s="216"/>
      <c r="S109" s="217"/>
      <c r="T109" s="218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65"/>
      <c r="AN109" s="222"/>
      <c r="AO109" s="222"/>
      <c r="BO109" s="222"/>
      <c r="BP109" s="222"/>
      <c r="BQ109" s="222"/>
      <c r="BR109" s="222"/>
      <c r="BS109" s="222"/>
      <c r="BT109" s="222"/>
      <c r="BU109" s="222"/>
      <c r="BV109" s="222"/>
      <c r="BW109" s="222"/>
    </row>
    <row r="110" ht="15.0" customHeight="1">
      <c r="A110" s="279"/>
      <c r="C110" s="212"/>
      <c r="D110" s="212"/>
      <c r="E110" s="212"/>
      <c r="F110" s="212"/>
      <c r="G110" s="212"/>
      <c r="H110" s="213"/>
      <c r="I110" s="213"/>
      <c r="J110" s="213"/>
      <c r="K110" s="214"/>
      <c r="L110" s="222"/>
      <c r="M110" s="222"/>
      <c r="N110" s="215"/>
      <c r="O110" s="215"/>
      <c r="P110" s="215"/>
      <c r="Q110" s="215"/>
      <c r="R110" s="216"/>
      <c r="S110" s="217"/>
      <c r="T110" s="218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65"/>
      <c r="AN110" s="222"/>
      <c r="AO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</row>
    <row r="111" ht="15.0" customHeight="1">
      <c r="A111" s="279"/>
      <c r="C111" s="212"/>
      <c r="D111" s="212"/>
      <c r="E111" s="212"/>
      <c r="F111" s="212"/>
      <c r="G111" s="212"/>
      <c r="H111" s="213"/>
      <c r="I111" s="213"/>
      <c r="J111" s="213"/>
      <c r="K111" s="214"/>
      <c r="L111" s="222"/>
      <c r="M111" s="222"/>
      <c r="N111" s="215"/>
      <c r="O111" s="215"/>
      <c r="P111" s="215"/>
      <c r="Q111" s="215"/>
      <c r="R111" s="216"/>
      <c r="S111" s="217"/>
      <c r="T111" s="218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65"/>
      <c r="AN111" s="222"/>
      <c r="AO111" s="222"/>
      <c r="BO111" s="222"/>
      <c r="BP111" s="222"/>
      <c r="BQ111" s="222"/>
      <c r="BR111" s="222"/>
      <c r="BS111" s="222"/>
      <c r="BT111" s="222"/>
      <c r="BU111" s="222"/>
      <c r="BV111" s="222"/>
      <c r="BW111" s="222"/>
    </row>
    <row r="112" ht="15.0" customHeight="1">
      <c r="A112" s="279"/>
      <c r="C112" s="212"/>
      <c r="D112" s="212"/>
      <c r="E112" s="212"/>
      <c r="F112" s="212"/>
      <c r="G112" s="212"/>
      <c r="H112" s="213"/>
      <c r="I112" s="213"/>
      <c r="J112" s="213"/>
      <c r="K112" s="214"/>
      <c r="L112" s="222"/>
      <c r="M112" s="222"/>
      <c r="N112" s="215"/>
      <c r="O112" s="215"/>
      <c r="P112" s="215"/>
      <c r="Q112" s="215"/>
      <c r="R112" s="216"/>
      <c r="S112" s="217"/>
      <c r="T112" s="218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65"/>
      <c r="AN112" s="222"/>
      <c r="AO112" s="222"/>
      <c r="BO112" s="222"/>
      <c r="BP112" s="222"/>
      <c r="BQ112" s="222"/>
      <c r="BR112" s="222"/>
      <c r="BS112" s="222"/>
      <c r="BT112" s="222"/>
      <c r="BU112" s="222"/>
      <c r="BV112" s="222"/>
      <c r="BW112" s="222"/>
    </row>
    <row r="113" ht="15.0" customHeight="1">
      <c r="A113" s="279"/>
      <c r="C113" s="212"/>
      <c r="D113" s="212"/>
      <c r="E113" s="212"/>
      <c r="F113" s="212"/>
      <c r="G113" s="212"/>
      <c r="H113" s="213"/>
      <c r="I113" s="213"/>
      <c r="J113" s="213"/>
      <c r="K113" s="214"/>
      <c r="L113" s="222"/>
      <c r="M113" s="222"/>
      <c r="N113" s="215"/>
      <c r="O113" s="215"/>
      <c r="P113" s="215"/>
      <c r="Q113" s="215"/>
      <c r="R113" s="216"/>
      <c r="S113" s="217"/>
      <c r="T113" s="218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65"/>
      <c r="AN113" s="222"/>
      <c r="AO113" s="222"/>
      <c r="BO113" s="222"/>
      <c r="BP113" s="222"/>
      <c r="BQ113" s="222"/>
      <c r="BR113" s="222"/>
      <c r="BS113" s="222"/>
      <c r="BT113" s="222"/>
      <c r="BU113" s="222"/>
      <c r="BV113" s="222"/>
      <c r="BW113" s="222"/>
    </row>
    <row r="114" ht="15.0" customHeight="1">
      <c r="A114" s="279"/>
      <c r="C114" s="212"/>
      <c r="D114" s="212"/>
      <c r="E114" s="212"/>
      <c r="F114" s="212"/>
      <c r="G114" s="212"/>
      <c r="H114" s="213"/>
      <c r="I114" s="213"/>
      <c r="J114" s="213"/>
      <c r="K114" s="214"/>
      <c r="L114" s="222"/>
      <c r="M114" s="222"/>
      <c r="N114" s="215"/>
      <c r="O114" s="215"/>
      <c r="P114" s="215"/>
      <c r="Q114" s="215"/>
      <c r="R114" s="216"/>
      <c r="S114" s="217"/>
      <c r="T114" s="218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65"/>
      <c r="AN114" s="222"/>
      <c r="AO114" s="222"/>
      <c r="BO114" s="222"/>
      <c r="BP114" s="222"/>
      <c r="BQ114" s="222"/>
      <c r="BR114" s="222"/>
      <c r="BS114" s="222"/>
      <c r="BT114" s="222"/>
      <c r="BU114" s="222"/>
      <c r="BV114" s="222"/>
      <c r="BW114" s="222"/>
    </row>
    <row r="115" ht="15.0" customHeight="1">
      <c r="A115" s="279"/>
      <c r="C115" s="212"/>
      <c r="D115" s="212"/>
      <c r="E115" s="212"/>
      <c r="F115" s="212"/>
      <c r="G115" s="212"/>
      <c r="H115" s="213"/>
      <c r="I115" s="213"/>
      <c r="J115" s="213"/>
      <c r="K115" s="214"/>
      <c r="L115" s="222"/>
      <c r="M115" s="222"/>
      <c r="N115" s="215"/>
      <c r="O115" s="215"/>
      <c r="P115" s="215"/>
      <c r="Q115" s="215"/>
      <c r="R115" s="216"/>
      <c r="S115" s="217"/>
      <c r="T115" s="218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65"/>
      <c r="AN115" s="222"/>
      <c r="AO115" s="222"/>
      <c r="BO115" s="222"/>
      <c r="BP115" s="222"/>
      <c r="BQ115" s="222"/>
      <c r="BR115" s="222"/>
      <c r="BS115" s="222"/>
      <c r="BT115" s="222"/>
      <c r="BU115" s="222"/>
      <c r="BV115" s="222"/>
      <c r="BW115" s="222"/>
    </row>
    <row r="116" ht="15.0" customHeight="1">
      <c r="A116" s="279"/>
      <c r="C116" s="212"/>
      <c r="D116" s="212"/>
      <c r="E116" s="212"/>
      <c r="F116" s="212"/>
      <c r="G116" s="212"/>
      <c r="H116" s="213"/>
      <c r="I116" s="213"/>
      <c r="J116" s="213"/>
      <c r="K116" s="214"/>
      <c r="L116" s="222"/>
      <c r="M116" s="222"/>
      <c r="N116" s="215"/>
      <c r="O116" s="215"/>
      <c r="P116" s="215"/>
      <c r="Q116" s="215"/>
      <c r="R116" s="216"/>
      <c r="S116" s="217"/>
      <c r="T116" s="218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65"/>
      <c r="AN116" s="222"/>
      <c r="AO116" s="222"/>
      <c r="BO116" s="222"/>
      <c r="BP116" s="222"/>
      <c r="BQ116" s="222"/>
      <c r="BR116" s="222"/>
      <c r="BS116" s="222"/>
      <c r="BT116" s="222"/>
      <c r="BU116" s="222"/>
      <c r="BV116" s="222"/>
      <c r="BW116" s="222"/>
    </row>
    <row r="117" ht="15.0" customHeight="1">
      <c r="A117" s="279"/>
      <c r="C117" s="212"/>
      <c r="D117" s="212"/>
      <c r="E117" s="212"/>
      <c r="F117" s="212"/>
      <c r="G117" s="212"/>
      <c r="H117" s="213"/>
      <c r="I117" s="213"/>
      <c r="J117" s="213"/>
      <c r="K117" s="214"/>
      <c r="L117" s="222"/>
      <c r="M117" s="222"/>
      <c r="N117" s="215"/>
      <c r="O117" s="215"/>
      <c r="P117" s="215"/>
      <c r="Q117" s="215"/>
      <c r="R117" s="216"/>
      <c r="S117" s="217"/>
      <c r="T117" s="218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65"/>
      <c r="AN117" s="222"/>
      <c r="AO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</row>
    <row r="118" ht="15.0" customHeight="1">
      <c r="A118" s="279"/>
      <c r="C118" s="212"/>
      <c r="D118" s="212"/>
      <c r="E118" s="212"/>
      <c r="F118" s="212"/>
      <c r="G118" s="212"/>
      <c r="H118" s="213"/>
      <c r="I118" s="213"/>
      <c r="J118" s="213"/>
      <c r="K118" s="214"/>
      <c r="L118" s="222"/>
      <c r="M118" s="222"/>
      <c r="N118" s="215"/>
      <c r="O118" s="215"/>
      <c r="P118" s="215"/>
      <c r="Q118" s="215"/>
      <c r="R118" s="216"/>
      <c r="S118" s="217"/>
      <c r="T118" s="218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65"/>
      <c r="AN118" s="222"/>
      <c r="AO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</row>
    <row r="119" ht="15.0" customHeight="1">
      <c r="A119" s="279"/>
      <c r="C119" s="212"/>
      <c r="D119" s="212"/>
      <c r="E119" s="212"/>
      <c r="F119" s="212"/>
      <c r="G119" s="212"/>
      <c r="H119" s="213"/>
      <c r="I119" s="213"/>
      <c r="J119" s="213"/>
      <c r="K119" s="214"/>
      <c r="L119" s="222"/>
      <c r="M119" s="222"/>
      <c r="N119" s="215"/>
      <c r="O119" s="215"/>
      <c r="P119" s="215"/>
      <c r="Q119" s="215"/>
      <c r="R119" s="216"/>
      <c r="S119" s="217"/>
      <c r="T119" s="218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65"/>
      <c r="AN119" s="222"/>
      <c r="AO119" s="222"/>
      <c r="BO119" s="222"/>
      <c r="BP119" s="222"/>
      <c r="BQ119" s="222"/>
      <c r="BR119" s="222"/>
      <c r="BS119" s="222"/>
      <c r="BT119" s="222"/>
      <c r="BU119" s="222"/>
      <c r="BV119" s="222"/>
      <c r="BW119" s="222"/>
    </row>
    <row r="120" ht="15.0" customHeight="1">
      <c r="A120" s="279"/>
      <c r="C120" s="212"/>
      <c r="D120" s="212"/>
      <c r="E120" s="212"/>
      <c r="F120" s="212"/>
      <c r="G120" s="212"/>
      <c r="H120" s="213"/>
      <c r="I120" s="213"/>
      <c r="J120" s="213"/>
      <c r="K120" s="214"/>
      <c r="L120" s="222"/>
      <c r="M120" s="222"/>
      <c r="N120" s="215"/>
      <c r="O120" s="215"/>
      <c r="P120" s="215"/>
      <c r="Q120" s="215"/>
      <c r="R120" s="216"/>
      <c r="S120" s="217"/>
      <c r="T120" s="218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65"/>
      <c r="AN120" s="222"/>
      <c r="AO120" s="222"/>
      <c r="BO120" s="222"/>
      <c r="BP120" s="222"/>
      <c r="BQ120" s="222"/>
      <c r="BR120" s="222"/>
      <c r="BS120" s="222"/>
      <c r="BT120" s="222"/>
      <c r="BU120" s="222"/>
      <c r="BV120" s="222"/>
      <c r="BW120" s="222"/>
    </row>
    <row r="121" ht="15.0" customHeight="1">
      <c r="A121" s="279"/>
      <c r="C121" s="212"/>
      <c r="D121" s="212"/>
      <c r="E121" s="212"/>
      <c r="F121" s="212"/>
      <c r="G121" s="212"/>
      <c r="H121" s="213"/>
      <c r="I121" s="213"/>
      <c r="J121" s="213"/>
      <c r="K121" s="214"/>
      <c r="L121" s="222"/>
      <c r="M121" s="222"/>
      <c r="N121" s="215"/>
      <c r="O121" s="215"/>
      <c r="P121" s="215"/>
      <c r="Q121" s="215"/>
      <c r="R121" s="216"/>
      <c r="S121" s="217"/>
      <c r="T121" s="218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65"/>
      <c r="AN121" s="222"/>
      <c r="AO121" s="222"/>
      <c r="BO121" s="222"/>
      <c r="BP121" s="222"/>
      <c r="BQ121" s="222"/>
      <c r="BR121" s="222"/>
      <c r="BS121" s="222"/>
      <c r="BT121" s="222"/>
      <c r="BU121" s="222"/>
      <c r="BV121" s="222"/>
      <c r="BW121" s="222"/>
    </row>
    <row r="122" ht="15.0" customHeight="1">
      <c r="A122" s="279"/>
      <c r="C122" s="212"/>
      <c r="D122" s="212"/>
      <c r="E122" s="212"/>
      <c r="F122" s="212"/>
      <c r="G122" s="212"/>
      <c r="H122" s="213"/>
      <c r="I122" s="213"/>
      <c r="J122" s="213"/>
      <c r="K122" s="214"/>
      <c r="L122" s="222"/>
      <c r="M122" s="222"/>
      <c r="N122" s="215"/>
      <c r="O122" s="215"/>
      <c r="P122" s="215"/>
      <c r="Q122" s="215"/>
      <c r="R122" s="216"/>
      <c r="S122" s="217"/>
      <c r="T122" s="218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65"/>
      <c r="AN122" s="222"/>
      <c r="AO122" s="222"/>
      <c r="BO122" s="222"/>
      <c r="BP122" s="222"/>
      <c r="BQ122" s="222"/>
      <c r="BR122" s="222"/>
      <c r="BS122" s="222"/>
      <c r="BT122" s="222"/>
      <c r="BU122" s="222"/>
      <c r="BV122" s="222"/>
      <c r="BW122" s="222"/>
    </row>
    <row r="123" ht="15.0" customHeight="1">
      <c r="A123" s="279"/>
      <c r="C123" s="212"/>
      <c r="D123" s="212"/>
      <c r="E123" s="212"/>
      <c r="F123" s="212"/>
      <c r="G123" s="212"/>
      <c r="H123" s="213"/>
      <c r="I123" s="213"/>
      <c r="J123" s="213"/>
      <c r="K123" s="214"/>
      <c r="L123" s="222"/>
      <c r="M123" s="222"/>
      <c r="N123" s="215"/>
      <c r="O123" s="215"/>
      <c r="P123" s="215"/>
      <c r="Q123" s="215"/>
      <c r="R123" s="216"/>
      <c r="S123" s="217"/>
      <c r="T123" s="218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65"/>
      <c r="AN123" s="222"/>
      <c r="AO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</row>
    <row r="124" ht="15.0" customHeight="1">
      <c r="A124" s="279"/>
      <c r="C124" s="212"/>
      <c r="D124" s="212"/>
      <c r="E124" s="212"/>
      <c r="F124" s="212"/>
      <c r="G124" s="212"/>
      <c r="H124" s="213"/>
      <c r="I124" s="213"/>
      <c r="J124" s="213"/>
      <c r="K124" s="214"/>
      <c r="L124" s="222"/>
      <c r="M124" s="222"/>
      <c r="N124" s="215"/>
      <c r="O124" s="215"/>
      <c r="P124" s="215"/>
      <c r="Q124" s="215"/>
      <c r="R124" s="216"/>
      <c r="S124" s="217"/>
      <c r="T124" s="218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65"/>
      <c r="AN124" s="222"/>
      <c r="AO124" s="222"/>
      <c r="BO124" s="222"/>
      <c r="BP124" s="222"/>
      <c r="BQ124" s="222"/>
      <c r="BR124" s="222"/>
      <c r="BS124" s="222"/>
      <c r="BT124" s="222"/>
      <c r="BU124" s="222"/>
      <c r="BV124" s="222"/>
      <c r="BW124" s="222"/>
    </row>
    <row r="125" ht="15.0" customHeight="1">
      <c r="A125" s="279"/>
      <c r="C125" s="212"/>
      <c r="D125" s="212"/>
      <c r="E125" s="212"/>
      <c r="F125" s="212"/>
      <c r="G125" s="212"/>
      <c r="H125" s="213"/>
      <c r="I125" s="213"/>
      <c r="J125" s="213"/>
      <c r="K125" s="214"/>
      <c r="L125" s="222"/>
      <c r="M125" s="222"/>
      <c r="N125" s="215"/>
      <c r="O125" s="215"/>
      <c r="P125" s="215"/>
      <c r="Q125" s="215"/>
      <c r="R125" s="216"/>
      <c r="S125" s="217"/>
      <c r="T125" s="218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65"/>
      <c r="AN125" s="222"/>
      <c r="AO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</row>
    <row r="126" ht="15.0" customHeight="1">
      <c r="A126" s="279"/>
      <c r="C126" s="212"/>
      <c r="D126" s="212"/>
      <c r="E126" s="212"/>
      <c r="F126" s="212"/>
      <c r="G126" s="212"/>
      <c r="H126" s="213"/>
      <c r="I126" s="213"/>
      <c r="J126" s="213"/>
      <c r="K126" s="214"/>
      <c r="L126" s="222"/>
      <c r="M126" s="222"/>
      <c r="N126" s="215"/>
      <c r="O126" s="215"/>
      <c r="P126" s="215"/>
      <c r="Q126" s="215"/>
      <c r="R126" s="216"/>
      <c r="S126" s="217"/>
      <c r="T126" s="218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65"/>
      <c r="AN126" s="222"/>
      <c r="AO126" s="222"/>
      <c r="BO126" s="222"/>
      <c r="BP126" s="222"/>
      <c r="BQ126" s="222"/>
      <c r="BR126" s="222"/>
      <c r="BS126" s="222"/>
      <c r="BT126" s="222"/>
      <c r="BU126" s="222"/>
      <c r="BV126" s="222"/>
      <c r="BW126" s="222"/>
    </row>
    <row r="127" ht="15.0" customHeight="1">
      <c r="A127" s="279"/>
      <c r="C127" s="212"/>
      <c r="D127" s="212"/>
      <c r="E127" s="212"/>
      <c r="F127" s="212"/>
      <c r="G127" s="212"/>
      <c r="H127" s="213"/>
      <c r="I127" s="213"/>
      <c r="J127" s="213"/>
      <c r="K127" s="214"/>
      <c r="L127" s="222"/>
      <c r="M127" s="222"/>
      <c r="N127" s="215"/>
      <c r="O127" s="215"/>
      <c r="P127" s="215"/>
      <c r="Q127" s="215"/>
      <c r="R127" s="216"/>
      <c r="S127" s="217"/>
      <c r="T127" s="218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65"/>
      <c r="AN127" s="222"/>
      <c r="AO127" s="222"/>
      <c r="BO127" s="222"/>
      <c r="BP127" s="222"/>
      <c r="BQ127" s="222"/>
      <c r="BR127" s="222"/>
      <c r="BS127" s="222"/>
      <c r="BT127" s="222"/>
      <c r="BU127" s="222"/>
      <c r="BV127" s="222"/>
      <c r="BW127" s="222"/>
    </row>
    <row r="128" ht="15.0" customHeight="1">
      <c r="A128" s="279"/>
      <c r="C128" s="212"/>
      <c r="D128" s="212"/>
      <c r="E128" s="212"/>
      <c r="F128" s="212"/>
      <c r="G128" s="212"/>
      <c r="H128" s="213"/>
      <c r="I128" s="213"/>
      <c r="J128" s="213"/>
      <c r="K128" s="214"/>
      <c r="L128" s="222"/>
      <c r="M128" s="222"/>
      <c r="N128" s="215"/>
      <c r="O128" s="215"/>
      <c r="P128" s="215"/>
      <c r="Q128" s="215"/>
      <c r="R128" s="216"/>
      <c r="S128" s="217"/>
      <c r="T128" s="218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65"/>
      <c r="AN128" s="222"/>
      <c r="AO128" s="222"/>
      <c r="BO128" s="222"/>
      <c r="BP128" s="222"/>
      <c r="BQ128" s="222"/>
      <c r="BR128" s="222"/>
      <c r="BS128" s="222"/>
      <c r="BT128" s="222"/>
      <c r="BU128" s="222"/>
      <c r="BV128" s="222"/>
      <c r="BW128" s="222"/>
    </row>
    <row r="129" ht="15.0" customHeight="1">
      <c r="A129" s="279"/>
      <c r="C129" s="212"/>
      <c r="D129" s="212"/>
      <c r="E129" s="212"/>
      <c r="F129" s="212"/>
      <c r="G129" s="212"/>
      <c r="H129" s="213"/>
      <c r="I129" s="213"/>
      <c r="J129" s="213"/>
      <c r="K129" s="214"/>
      <c r="L129" s="222"/>
      <c r="M129" s="222"/>
      <c r="N129" s="215"/>
      <c r="O129" s="215"/>
      <c r="P129" s="215"/>
      <c r="Q129" s="215"/>
      <c r="R129" s="216"/>
      <c r="S129" s="217"/>
      <c r="T129" s="218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65"/>
      <c r="AN129" s="222"/>
      <c r="AO129" s="222"/>
      <c r="BO129" s="222"/>
      <c r="BP129" s="222"/>
      <c r="BQ129" s="222"/>
      <c r="BR129" s="222"/>
      <c r="BS129" s="222"/>
      <c r="BT129" s="222"/>
      <c r="BU129" s="222"/>
      <c r="BV129" s="222"/>
      <c r="BW129" s="222"/>
    </row>
    <row r="130" ht="15.0" customHeight="1">
      <c r="A130" s="279"/>
      <c r="C130" s="212"/>
      <c r="D130" s="212"/>
      <c r="E130" s="212"/>
      <c r="F130" s="212"/>
      <c r="G130" s="212"/>
      <c r="H130" s="213"/>
      <c r="I130" s="213"/>
      <c r="J130" s="213"/>
      <c r="K130" s="214"/>
      <c r="L130" s="222"/>
      <c r="M130" s="222"/>
      <c r="N130" s="215"/>
      <c r="O130" s="215"/>
      <c r="P130" s="215"/>
      <c r="Q130" s="215"/>
      <c r="R130" s="216"/>
      <c r="S130" s="217"/>
      <c r="T130" s="218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65"/>
      <c r="AN130" s="222"/>
      <c r="AO130" s="222"/>
      <c r="BO130" s="222"/>
      <c r="BP130" s="222"/>
      <c r="BQ130" s="222"/>
      <c r="BR130" s="222"/>
      <c r="BS130" s="222"/>
      <c r="BT130" s="222"/>
      <c r="BU130" s="222"/>
      <c r="BV130" s="222"/>
      <c r="BW130" s="222"/>
    </row>
    <row r="131" ht="15.0" customHeight="1">
      <c r="A131" s="279"/>
      <c r="C131" s="212"/>
      <c r="D131" s="212"/>
      <c r="E131" s="212"/>
      <c r="F131" s="212"/>
      <c r="G131" s="212"/>
      <c r="H131" s="213"/>
      <c r="I131" s="213"/>
      <c r="J131" s="213"/>
      <c r="K131" s="214"/>
      <c r="L131" s="222"/>
      <c r="M131" s="222"/>
      <c r="N131" s="215"/>
      <c r="O131" s="215"/>
      <c r="P131" s="215"/>
      <c r="Q131" s="215"/>
      <c r="R131" s="216"/>
      <c r="S131" s="217"/>
      <c r="T131" s="218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65"/>
      <c r="AN131" s="222"/>
      <c r="AO131" s="222"/>
      <c r="BO131" s="222"/>
      <c r="BP131" s="222"/>
      <c r="BQ131" s="222"/>
      <c r="BR131" s="222"/>
      <c r="BS131" s="222"/>
      <c r="BT131" s="222"/>
      <c r="BU131" s="222"/>
      <c r="BV131" s="222"/>
      <c r="BW131" s="222"/>
    </row>
    <row r="132" ht="15.0" customHeight="1">
      <c r="A132" s="279"/>
      <c r="C132" s="212"/>
      <c r="D132" s="212"/>
      <c r="E132" s="212"/>
      <c r="F132" s="212"/>
      <c r="G132" s="212"/>
      <c r="H132" s="213"/>
      <c r="I132" s="213"/>
      <c r="J132" s="213"/>
      <c r="K132" s="214"/>
      <c r="L132" s="222"/>
      <c r="M132" s="222"/>
      <c r="N132" s="215"/>
      <c r="O132" s="215"/>
      <c r="P132" s="215"/>
      <c r="Q132" s="215"/>
      <c r="R132" s="216"/>
      <c r="S132" s="217"/>
      <c r="T132" s="218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65"/>
      <c r="AN132" s="222"/>
      <c r="AO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</row>
    <row r="133" ht="15.0" customHeight="1">
      <c r="A133" s="279"/>
      <c r="C133" s="212"/>
      <c r="D133" s="212"/>
      <c r="E133" s="212"/>
      <c r="F133" s="212"/>
      <c r="G133" s="212"/>
      <c r="H133" s="213"/>
      <c r="I133" s="213"/>
      <c r="J133" s="213"/>
      <c r="K133" s="214"/>
      <c r="L133" s="222"/>
      <c r="M133" s="222"/>
      <c r="N133" s="215"/>
      <c r="O133" s="215"/>
      <c r="P133" s="215"/>
      <c r="Q133" s="215"/>
      <c r="R133" s="216"/>
      <c r="S133" s="217"/>
      <c r="T133" s="218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65"/>
      <c r="AN133" s="222"/>
      <c r="AO133" s="222"/>
      <c r="BO133" s="222"/>
      <c r="BP133" s="222"/>
      <c r="BQ133" s="222"/>
      <c r="BR133" s="222"/>
      <c r="BS133" s="222"/>
      <c r="BT133" s="222"/>
      <c r="BU133" s="222"/>
      <c r="BV133" s="222"/>
      <c r="BW133" s="222"/>
    </row>
    <row r="134" ht="15.0" customHeight="1">
      <c r="A134" s="279"/>
      <c r="C134" s="212"/>
      <c r="D134" s="212"/>
      <c r="E134" s="212"/>
      <c r="F134" s="212"/>
      <c r="G134" s="212"/>
      <c r="H134" s="213"/>
      <c r="I134" s="213"/>
      <c r="J134" s="213"/>
      <c r="K134" s="214"/>
      <c r="L134" s="222"/>
      <c r="M134" s="222"/>
      <c r="N134" s="215"/>
      <c r="O134" s="215"/>
      <c r="P134" s="215"/>
      <c r="Q134" s="215"/>
      <c r="R134" s="216"/>
      <c r="S134" s="217"/>
      <c r="T134" s="218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65"/>
      <c r="AN134" s="222"/>
      <c r="AO134" s="222"/>
      <c r="BO134" s="222"/>
      <c r="BP134" s="222"/>
      <c r="BQ134" s="222"/>
      <c r="BR134" s="222"/>
      <c r="BS134" s="222"/>
      <c r="BT134" s="222"/>
      <c r="BU134" s="222"/>
      <c r="BV134" s="222"/>
      <c r="BW134" s="222"/>
    </row>
    <row r="135" ht="15.0" customHeight="1">
      <c r="A135" s="279"/>
      <c r="C135" s="212"/>
      <c r="D135" s="212"/>
      <c r="E135" s="212"/>
      <c r="F135" s="212"/>
      <c r="G135" s="212"/>
      <c r="H135" s="213"/>
      <c r="I135" s="213"/>
      <c r="J135" s="213"/>
      <c r="K135" s="214"/>
      <c r="L135" s="222"/>
      <c r="M135" s="222"/>
      <c r="N135" s="215"/>
      <c r="O135" s="215"/>
      <c r="P135" s="215"/>
      <c r="Q135" s="215"/>
      <c r="R135" s="216"/>
      <c r="S135" s="217"/>
      <c r="T135" s="218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65"/>
      <c r="AN135" s="222"/>
      <c r="AO135" s="222"/>
      <c r="BO135" s="222"/>
      <c r="BP135" s="222"/>
      <c r="BQ135" s="222"/>
      <c r="BR135" s="222"/>
      <c r="BS135" s="222"/>
      <c r="BT135" s="222"/>
      <c r="BU135" s="222"/>
      <c r="BV135" s="222"/>
      <c r="BW135" s="222"/>
    </row>
    <row r="136" ht="15.0" customHeight="1">
      <c r="A136" s="279"/>
      <c r="C136" s="212"/>
      <c r="D136" s="212"/>
      <c r="E136" s="212"/>
      <c r="F136" s="212"/>
      <c r="G136" s="212"/>
      <c r="H136" s="213"/>
      <c r="I136" s="213"/>
      <c r="J136" s="213"/>
      <c r="K136" s="214"/>
      <c r="L136" s="222"/>
      <c r="M136" s="222"/>
      <c r="N136" s="215"/>
      <c r="O136" s="215"/>
      <c r="P136" s="215"/>
      <c r="Q136" s="215"/>
      <c r="R136" s="216"/>
      <c r="S136" s="217"/>
      <c r="T136" s="218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65"/>
      <c r="AN136" s="222"/>
      <c r="AO136" s="222"/>
      <c r="BO136" s="222"/>
      <c r="BP136" s="222"/>
      <c r="BQ136" s="222"/>
      <c r="BR136" s="222"/>
      <c r="BS136" s="222"/>
      <c r="BT136" s="222"/>
      <c r="BU136" s="222"/>
      <c r="BV136" s="222"/>
      <c r="BW136" s="222"/>
    </row>
    <row r="137" ht="15.0" customHeight="1">
      <c r="A137" s="279"/>
      <c r="C137" s="212"/>
      <c r="D137" s="212"/>
      <c r="E137" s="212"/>
      <c r="F137" s="212"/>
      <c r="G137" s="212"/>
      <c r="H137" s="213"/>
      <c r="I137" s="213"/>
      <c r="J137" s="213"/>
      <c r="K137" s="214"/>
      <c r="L137" s="222"/>
      <c r="M137" s="222"/>
      <c r="N137" s="215"/>
      <c r="O137" s="215"/>
      <c r="P137" s="215"/>
      <c r="Q137" s="215"/>
      <c r="R137" s="216"/>
      <c r="S137" s="217"/>
      <c r="T137" s="218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65"/>
      <c r="AN137" s="222"/>
      <c r="AO137" s="222"/>
      <c r="BO137" s="222"/>
      <c r="BP137" s="222"/>
      <c r="BQ137" s="222"/>
      <c r="BR137" s="222"/>
      <c r="BS137" s="222"/>
      <c r="BT137" s="222"/>
      <c r="BU137" s="222"/>
      <c r="BV137" s="222"/>
      <c r="BW137" s="222"/>
    </row>
    <row r="138" ht="15.0" customHeight="1">
      <c r="A138" s="279"/>
      <c r="C138" s="212"/>
      <c r="D138" s="212"/>
      <c r="E138" s="212"/>
      <c r="F138" s="212"/>
      <c r="G138" s="212"/>
      <c r="H138" s="213"/>
      <c r="I138" s="213"/>
      <c r="J138" s="213"/>
      <c r="K138" s="214"/>
      <c r="L138" s="222"/>
      <c r="M138" s="222"/>
      <c r="N138" s="215"/>
      <c r="O138" s="215"/>
      <c r="P138" s="215"/>
      <c r="Q138" s="215"/>
      <c r="R138" s="216"/>
      <c r="S138" s="217"/>
      <c r="T138" s="218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65"/>
      <c r="AN138" s="222"/>
      <c r="AO138" s="222"/>
      <c r="BO138" s="222"/>
      <c r="BP138" s="222"/>
      <c r="BQ138" s="222"/>
      <c r="BR138" s="222"/>
      <c r="BS138" s="222"/>
      <c r="BT138" s="222"/>
      <c r="BU138" s="222"/>
      <c r="BV138" s="222"/>
      <c r="BW138" s="222"/>
    </row>
    <row r="139" ht="15.0" customHeight="1">
      <c r="A139" s="279"/>
      <c r="C139" s="212"/>
      <c r="D139" s="212"/>
      <c r="E139" s="212"/>
      <c r="F139" s="212"/>
      <c r="G139" s="212"/>
      <c r="H139" s="213"/>
      <c r="I139" s="213"/>
      <c r="J139" s="213"/>
      <c r="K139" s="214"/>
      <c r="L139" s="222"/>
      <c r="M139" s="222"/>
      <c r="N139" s="215"/>
      <c r="O139" s="215"/>
      <c r="P139" s="215"/>
      <c r="Q139" s="215"/>
      <c r="R139" s="216"/>
      <c r="S139" s="217"/>
      <c r="T139" s="218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65"/>
      <c r="AN139" s="222"/>
      <c r="AO139" s="222"/>
      <c r="BO139" s="222"/>
      <c r="BP139" s="222"/>
      <c r="BQ139" s="222"/>
      <c r="BR139" s="222"/>
      <c r="BS139" s="222"/>
      <c r="BT139" s="222"/>
      <c r="BU139" s="222"/>
      <c r="BV139" s="222"/>
      <c r="BW139" s="222"/>
    </row>
    <row r="140" ht="15.0" customHeight="1">
      <c r="A140" s="279"/>
      <c r="C140" s="212"/>
      <c r="D140" s="212"/>
      <c r="E140" s="212"/>
      <c r="F140" s="212"/>
      <c r="G140" s="212"/>
      <c r="H140" s="213"/>
      <c r="I140" s="213"/>
      <c r="J140" s="213"/>
      <c r="K140" s="214"/>
      <c r="L140" s="222"/>
      <c r="M140" s="222"/>
      <c r="N140" s="215"/>
      <c r="O140" s="215"/>
      <c r="P140" s="215"/>
      <c r="Q140" s="215"/>
      <c r="R140" s="216"/>
      <c r="S140" s="217"/>
      <c r="T140" s="218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65"/>
      <c r="AN140" s="222"/>
      <c r="AO140" s="222"/>
      <c r="BO140" s="222"/>
      <c r="BP140" s="222"/>
      <c r="BQ140" s="222"/>
      <c r="BR140" s="222"/>
      <c r="BS140" s="222"/>
      <c r="BT140" s="222"/>
      <c r="BU140" s="222"/>
      <c r="BV140" s="222"/>
      <c r="BW140" s="222"/>
    </row>
    <row r="141" ht="15.0" customHeight="1">
      <c r="A141" s="279"/>
      <c r="C141" s="212"/>
      <c r="D141" s="212"/>
      <c r="E141" s="212"/>
      <c r="F141" s="212"/>
      <c r="G141" s="212"/>
      <c r="H141" s="213"/>
      <c r="I141" s="213"/>
      <c r="J141" s="213"/>
      <c r="K141" s="214"/>
      <c r="L141" s="222"/>
      <c r="M141" s="222"/>
      <c r="N141" s="215"/>
      <c r="O141" s="215"/>
      <c r="P141" s="215"/>
      <c r="Q141" s="215"/>
      <c r="R141" s="216"/>
      <c r="S141" s="217"/>
      <c r="T141" s="218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65"/>
      <c r="AN141" s="222"/>
      <c r="AO141" s="222"/>
      <c r="BO141" s="222"/>
      <c r="BP141" s="222"/>
      <c r="BQ141" s="222"/>
      <c r="BR141" s="222"/>
      <c r="BS141" s="222"/>
      <c r="BT141" s="222"/>
      <c r="BU141" s="222"/>
      <c r="BV141" s="222"/>
      <c r="BW141" s="222"/>
    </row>
    <row r="142" ht="15.0" customHeight="1">
      <c r="A142" s="279"/>
      <c r="C142" s="212"/>
      <c r="D142" s="212"/>
      <c r="E142" s="212"/>
      <c r="F142" s="212"/>
      <c r="G142" s="212"/>
      <c r="H142" s="213"/>
      <c r="I142" s="213"/>
      <c r="J142" s="213"/>
      <c r="K142" s="214"/>
      <c r="L142" s="222"/>
      <c r="M142" s="222"/>
      <c r="N142" s="215"/>
      <c r="O142" s="215"/>
      <c r="P142" s="215"/>
      <c r="Q142" s="215"/>
      <c r="R142" s="216"/>
      <c r="S142" s="217"/>
      <c r="T142" s="218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65"/>
      <c r="AN142" s="222"/>
      <c r="AO142" s="222"/>
      <c r="BO142" s="222"/>
      <c r="BP142" s="222"/>
      <c r="BQ142" s="222"/>
      <c r="BR142" s="222"/>
      <c r="BS142" s="222"/>
      <c r="BT142" s="222"/>
      <c r="BU142" s="222"/>
      <c r="BV142" s="222"/>
      <c r="BW142" s="222"/>
    </row>
    <row r="143" ht="15.0" customHeight="1">
      <c r="A143" s="279"/>
      <c r="C143" s="212"/>
      <c r="D143" s="212"/>
      <c r="E143" s="212"/>
      <c r="F143" s="212"/>
      <c r="G143" s="212"/>
      <c r="H143" s="213"/>
      <c r="I143" s="213"/>
      <c r="J143" s="213"/>
      <c r="K143" s="214"/>
      <c r="L143" s="222"/>
      <c r="M143" s="222"/>
      <c r="N143" s="215"/>
      <c r="O143" s="215"/>
      <c r="P143" s="215"/>
      <c r="Q143" s="215"/>
      <c r="R143" s="216"/>
      <c r="S143" s="217"/>
      <c r="T143" s="218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65"/>
      <c r="AN143" s="222"/>
      <c r="AO143" s="222"/>
      <c r="BO143" s="222"/>
      <c r="BP143" s="222"/>
      <c r="BQ143" s="222"/>
      <c r="BR143" s="222"/>
      <c r="BS143" s="222"/>
      <c r="BT143" s="222"/>
      <c r="BU143" s="222"/>
      <c r="BV143" s="222"/>
      <c r="BW143" s="222"/>
    </row>
    <row r="144" ht="15.0" customHeight="1">
      <c r="A144" s="279"/>
      <c r="C144" s="212"/>
      <c r="D144" s="212"/>
      <c r="E144" s="212"/>
      <c r="F144" s="212"/>
      <c r="G144" s="212"/>
      <c r="H144" s="213"/>
      <c r="I144" s="213"/>
      <c r="J144" s="213"/>
      <c r="K144" s="214"/>
      <c r="L144" s="222"/>
      <c r="M144" s="222"/>
      <c r="N144" s="215"/>
      <c r="O144" s="215"/>
      <c r="P144" s="215"/>
      <c r="Q144" s="215"/>
      <c r="R144" s="216"/>
      <c r="S144" s="217"/>
      <c r="T144" s="218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65"/>
      <c r="AN144" s="222"/>
      <c r="AO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</row>
    <row r="145" ht="15.0" customHeight="1">
      <c r="A145" s="279"/>
      <c r="C145" s="212"/>
      <c r="D145" s="212"/>
      <c r="E145" s="212"/>
      <c r="F145" s="212"/>
      <c r="G145" s="212"/>
      <c r="H145" s="213"/>
      <c r="I145" s="213"/>
      <c r="J145" s="213"/>
      <c r="K145" s="214"/>
      <c r="L145" s="222"/>
      <c r="M145" s="222"/>
      <c r="N145" s="215"/>
      <c r="O145" s="215"/>
      <c r="P145" s="215"/>
      <c r="Q145" s="215"/>
      <c r="R145" s="216"/>
      <c r="S145" s="217"/>
      <c r="T145" s="218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65"/>
      <c r="AN145" s="222"/>
      <c r="AO145" s="222"/>
      <c r="BO145" s="222"/>
      <c r="BP145" s="222"/>
      <c r="BQ145" s="222"/>
      <c r="BR145" s="222"/>
      <c r="BS145" s="222"/>
      <c r="BT145" s="222"/>
      <c r="BU145" s="222"/>
      <c r="BV145" s="222"/>
      <c r="BW145" s="222"/>
    </row>
    <row r="146" ht="15.0" customHeight="1">
      <c r="A146" s="279"/>
      <c r="C146" s="212"/>
      <c r="D146" s="212"/>
      <c r="E146" s="212"/>
      <c r="F146" s="212"/>
      <c r="G146" s="212"/>
      <c r="H146" s="213"/>
      <c r="I146" s="213"/>
      <c r="J146" s="213"/>
      <c r="K146" s="214"/>
      <c r="L146" s="222"/>
      <c r="M146" s="222"/>
      <c r="N146" s="215"/>
      <c r="O146" s="215"/>
      <c r="P146" s="215"/>
      <c r="Q146" s="215"/>
      <c r="R146" s="216"/>
      <c r="S146" s="217"/>
      <c r="T146" s="218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65"/>
      <c r="AN146" s="222"/>
      <c r="AO146" s="222"/>
      <c r="BO146" s="222"/>
      <c r="BP146" s="222"/>
      <c r="BQ146" s="222"/>
      <c r="BR146" s="222"/>
      <c r="BS146" s="222"/>
      <c r="BT146" s="222"/>
      <c r="BU146" s="222"/>
      <c r="BV146" s="222"/>
      <c r="BW146" s="222"/>
    </row>
    <row r="147" ht="15.0" customHeight="1">
      <c r="A147" s="279"/>
      <c r="C147" s="212"/>
      <c r="D147" s="212"/>
      <c r="E147" s="212"/>
      <c r="F147" s="212"/>
      <c r="G147" s="212"/>
      <c r="H147" s="213"/>
      <c r="I147" s="213"/>
      <c r="J147" s="213"/>
      <c r="K147" s="214"/>
      <c r="L147" s="222"/>
      <c r="M147" s="222"/>
      <c r="N147" s="215"/>
      <c r="O147" s="215"/>
      <c r="P147" s="215"/>
      <c r="Q147" s="215"/>
      <c r="R147" s="216"/>
      <c r="S147" s="217"/>
      <c r="T147" s="218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65"/>
      <c r="AN147" s="222"/>
      <c r="AO147" s="222"/>
      <c r="BO147" s="222"/>
      <c r="BP147" s="222"/>
      <c r="BQ147" s="222"/>
      <c r="BR147" s="222"/>
      <c r="BS147" s="222"/>
      <c r="BT147" s="222"/>
      <c r="BU147" s="222"/>
      <c r="BV147" s="222"/>
      <c r="BW147" s="222"/>
    </row>
    <row r="148" ht="15.0" customHeight="1">
      <c r="A148" s="279"/>
      <c r="C148" s="212"/>
      <c r="D148" s="212"/>
      <c r="E148" s="212"/>
      <c r="F148" s="212"/>
      <c r="G148" s="212"/>
      <c r="H148" s="213"/>
      <c r="I148" s="213"/>
      <c r="J148" s="213"/>
      <c r="K148" s="214"/>
      <c r="L148" s="222"/>
      <c r="M148" s="222"/>
      <c r="N148" s="215"/>
      <c r="O148" s="215"/>
      <c r="P148" s="215"/>
      <c r="Q148" s="215"/>
      <c r="R148" s="216"/>
      <c r="S148" s="217"/>
      <c r="T148" s="218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65"/>
      <c r="AN148" s="222"/>
      <c r="AO148" s="222"/>
      <c r="BO148" s="222"/>
      <c r="BP148" s="222"/>
      <c r="BQ148" s="222"/>
      <c r="BR148" s="222"/>
      <c r="BS148" s="222"/>
      <c r="BT148" s="222"/>
      <c r="BU148" s="222"/>
      <c r="BV148" s="222"/>
      <c r="BW148" s="222"/>
    </row>
    <row r="149" ht="15.0" customHeight="1">
      <c r="A149" s="279"/>
      <c r="C149" s="212"/>
      <c r="D149" s="212"/>
      <c r="E149" s="212"/>
      <c r="F149" s="212"/>
      <c r="G149" s="212"/>
      <c r="H149" s="213"/>
      <c r="I149" s="213"/>
      <c r="J149" s="213"/>
      <c r="K149" s="214"/>
      <c r="L149" s="222"/>
      <c r="M149" s="222"/>
      <c r="N149" s="215"/>
      <c r="O149" s="215"/>
      <c r="P149" s="215"/>
      <c r="Q149" s="215"/>
      <c r="R149" s="216"/>
      <c r="S149" s="217"/>
      <c r="T149" s="218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65"/>
      <c r="AN149" s="222"/>
      <c r="AO149" s="222"/>
      <c r="BO149" s="222"/>
      <c r="BP149" s="222"/>
      <c r="BQ149" s="222"/>
      <c r="BR149" s="222"/>
      <c r="BS149" s="222"/>
      <c r="BT149" s="222"/>
      <c r="BU149" s="222"/>
      <c r="BV149" s="222"/>
      <c r="BW149" s="222"/>
    </row>
    <row r="150" ht="15.0" customHeight="1">
      <c r="A150" s="279"/>
      <c r="C150" s="212"/>
      <c r="D150" s="212"/>
      <c r="E150" s="212"/>
      <c r="F150" s="212"/>
      <c r="G150" s="212"/>
      <c r="H150" s="213"/>
      <c r="I150" s="213"/>
      <c r="J150" s="213"/>
      <c r="K150" s="214"/>
      <c r="L150" s="222"/>
      <c r="M150" s="222"/>
      <c r="N150" s="215"/>
      <c r="O150" s="215"/>
      <c r="P150" s="215"/>
      <c r="Q150" s="215"/>
      <c r="R150" s="216"/>
      <c r="S150" s="217"/>
      <c r="T150" s="218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65"/>
      <c r="AN150" s="222"/>
      <c r="AO150" s="222"/>
      <c r="BO150" s="222"/>
      <c r="BP150" s="222"/>
      <c r="BQ150" s="222"/>
      <c r="BR150" s="222"/>
      <c r="BS150" s="222"/>
      <c r="BT150" s="222"/>
      <c r="BU150" s="222"/>
      <c r="BV150" s="222"/>
      <c r="BW150" s="222"/>
    </row>
    <row r="151" ht="15.0" customHeight="1">
      <c r="A151" s="279"/>
      <c r="C151" s="212"/>
      <c r="D151" s="212"/>
      <c r="E151" s="212"/>
      <c r="F151" s="212"/>
      <c r="G151" s="212"/>
      <c r="H151" s="213"/>
      <c r="I151" s="213"/>
      <c r="J151" s="213"/>
      <c r="K151" s="214"/>
      <c r="L151" s="222"/>
      <c r="M151" s="222"/>
      <c r="N151" s="215"/>
      <c r="O151" s="215"/>
      <c r="P151" s="215"/>
      <c r="Q151" s="215"/>
      <c r="R151" s="216"/>
      <c r="S151" s="217"/>
      <c r="T151" s="218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65"/>
      <c r="AN151" s="222"/>
      <c r="AO151" s="222"/>
      <c r="BO151" s="222"/>
      <c r="BP151" s="222"/>
      <c r="BQ151" s="222"/>
      <c r="BR151" s="222"/>
      <c r="BS151" s="222"/>
      <c r="BT151" s="222"/>
      <c r="BU151" s="222"/>
      <c r="BV151" s="222"/>
      <c r="BW151" s="222"/>
    </row>
    <row r="152" ht="15.0" customHeight="1">
      <c r="A152" s="279"/>
      <c r="C152" s="212"/>
      <c r="D152" s="212"/>
      <c r="E152" s="212"/>
      <c r="F152" s="212"/>
      <c r="G152" s="212"/>
      <c r="H152" s="213"/>
      <c r="I152" s="213"/>
      <c r="J152" s="213"/>
      <c r="K152" s="214"/>
      <c r="L152" s="222"/>
      <c r="M152" s="222"/>
      <c r="N152" s="215"/>
      <c r="O152" s="215"/>
      <c r="P152" s="215"/>
      <c r="Q152" s="215"/>
      <c r="R152" s="216"/>
      <c r="S152" s="217"/>
      <c r="T152" s="218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65"/>
      <c r="AN152" s="222"/>
      <c r="AO152" s="222"/>
      <c r="BO152" s="222"/>
      <c r="BP152" s="222"/>
      <c r="BQ152" s="222"/>
      <c r="BR152" s="222"/>
      <c r="BS152" s="222"/>
      <c r="BT152" s="222"/>
      <c r="BU152" s="222"/>
      <c r="BV152" s="222"/>
      <c r="BW152" s="222"/>
    </row>
    <row r="153" ht="15.0" customHeight="1">
      <c r="A153" s="279"/>
      <c r="C153" s="212"/>
      <c r="D153" s="212"/>
      <c r="E153" s="212"/>
      <c r="F153" s="212"/>
      <c r="G153" s="212"/>
      <c r="H153" s="213"/>
      <c r="I153" s="213"/>
      <c r="J153" s="213"/>
      <c r="K153" s="214"/>
      <c r="L153" s="222"/>
      <c r="M153" s="222"/>
      <c r="N153" s="215"/>
      <c r="O153" s="215"/>
      <c r="P153" s="215"/>
      <c r="Q153" s="215"/>
      <c r="R153" s="216"/>
      <c r="S153" s="217"/>
      <c r="T153" s="218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65"/>
      <c r="AN153" s="222"/>
      <c r="AO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</row>
    <row r="154" ht="15.0" customHeight="1">
      <c r="A154" s="279"/>
      <c r="C154" s="212"/>
      <c r="D154" s="212"/>
      <c r="E154" s="212"/>
      <c r="F154" s="212"/>
      <c r="G154" s="212"/>
      <c r="H154" s="213"/>
      <c r="I154" s="213"/>
      <c r="J154" s="213"/>
      <c r="K154" s="214"/>
      <c r="L154" s="222"/>
      <c r="M154" s="222"/>
      <c r="N154" s="215"/>
      <c r="O154" s="215"/>
      <c r="P154" s="215"/>
      <c r="Q154" s="215"/>
      <c r="R154" s="216"/>
      <c r="S154" s="217"/>
      <c r="T154" s="218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65"/>
      <c r="AN154" s="222"/>
      <c r="AO154" s="222"/>
      <c r="BO154" s="222"/>
      <c r="BP154" s="222"/>
      <c r="BQ154" s="222"/>
      <c r="BR154" s="222"/>
      <c r="BS154" s="222"/>
      <c r="BT154" s="222"/>
      <c r="BU154" s="222"/>
      <c r="BV154" s="222"/>
      <c r="BW154" s="222"/>
    </row>
    <row r="155" ht="15.0" customHeight="1">
      <c r="A155" s="279"/>
      <c r="C155" s="212"/>
      <c r="D155" s="212"/>
      <c r="E155" s="212"/>
      <c r="F155" s="212"/>
      <c r="G155" s="212"/>
      <c r="H155" s="213"/>
      <c r="I155" s="213"/>
      <c r="J155" s="213"/>
      <c r="K155" s="214"/>
      <c r="L155" s="222"/>
      <c r="M155" s="222"/>
      <c r="N155" s="215"/>
      <c r="O155" s="215"/>
      <c r="P155" s="215"/>
      <c r="Q155" s="215"/>
      <c r="R155" s="216"/>
      <c r="S155" s="217"/>
      <c r="T155" s="218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65"/>
      <c r="AN155" s="222"/>
      <c r="AO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</row>
    <row r="156" ht="15.0" customHeight="1">
      <c r="A156" s="279"/>
      <c r="C156" s="212"/>
      <c r="D156" s="212"/>
      <c r="E156" s="212"/>
      <c r="F156" s="212"/>
      <c r="G156" s="212"/>
      <c r="H156" s="213"/>
      <c r="I156" s="213"/>
      <c r="J156" s="213"/>
      <c r="K156" s="214"/>
      <c r="L156" s="222"/>
      <c r="M156" s="222"/>
      <c r="N156" s="215"/>
      <c r="O156" s="215"/>
      <c r="P156" s="215"/>
      <c r="Q156" s="215"/>
      <c r="R156" s="216"/>
      <c r="S156" s="217"/>
      <c r="T156" s="218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65"/>
      <c r="AN156" s="222"/>
      <c r="AO156" s="222"/>
      <c r="BO156" s="222"/>
      <c r="BP156" s="222"/>
      <c r="BQ156" s="222"/>
      <c r="BR156" s="222"/>
      <c r="BS156" s="222"/>
      <c r="BT156" s="222"/>
      <c r="BU156" s="222"/>
      <c r="BV156" s="222"/>
      <c r="BW156" s="222"/>
    </row>
    <row r="157" ht="15.0" customHeight="1">
      <c r="A157" s="279"/>
      <c r="C157" s="212"/>
      <c r="D157" s="212"/>
      <c r="E157" s="212"/>
      <c r="F157" s="212"/>
      <c r="G157" s="212"/>
      <c r="H157" s="213"/>
      <c r="I157" s="213"/>
      <c r="J157" s="213"/>
      <c r="K157" s="214"/>
      <c r="L157" s="222"/>
      <c r="M157" s="222"/>
      <c r="N157" s="215"/>
      <c r="O157" s="215"/>
      <c r="P157" s="215"/>
      <c r="Q157" s="215"/>
      <c r="R157" s="216"/>
      <c r="S157" s="217"/>
      <c r="T157" s="218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65"/>
      <c r="AN157" s="222"/>
      <c r="AO157" s="222"/>
      <c r="BO157" s="222"/>
      <c r="BP157" s="222"/>
      <c r="BQ157" s="222"/>
      <c r="BR157" s="222"/>
      <c r="BS157" s="222"/>
      <c r="BT157" s="222"/>
      <c r="BU157" s="222"/>
      <c r="BV157" s="222"/>
      <c r="BW157" s="222"/>
    </row>
    <row r="158" ht="15.0" customHeight="1">
      <c r="A158" s="279"/>
      <c r="C158" s="212"/>
      <c r="D158" s="212"/>
      <c r="E158" s="212"/>
      <c r="F158" s="212"/>
      <c r="G158" s="212"/>
      <c r="H158" s="213"/>
      <c r="I158" s="213"/>
      <c r="J158" s="213"/>
      <c r="K158" s="214"/>
      <c r="L158" s="222"/>
      <c r="M158" s="222"/>
      <c r="N158" s="215"/>
      <c r="O158" s="215"/>
      <c r="P158" s="215"/>
      <c r="Q158" s="215"/>
      <c r="R158" s="216"/>
      <c r="S158" s="217"/>
      <c r="T158" s="218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65"/>
      <c r="AN158" s="222"/>
      <c r="AO158" s="222"/>
      <c r="BO158" s="222"/>
      <c r="BP158" s="222"/>
      <c r="BQ158" s="222"/>
      <c r="BR158" s="222"/>
      <c r="BS158" s="222"/>
      <c r="BT158" s="222"/>
      <c r="BU158" s="222"/>
      <c r="BV158" s="222"/>
      <c r="BW158" s="222"/>
    </row>
    <row r="159" ht="15.0" customHeight="1">
      <c r="A159" s="279"/>
      <c r="C159" s="212"/>
      <c r="D159" s="212"/>
      <c r="E159" s="212"/>
      <c r="F159" s="212"/>
      <c r="G159" s="212"/>
      <c r="H159" s="213"/>
      <c r="I159" s="213"/>
      <c r="J159" s="213"/>
      <c r="K159" s="214"/>
      <c r="L159" s="222"/>
      <c r="M159" s="222"/>
      <c r="N159" s="215"/>
      <c r="O159" s="215"/>
      <c r="P159" s="215"/>
      <c r="Q159" s="215"/>
      <c r="R159" s="216"/>
      <c r="S159" s="217"/>
      <c r="T159" s="218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65"/>
      <c r="AN159" s="222"/>
      <c r="AO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</row>
    <row r="160" ht="15.0" customHeight="1">
      <c r="A160" s="279"/>
      <c r="C160" s="212"/>
      <c r="D160" s="212"/>
      <c r="E160" s="212"/>
      <c r="F160" s="212"/>
      <c r="G160" s="212"/>
      <c r="H160" s="213"/>
      <c r="I160" s="213"/>
      <c r="J160" s="213"/>
      <c r="K160" s="214"/>
      <c r="L160" s="222"/>
      <c r="M160" s="222"/>
      <c r="N160" s="215"/>
      <c r="O160" s="215"/>
      <c r="P160" s="215"/>
      <c r="Q160" s="215"/>
      <c r="R160" s="216"/>
      <c r="S160" s="217"/>
      <c r="T160" s="218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65"/>
      <c r="AN160" s="222"/>
      <c r="AO160" s="222"/>
      <c r="BO160" s="222"/>
      <c r="BP160" s="222"/>
      <c r="BQ160" s="222"/>
      <c r="BR160" s="222"/>
      <c r="BS160" s="222"/>
      <c r="BT160" s="222"/>
      <c r="BU160" s="222"/>
      <c r="BV160" s="222"/>
      <c r="BW160" s="222"/>
    </row>
    <row r="161" ht="15.0" customHeight="1">
      <c r="A161" s="279"/>
      <c r="C161" s="212"/>
      <c r="D161" s="212"/>
      <c r="E161" s="212"/>
      <c r="F161" s="212"/>
      <c r="G161" s="212"/>
      <c r="H161" s="213"/>
      <c r="I161" s="213"/>
      <c r="J161" s="213"/>
      <c r="K161" s="214"/>
      <c r="L161" s="222"/>
      <c r="M161" s="222"/>
      <c r="N161" s="215"/>
      <c r="O161" s="215"/>
      <c r="P161" s="215"/>
      <c r="Q161" s="215"/>
      <c r="R161" s="216"/>
      <c r="S161" s="217"/>
      <c r="T161" s="218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65"/>
      <c r="AN161" s="222"/>
      <c r="AO161" s="222"/>
      <c r="BO161" s="222"/>
      <c r="BP161" s="222"/>
      <c r="BQ161" s="222"/>
      <c r="BR161" s="222"/>
      <c r="BS161" s="222"/>
      <c r="BT161" s="222"/>
      <c r="BU161" s="222"/>
      <c r="BV161" s="222"/>
      <c r="BW161" s="222"/>
    </row>
    <row r="162" ht="15.0" customHeight="1">
      <c r="A162" s="279"/>
      <c r="C162" s="212"/>
      <c r="D162" s="212"/>
      <c r="E162" s="212"/>
      <c r="F162" s="212"/>
      <c r="G162" s="212"/>
      <c r="H162" s="213"/>
      <c r="I162" s="213"/>
      <c r="J162" s="213"/>
      <c r="K162" s="214"/>
      <c r="L162" s="222"/>
      <c r="M162" s="222"/>
      <c r="N162" s="215"/>
      <c r="O162" s="215"/>
      <c r="P162" s="215"/>
      <c r="Q162" s="215"/>
      <c r="R162" s="216"/>
      <c r="S162" s="217"/>
      <c r="T162" s="218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65"/>
      <c r="AN162" s="222"/>
      <c r="AO162" s="222"/>
      <c r="BO162" s="222"/>
      <c r="BP162" s="222"/>
      <c r="BQ162" s="222"/>
      <c r="BR162" s="222"/>
      <c r="BS162" s="222"/>
      <c r="BT162" s="222"/>
      <c r="BU162" s="222"/>
      <c r="BV162" s="222"/>
      <c r="BW162" s="222"/>
    </row>
    <row r="163" ht="15.0" customHeight="1">
      <c r="A163" s="279"/>
      <c r="C163" s="212"/>
      <c r="D163" s="212"/>
      <c r="E163" s="212"/>
      <c r="F163" s="212"/>
      <c r="G163" s="212"/>
      <c r="H163" s="213"/>
      <c r="I163" s="213"/>
      <c r="J163" s="213"/>
      <c r="K163" s="214"/>
      <c r="L163" s="222"/>
      <c r="M163" s="222"/>
      <c r="N163" s="215"/>
      <c r="O163" s="215"/>
      <c r="P163" s="215"/>
      <c r="Q163" s="215"/>
      <c r="R163" s="216"/>
      <c r="S163" s="217"/>
      <c r="T163" s="218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65"/>
      <c r="AN163" s="222"/>
      <c r="AO163" s="222"/>
      <c r="BO163" s="222"/>
      <c r="BP163" s="222"/>
      <c r="BQ163" s="222"/>
      <c r="BR163" s="222"/>
      <c r="BS163" s="222"/>
      <c r="BT163" s="222"/>
      <c r="BU163" s="222"/>
      <c r="BV163" s="222"/>
      <c r="BW163" s="222"/>
    </row>
    <row r="164" ht="15.0" customHeight="1">
      <c r="A164" s="279"/>
      <c r="C164" s="212"/>
      <c r="D164" s="212"/>
      <c r="E164" s="212"/>
      <c r="F164" s="212"/>
      <c r="G164" s="212"/>
      <c r="H164" s="213"/>
      <c r="I164" s="213"/>
      <c r="J164" s="213"/>
      <c r="K164" s="214"/>
      <c r="L164" s="222"/>
      <c r="M164" s="222"/>
      <c r="N164" s="215"/>
      <c r="O164" s="215"/>
      <c r="P164" s="215"/>
      <c r="Q164" s="215"/>
      <c r="R164" s="216"/>
      <c r="S164" s="217"/>
      <c r="T164" s="218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65"/>
      <c r="AN164" s="222"/>
      <c r="AO164" s="222"/>
      <c r="BO164" s="222"/>
      <c r="BP164" s="222"/>
      <c r="BQ164" s="222"/>
      <c r="BR164" s="222"/>
      <c r="BS164" s="222"/>
      <c r="BT164" s="222"/>
      <c r="BU164" s="222"/>
      <c r="BV164" s="222"/>
      <c r="BW164" s="222"/>
    </row>
    <row r="165" ht="15.0" customHeight="1">
      <c r="A165" s="279"/>
      <c r="C165" s="212"/>
      <c r="D165" s="212"/>
      <c r="E165" s="212"/>
      <c r="F165" s="212"/>
      <c r="G165" s="212"/>
      <c r="H165" s="213"/>
      <c r="I165" s="213"/>
      <c r="J165" s="213"/>
      <c r="K165" s="214"/>
      <c r="L165" s="222"/>
      <c r="M165" s="222"/>
      <c r="N165" s="215"/>
      <c r="O165" s="215"/>
      <c r="P165" s="215"/>
      <c r="Q165" s="215"/>
      <c r="R165" s="216"/>
      <c r="S165" s="217"/>
      <c r="T165" s="218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65"/>
      <c r="AN165" s="222"/>
      <c r="AO165" s="222"/>
      <c r="BO165" s="222"/>
      <c r="BP165" s="222"/>
      <c r="BQ165" s="222"/>
      <c r="BR165" s="222"/>
      <c r="BS165" s="222"/>
      <c r="BT165" s="222"/>
      <c r="BU165" s="222"/>
      <c r="BV165" s="222"/>
      <c r="BW165" s="222"/>
    </row>
    <row r="166" ht="15.0" customHeight="1">
      <c r="A166" s="279"/>
      <c r="C166" s="212"/>
      <c r="D166" s="212"/>
      <c r="E166" s="212"/>
      <c r="F166" s="212"/>
      <c r="G166" s="212"/>
      <c r="H166" s="213"/>
      <c r="I166" s="213"/>
      <c r="J166" s="213"/>
      <c r="K166" s="214"/>
      <c r="L166" s="222"/>
      <c r="M166" s="222"/>
      <c r="N166" s="215"/>
      <c r="O166" s="215"/>
      <c r="P166" s="215"/>
      <c r="Q166" s="215"/>
      <c r="R166" s="216"/>
      <c r="S166" s="217"/>
      <c r="T166" s="218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65"/>
      <c r="AN166" s="222"/>
      <c r="AO166" s="222"/>
      <c r="BO166" s="222"/>
      <c r="BP166" s="222"/>
      <c r="BQ166" s="222"/>
      <c r="BR166" s="222"/>
      <c r="BS166" s="222"/>
      <c r="BT166" s="222"/>
      <c r="BU166" s="222"/>
      <c r="BV166" s="222"/>
      <c r="BW166" s="222"/>
    </row>
    <row r="167" ht="15.0" customHeight="1">
      <c r="A167" s="279"/>
      <c r="C167" s="212"/>
      <c r="D167" s="212"/>
      <c r="E167" s="212"/>
      <c r="F167" s="212"/>
      <c r="G167" s="212"/>
      <c r="H167" s="213"/>
      <c r="I167" s="213"/>
      <c r="J167" s="213"/>
      <c r="K167" s="214"/>
      <c r="L167" s="222"/>
      <c r="M167" s="222"/>
      <c r="N167" s="215"/>
      <c r="O167" s="215"/>
      <c r="P167" s="215"/>
      <c r="Q167" s="215"/>
      <c r="R167" s="216"/>
      <c r="S167" s="217"/>
      <c r="T167" s="218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65"/>
      <c r="AN167" s="222"/>
      <c r="AO167" s="222"/>
      <c r="BO167" s="222"/>
      <c r="BP167" s="222"/>
      <c r="BQ167" s="222"/>
      <c r="BR167" s="222"/>
      <c r="BS167" s="222"/>
      <c r="BT167" s="222"/>
      <c r="BU167" s="222"/>
      <c r="BV167" s="222"/>
      <c r="BW167" s="222"/>
    </row>
    <row r="168" ht="15.0" customHeight="1">
      <c r="A168" s="279"/>
      <c r="C168" s="212"/>
      <c r="D168" s="212"/>
      <c r="E168" s="212"/>
      <c r="F168" s="212"/>
      <c r="G168" s="212"/>
      <c r="H168" s="213"/>
      <c r="I168" s="213"/>
      <c r="J168" s="213"/>
      <c r="K168" s="214"/>
      <c r="L168" s="222"/>
      <c r="M168" s="222"/>
      <c r="N168" s="215"/>
      <c r="O168" s="215"/>
      <c r="P168" s="215"/>
      <c r="Q168" s="215"/>
      <c r="R168" s="216"/>
      <c r="S168" s="217"/>
      <c r="T168" s="218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65"/>
      <c r="AN168" s="222"/>
      <c r="AO168" s="222"/>
      <c r="BO168" s="222"/>
      <c r="BP168" s="222"/>
      <c r="BQ168" s="222"/>
      <c r="BR168" s="222"/>
      <c r="BS168" s="222"/>
      <c r="BT168" s="222"/>
      <c r="BU168" s="222"/>
      <c r="BV168" s="222"/>
      <c r="BW168" s="222"/>
    </row>
    <row r="169" ht="15.0" customHeight="1">
      <c r="A169" s="279"/>
      <c r="C169" s="212"/>
      <c r="D169" s="212"/>
      <c r="E169" s="212"/>
      <c r="F169" s="212"/>
      <c r="G169" s="212"/>
      <c r="H169" s="213"/>
      <c r="I169" s="213"/>
      <c r="J169" s="213"/>
      <c r="K169" s="214"/>
      <c r="L169" s="222"/>
      <c r="M169" s="222"/>
      <c r="N169" s="215"/>
      <c r="O169" s="215"/>
      <c r="P169" s="215"/>
      <c r="Q169" s="215"/>
      <c r="R169" s="216"/>
      <c r="S169" s="217"/>
      <c r="T169" s="218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65"/>
      <c r="AN169" s="222"/>
      <c r="AO169" s="222"/>
      <c r="BO169" s="222"/>
      <c r="BP169" s="222"/>
      <c r="BQ169" s="222"/>
      <c r="BR169" s="222"/>
      <c r="BS169" s="222"/>
      <c r="BT169" s="222"/>
      <c r="BU169" s="222"/>
      <c r="BV169" s="222"/>
      <c r="BW169" s="222"/>
    </row>
    <row r="170" ht="15.0" customHeight="1">
      <c r="A170" s="279"/>
      <c r="C170" s="212"/>
      <c r="D170" s="212"/>
      <c r="E170" s="212"/>
      <c r="F170" s="212"/>
      <c r="G170" s="212"/>
      <c r="H170" s="213"/>
      <c r="I170" s="213"/>
      <c r="J170" s="213"/>
      <c r="K170" s="214"/>
      <c r="L170" s="222"/>
      <c r="M170" s="222"/>
      <c r="N170" s="215"/>
      <c r="O170" s="215"/>
      <c r="P170" s="215"/>
      <c r="Q170" s="215"/>
      <c r="R170" s="216"/>
      <c r="S170" s="217"/>
      <c r="T170" s="218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65"/>
      <c r="AN170" s="222"/>
      <c r="AO170" s="222"/>
      <c r="BO170" s="222"/>
      <c r="BP170" s="222"/>
      <c r="BQ170" s="222"/>
      <c r="BR170" s="222"/>
      <c r="BS170" s="222"/>
      <c r="BT170" s="222"/>
      <c r="BU170" s="222"/>
      <c r="BV170" s="222"/>
      <c r="BW170" s="222"/>
    </row>
    <row r="171" ht="15.0" customHeight="1">
      <c r="A171" s="279"/>
      <c r="C171" s="212"/>
      <c r="D171" s="212"/>
      <c r="E171" s="212"/>
      <c r="F171" s="212"/>
      <c r="G171" s="212"/>
      <c r="H171" s="213"/>
      <c r="I171" s="213"/>
      <c r="J171" s="213"/>
      <c r="K171" s="214"/>
      <c r="L171" s="222"/>
      <c r="M171" s="222"/>
      <c r="N171" s="215"/>
      <c r="O171" s="215"/>
      <c r="P171" s="215"/>
      <c r="Q171" s="215"/>
      <c r="R171" s="216"/>
      <c r="S171" s="217"/>
      <c r="T171" s="218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65"/>
      <c r="AN171" s="222"/>
      <c r="AO171" s="222"/>
      <c r="BO171" s="222"/>
      <c r="BP171" s="222"/>
      <c r="BQ171" s="222"/>
      <c r="BR171" s="222"/>
      <c r="BS171" s="222"/>
      <c r="BT171" s="222"/>
      <c r="BU171" s="222"/>
      <c r="BV171" s="222"/>
      <c r="BW171" s="222"/>
    </row>
    <row r="172" ht="15.0" customHeight="1">
      <c r="A172" s="279"/>
      <c r="C172" s="212"/>
      <c r="D172" s="212"/>
      <c r="E172" s="212"/>
      <c r="F172" s="212"/>
      <c r="G172" s="212"/>
      <c r="H172" s="213"/>
      <c r="I172" s="213"/>
      <c r="J172" s="213"/>
      <c r="K172" s="214"/>
      <c r="L172" s="222"/>
      <c r="M172" s="222"/>
      <c r="N172" s="215"/>
      <c r="O172" s="215"/>
      <c r="P172" s="215"/>
      <c r="Q172" s="215"/>
      <c r="R172" s="216"/>
      <c r="S172" s="217"/>
      <c r="T172" s="218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65"/>
      <c r="AN172" s="222"/>
      <c r="AO172" s="222"/>
      <c r="BO172" s="222"/>
      <c r="BP172" s="222"/>
      <c r="BQ172" s="222"/>
      <c r="BR172" s="222"/>
      <c r="BS172" s="222"/>
      <c r="BT172" s="222"/>
      <c r="BU172" s="222"/>
      <c r="BV172" s="222"/>
      <c r="BW172" s="222"/>
    </row>
    <row r="173" ht="15.0" customHeight="1">
      <c r="A173" s="279"/>
      <c r="C173" s="212"/>
      <c r="D173" s="212"/>
      <c r="E173" s="212"/>
      <c r="F173" s="212"/>
      <c r="G173" s="212"/>
      <c r="H173" s="213"/>
      <c r="I173" s="213"/>
      <c r="J173" s="213"/>
      <c r="K173" s="214"/>
      <c r="L173" s="222"/>
      <c r="M173" s="222"/>
      <c r="N173" s="215"/>
      <c r="O173" s="215"/>
      <c r="P173" s="215"/>
      <c r="Q173" s="215"/>
      <c r="R173" s="216"/>
      <c r="S173" s="217"/>
      <c r="T173" s="218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65"/>
      <c r="AN173" s="222"/>
      <c r="AO173" s="222"/>
      <c r="BO173" s="222"/>
      <c r="BP173" s="222"/>
      <c r="BQ173" s="222"/>
      <c r="BR173" s="222"/>
      <c r="BS173" s="222"/>
      <c r="BT173" s="222"/>
      <c r="BU173" s="222"/>
      <c r="BV173" s="222"/>
      <c r="BW173" s="222"/>
    </row>
    <row r="174" ht="15.0" customHeight="1">
      <c r="A174" s="279"/>
      <c r="C174" s="212"/>
      <c r="D174" s="212"/>
      <c r="E174" s="212"/>
      <c r="F174" s="212"/>
      <c r="G174" s="212"/>
      <c r="H174" s="213"/>
      <c r="I174" s="213"/>
      <c r="J174" s="213"/>
      <c r="K174" s="214"/>
      <c r="L174" s="222"/>
      <c r="M174" s="222"/>
      <c r="N174" s="215"/>
      <c r="O174" s="215"/>
      <c r="P174" s="215"/>
      <c r="Q174" s="215"/>
      <c r="R174" s="216"/>
      <c r="S174" s="217"/>
      <c r="T174" s="218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65"/>
      <c r="AN174" s="222"/>
      <c r="AO174" s="222"/>
      <c r="BO174" s="222"/>
      <c r="BP174" s="222"/>
      <c r="BQ174" s="222"/>
      <c r="BR174" s="222"/>
      <c r="BS174" s="222"/>
      <c r="BT174" s="222"/>
      <c r="BU174" s="222"/>
      <c r="BV174" s="222"/>
      <c r="BW174" s="222"/>
    </row>
    <row r="175" ht="15.0" customHeight="1">
      <c r="A175" s="279"/>
      <c r="C175" s="212"/>
      <c r="D175" s="212"/>
      <c r="E175" s="212"/>
      <c r="F175" s="212"/>
      <c r="G175" s="212"/>
      <c r="H175" s="213"/>
      <c r="I175" s="213"/>
      <c r="J175" s="213"/>
      <c r="K175" s="214"/>
      <c r="L175" s="222"/>
      <c r="M175" s="222"/>
      <c r="N175" s="215"/>
      <c r="O175" s="215"/>
      <c r="P175" s="215"/>
      <c r="Q175" s="215"/>
      <c r="R175" s="216"/>
      <c r="S175" s="217"/>
      <c r="T175" s="218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65"/>
      <c r="AN175" s="222"/>
      <c r="AO175" s="222"/>
      <c r="BO175" s="222"/>
      <c r="BP175" s="222"/>
      <c r="BQ175" s="222"/>
      <c r="BR175" s="222"/>
      <c r="BS175" s="222"/>
      <c r="BT175" s="222"/>
      <c r="BU175" s="222"/>
      <c r="BV175" s="222"/>
      <c r="BW175" s="222"/>
    </row>
    <row r="176" ht="15.0" customHeight="1">
      <c r="A176" s="279"/>
      <c r="C176" s="212"/>
      <c r="D176" s="212"/>
      <c r="E176" s="212"/>
      <c r="F176" s="212"/>
      <c r="G176" s="212"/>
      <c r="H176" s="213"/>
      <c r="I176" s="213"/>
      <c r="J176" s="213"/>
      <c r="K176" s="214"/>
      <c r="L176" s="222"/>
      <c r="M176" s="222"/>
      <c r="N176" s="215"/>
      <c r="O176" s="215"/>
      <c r="P176" s="215"/>
      <c r="Q176" s="215"/>
      <c r="R176" s="216"/>
      <c r="S176" s="217"/>
      <c r="T176" s="218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65"/>
      <c r="AN176" s="222"/>
      <c r="AO176" s="222"/>
      <c r="BO176" s="222"/>
      <c r="BP176" s="222"/>
      <c r="BQ176" s="222"/>
      <c r="BR176" s="222"/>
      <c r="BS176" s="222"/>
      <c r="BT176" s="222"/>
      <c r="BU176" s="222"/>
      <c r="BV176" s="222"/>
      <c r="BW176" s="222"/>
    </row>
    <row r="177" ht="15.0" customHeight="1">
      <c r="A177" s="279"/>
      <c r="C177" s="212"/>
      <c r="D177" s="212"/>
      <c r="E177" s="212"/>
      <c r="F177" s="212"/>
      <c r="G177" s="212"/>
      <c r="H177" s="213"/>
      <c r="I177" s="213"/>
      <c r="J177" s="213"/>
      <c r="K177" s="214"/>
      <c r="L177" s="222"/>
      <c r="M177" s="222"/>
      <c r="N177" s="215"/>
      <c r="O177" s="215"/>
      <c r="P177" s="215"/>
      <c r="Q177" s="215"/>
      <c r="R177" s="216"/>
      <c r="S177" s="217"/>
      <c r="T177" s="218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65"/>
      <c r="AN177" s="222"/>
      <c r="AO177" s="222"/>
      <c r="BO177" s="222"/>
      <c r="BP177" s="222"/>
      <c r="BQ177" s="222"/>
      <c r="BR177" s="222"/>
      <c r="BS177" s="222"/>
      <c r="BT177" s="222"/>
      <c r="BU177" s="222"/>
      <c r="BV177" s="222"/>
      <c r="BW177" s="222"/>
    </row>
    <row r="178" ht="15.0" customHeight="1">
      <c r="A178" s="279"/>
      <c r="C178" s="212"/>
      <c r="D178" s="212"/>
      <c r="E178" s="212"/>
      <c r="F178" s="212"/>
      <c r="G178" s="212"/>
      <c r="H178" s="213"/>
      <c r="I178" s="213"/>
      <c r="J178" s="213"/>
      <c r="K178" s="214"/>
      <c r="L178" s="222"/>
      <c r="M178" s="222"/>
      <c r="N178" s="215"/>
      <c r="O178" s="215"/>
      <c r="P178" s="215"/>
      <c r="Q178" s="215"/>
      <c r="R178" s="216"/>
      <c r="S178" s="217"/>
      <c r="T178" s="218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65"/>
      <c r="AN178" s="222"/>
      <c r="AO178" s="222"/>
      <c r="BO178" s="222"/>
      <c r="BP178" s="222"/>
      <c r="BQ178" s="222"/>
      <c r="BR178" s="222"/>
      <c r="BS178" s="222"/>
      <c r="BT178" s="222"/>
      <c r="BU178" s="222"/>
      <c r="BV178" s="222"/>
      <c r="BW178" s="222"/>
    </row>
    <row r="179" ht="15.0" customHeight="1">
      <c r="A179" s="279"/>
      <c r="C179" s="212"/>
      <c r="D179" s="212"/>
      <c r="E179" s="212"/>
      <c r="F179" s="212"/>
      <c r="G179" s="212"/>
      <c r="H179" s="213"/>
      <c r="I179" s="213"/>
      <c r="J179" s="213"/>
      <c r="K179" s="214"/>
      <c r="L179" s="222"/>
      <c r="M179" s="222"/>
      <c r="N179" s="215"/>
      <c r="O179" s="215"/>
      <c r="P179" s="215"/>
      <c r="Q179" s="215"/>
      <c r="R179" s="216"/>
      <c r="S179" s="217"/>
      <c r="T179" s="218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65"/>
      <c r="AN179" s="222"/>
      <c r="AO179" s="222"/>
      <c r="BO179" s="222"/>
      <c r="BP179" s="222"/>
      <c r="BQ179" s="222"/>
      <c r="BR179" s="222"/>
      <c r="BS179" s="222"/>
      <c r="BT179" s="222"/>
      <c r="BU179" s="222"/>
      <c r="BV179" s="222"/>
      <c r="BW179" s="222"/>
    </row>
    <row r="180" ht="15.0" customHeight="1">
      <c r="A180" s="279"/>
      <c r="C180" s="212"/>
      <c r="D180" s="212"/>
      <c r="E180" s="212"/>
      <c r="F180" s="212"/>
      <c r="G180" s="212"/>
      <c r="H180" s="213"/>
      <c r="I180" s="213"/>
      <c r="J180" s="213"/>
      <c r="K180" s="214"/>
      <c r="L180" s="222"/>
      <c r="M180" s="222"/>
      <c r="N180" s="215"/>
      <c r="O180" s="215"/>
      <c r="P180" s="215"/>
      <c r="Q180" s="215"/>
      <c r="R180" s="216"/>
      <c r="S180" s="217"/>
      <c r="T180" s="218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65"/>
      <c r="AN180" s="222"/>
      <c r="AO180" s="222"/>
      <c r="BO180" s="222"/>
      <c r="BP180" s="222"/>
      <c r="BQ180" s="222"/>
      <c r="BR180" s="222"/>
      <c r="BS180" s="222"/>
      <c r="BT180" s="222"/>
      <c r="BU180" s="222"/>
      <c r="BV180" s="222"/>
      <c r="BW180" s="222"/>
    </row>
    <row r="181" ht="15.0" customHeight="1">
      <c r="A181" s="279"/>
      <c r="C181" s="212"/>
      <c r="D181" s="212"/>
      <c r="E181" s="212"/>
      <c r="F181" s="212"/>
      <c r="G181" s="212"/>
      <c r="H181" s="213"/>
      <c r="I181" s="213"/>
      <c r="J181" s="213"/>
      <c r="K181" s="214"/>
      <c r="L181" s="222"/>
      <c r="M181" s="222"/>
      <c r="N181" s="215"/>
      <c r="O181" s="215"/>
      <c r="P181" s="215"/>
      <c r="Q181" s="215"/>
      <c r="R181" s="216"/>
      <c r="S181" s="217"/>
      <c r="T181" s="218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65"/>
      <c r="AN181" s="222"/>
      <c r="AO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</row>
    <row r="182" ht="15.0" customHeight="1">
      <c r="A182" s="279"/>
      <c r="C182" s="212"/>
      <c r="D182" s="212"/>
      <c r="E182" s="212"/>
      <c r="F182" s="212"/>
      <c r="G182" s="212"/>
      <c r="H182" s="213"/>
      <c r="I182" s="213"/>
      <c r="J182" s="213"/>
      <c r="K182" s="214"/>
      <c r="L182" s="222"/>
      <c r="M182" s="222"/>
      <c r="N182" s="215"/>
      <c r="O182" s="215"/>
      <c r="P182" s="215"/>
      <c r="Q182" s="215"/>
      <c r="R182" s="216"/>
      <c r="S182" s="217"/>
      <c r="T182" s="218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65"/>
      <c r="AN182" s="222"/>
      <c r="AO182" s="222"/>
      <c r="BO182" s="222"/>
      <c r="BP182" s="222"/>
      <c r="BQ182" s="222"/>
      <c r="BR182" s="222"/>
      <c r="BS182" s="222"/>
      <c r="BT182" s="222"/>
      <c r="BU182" s="222"/>
      <c r="BV182" s="222"/>
      <c r="BW182" s="222"/>
    </row>
    <row r="183" ht="15.0" customHeight="1">
      <c r="A183" s="279"/>
      <c r="C183" s="212"/>
      <c r="D183" s="212"/>
      <c r="E183" s="212"/>
      <c r="F183" s="212"/>
      <c r="G183" s="212"/>
      <c r="H183" s="213"/>
      <c r="I183" s="213"/>
      <c r="J183" s="213"/>
      <c r="K183" s="214"/>
      <c r="L183" s="222"/>
      <c r="M183" s="222"/>
      <c r="N183" s="215"/>
      <c r="O183" s="215"/>
      <c r="P183" s="215"/>
      <c r="Q183" s="215"/>
      <c r="R183" s="216"/>
      <c r="S183" s="217"/>
      <c r="T183" s="218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65"/>
      <c r="AN183" s="222"/>
      <c r="AO183" s="222"/>
      <c r="BO183" s="222"/>
      <c r="BP183" s="222"/>
      <c r="BQ183" s="222"/>
      <c r="BR183" s="222"/>
      <c r="BS183" s="222"/>
      <c r="BT183" s="222"/>
      <c r="BU183" s="222"/>
      <c r="BV183" s="222"/>
      <c r="BW183" s="222"/>
    </row>
    <row r="184" ht="15.0" customHeight="1">
      <c r="A184" s="279"/>
      <c r="C184" s="212"/>
      <c r="D184" s="212"/>
      <c r="E184" s="212"/>
      <c r="F184" s="212"/>
      <c r="G184" s="212"/>
      <c r="H184" s="213"/>
      <c r="I184" s="213"/>
      <c r="J184" s="213"/>
      <c r="K184" s="214"/>
      <c r="L184" s="222"/>
      <c r="M184" s="222"/>
      <c r="N184" s="215"/>
      <c r="O184" s="215"/>
      <c r="P184" s="215"/>
      <c r="Q184" s="215"/>
      <c r="R184" s="216"/>
      <c r="S184" s="217"/>
      <c r="T184" s="218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65"/>
      <c r="AN184" s="222"/>
      <c r="AO184" s="222"/>
      <c r="BO184" s="222"/>
      <c r="BP184" s="222"/>
      <c r="BQ184" s="222"/>
      <c r="BR184" s="222"/>
      <c r="BS184" s="222"/>
      <c r="BT184" s="222"/>
      <c r="BU184" s="222"/>
      <c r="BV184" s="222"/>
      <c r="BW184" s="222"/>
    </row>
    <row r="185" ht="15.0" customHeight="1">
      <c r="A185" s="279"/>
      <c r="C185" s="212"/>
      <c r="D185" s="212"/>
      <c r="E185" s="212"/>
      <c r="F185" s="212"/>
      <c r="G185" s="212"/>
      <c r="H185" s="213"/>
      <c r="I185" s="213"/>
      <c r="J185" s="213"/>
      <c r="K185" s="214"/>
      <c r="L185" s="222"/>
      <c r="M185" s="222"/>
      <c r="N185" s="215"/>
      <c r="O185" s="215"/>
      <c r="P185" s="215"/>
      <c r="Q185" s="215"/>
      <c r="R185" s="216"/>
      <c r="S185" s="217"/>
      <c r="T185" s="218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65"/>
      <c r="AN185" s="222"/>
      <c r="AO185" s="222"/>
      <c r="BO185" s="222"/>
      <c r="BP185" s="222"/>
      <c r="BQ185" s="222"/>
      <c r="BR185" s="222"/>
      <c r="BS185" s="222"/>
      <c r="BT185" s="222"/>
      <c r="BU185" s="222"/>
      <c r="BV185" s="222"/>
      <c r="BW185" s="222"/>
    </row>
    <row r="186" ht="15.0" customHeight="1">
      <c r="A186" s="279"/>
      <c r="C186" s="212"/>
      <c r="D186" s="212"/>
      <c r="E186" s="212"/>
      <c r="F186" s="212"/>
      <c r="G186" s="212"/>
      <c r="H186" s="213"/>
      <c r="I186" s="213"/>
      <c r="J186" s="213"/>
      <c r="K186" s="214"/>
      <c r="L186" s="222"/>
      <c r="M186" s="222"/>
      <c r="N186" s="215"/>
      <c r="O186" s="215"/>
      <c r="P186" s="215"/>
      <c r="Q186" s="215"/>
      <c r="R186" s="216"/>
      <c r="S186" s="217"/>
      <c r="T186" s="218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65"/>
      <c r="AN186" s="222"/>
      <c r="AO186" s="222"/>
      <c r="BO186" s="222"/>
      <c r="BP186" s="222"/>
      <c r="BQ186" s="222"/>
      <c r="BR186" s="222"/>
      <c r="BS186" s="222"/>
      <c r="BT186" s="222"/>
      <c r="BU186" s="222"/>
      <c r="BV186" s="222"/>
      <c r="BW186" s="222"/>
    </row>
    <row r="187" ht="15.0" customHeight="1">
      <c r="A187" s="279"/>
      <c r="C187" s="212"/>
      <c r="D187" s="212"/>
      <c r="E187" s="212"/>
      <c r="F187" s="212"/>
      <c r="G187" s="212"/>
      <c r="H187" s="213"/>
      <c r="I187" s="213"/>
      <c r="J187" s="213"/>
      <c r="K187" s="214"/>
      <c r="L187" s="222"/>
      <c r="M187" s="222"/>
      <c r="N187" s="215"/>
      <c r="O187" s="215"/>
      <c r="P187" s="215"/>
      <c r="Q187" s="215"/>
      <c r="R187" s="216"/>
      <c r="S187" s="217"/>
      <c r="T187" s="218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65"/>
      <c r="AN187" s="222"/>
      <c r="AO187" s="222"/>
      <c r="BO187" s="222"/>
      <c r="BP187" s="222"/>
      <c r="BQ187" s="222"/>
      <c r="BR187" s="222"/>
      <c r="BS187" s="222"/>
      <c r="BT187" s="222"/>
      <c r="BU187" s="222"/>
      <c r="BV187" s="222"/>
      <c r="BW187" s="222"/>
    </row>
    <row r="188" ht="15.0" customHeight="1">
      <c r="A188" s="279"/>
      <c r="C188" s="212"/>
      <c r="D188" s="212"/>
      <c r="E188" s="212"/>
      <c r="F188" s="212"/>
      <c r="G188" s="212"/>
      <c r="H188" s="213"/>
      <c r="I188" s="213"/>
      <c r="J188" s="213"/>
      <c r="K188" s="214"/>
      <c r="L188" s="222"/>
      <c r="M188" s="222"/>
      <c r="N188" s="215"/>
      <c r="O188" s="215"/>
      <c r="P188" s="215"/>
      <c r="Q188" s="215"/>
      <c r="R188" s="216"/>
      <c r="S188" s="217"/>
      <c r="T188" s="218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65"/>
      <c r="AN188" s="222"/>
      <c r="AO188" s="222"/>
      <c r="BO188" s="222"/>
      <c r="BP188" s="222"/>
      <c r="BQ188" s="222"/>
      <c r="BR188" s="222"/>
      <c r="BS188" s="222"/>
      <c r="BT188" s="222"/>
      <c r="BU188" s="222"/>
      <c r="BV188" s="222"/>
      <c r="BW188" s="222"/>
    </row>
    <row r="189" ht="15.0" customHeight="1">
      <c r="A189" s="279"/>
      <c r="C189" s="212"/>
      <c r="D189" s="212"/>
      <c r="E189" s="212"/>
      <c r="F189" s="212"/>
      <c r="G189" s="212"/>
      <c r="H189" s="213"/>
      <c r="I189" s="213"/>
      <c r="J189" s="213"/>
      <c r="K189" s="214"/>
      <c r="L189" s="222"/>
      <c r="M189" s="222"/>
      <c r="N189" s="215"/>
      <c r="O189" s="215"/>
      <c r="P189" s="215"/>
      <c r="Q189" s="215"/>
      <c r="R189" s="216"/>
      <c r="S189" s="217"/>
      <c r="T189" s="218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65"/>
      <c r="AN189" s="222"/>
      <c r="AO189" s="222"/>
      <c r="BO189" s="222"/>
      <c r="BP189" s="222"/>
      <c r="BQ189" s="222"/>
      <c r="BR189" s="222"/>
      <c r="BS189" s="222"/>
      <c r="BT189" s="222"/>
      <c r="BU189" s="222"/>
      <c r="BV189" s="222"/>
      <c r="BW189" s="222"/>
    </row>
    <row r="190" ht="15.0" customHeight="1">
      <c r="A190" s="279"/>
      <c r="C190" s="212"/>
      <c r="D190" s="212"/>
      <c r="E190" s="212"/>
      <c r="F190" s="212"/>
      <c r="G190" s="212"/>
      <c r="H190" s="213"/>
      <c r="I190" s="213"/>
      <c r="J190" s="213"/>
      <c r="K190" s="214"/>
      <c r="L190" s="222"/>
      <c r="M190" s="222"/>
      <c r="N190" s="215"/>
      <c r="O190" s="215"/>
      <c r="P190" s="215"/>
      <c r="Q190" s="215"/>
      <c r="R190" s="216"/>
      <c r="S190" s="217"/>
      <c r="T190" s="218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65"/>
      <c r="AN190" s="222"/>
      <c r="AO190" s="222"/>
      <c r="BO190" s="222"/>
      <c r="BP190" s="222"/>
      <c r="BQ190" s="222"/>
      <c r="BR190" s="222"/>
      <c r="BS190" s="222"/>
      <c r="BT190" s="222"/>
      <c r="BU190" s="222"/>
      <c r="BV190" s="222"/>
      <c r="BW190" s="222"/>
    </row>
    <row r="191" ht="15.0" customHeight="1">
      <c r="A191" s="279"/>
      <c r="C191" s="212"/>
      <c r="D191" s="212"/>
      <c r="E191" s="212"/>
      <c r="F191" s="212"/>
      <c r="G191" s="212"/>
      <c r="H191" s="213"/>
      <c r="I191" s="213"/>
      <c r="J191" s="213"/>
      <c r="K191" s="214"/>
      <c r="L191" s="222"/>
      <c r="M191" s="222"/>
      <c r="N191" s="215"/>
      <c r="O191" s="215"/>
      <c r="P191" s="215"/>
      <c r="Q191" s="215"/>
      <c r="R191" s="216"/>
      <c r="S191" s="217"/>
      <c r="T191" s="218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65"/>
      <c r="AN191" s="222"/>
      <c r="AO191" s="222"/>
      <c r="BO191" s="222"/>
      <c r="BP191" s="222"/>
      <c r="BQ191" s="222"/>
      <c r="BR191" s="222"/>
      <c r="BS191" s="222"/>
      <c r="BT191" s="222"/>
      <c r="BU191" s="222"/>
      <c r="BV191" s="222"/>
      <c r="BW191" s="222"/>
    </row>
    <row r="192" ht="15.0" customHeight="1">
      <c r="A192" s="279"/>
      <c r="C192" s="212"/>
      <c r="D192" s="212"/>
      <c r="E192" s="212"/>
      <c r="F192" s="212"/>
      <c r="G192" s="212"/>
      <c r="H192" s="213"/>
      <c r="I192" s="213"/>
      <c r="J192" s="213"/>
      <c r="K192" s="214"/>
      <c r="L192" s="222"/>
      <c r="M192" s="222"/>
      <c r="N192" s="215"/>
      <c r="O192" s="215"/>
      <c r="P192" s="215"/>
      <c r="Q192" s="215"/>
      <c r="R192" s="216"/>
      <c r="S192" s="217"/>
      <c r="T192" s="218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65"/>
      <c r="AN192" s="222"/>
      <c r="AO192" s="222"/>
      <c r="BO192" s="222"/>
      <c r="BP192" s="222"/>
      <c r="BQ192" s="222"/>
      <c r="BR192" s="222"/>
      <c r="BS192" s="222"/>
      <c r="BT192" s="222"/>
      <c r="BU192" s="222"/>
      <c r="BV192" s="222"/>
      <c r="BW192" s="222"/>
    </row>
    <row r="193" ht="15.0" customHeight="1">
      <c r="A193" s="279"/>
      <c r="C193" s="212"/>
      <c r="D193" s="212"/>
      <c r="E193" s="212"/>
      <c r="F193" s="212"/>
      <c r="G193" s="212"/>
      <c r="H193" s="213"/>
      <c r="I193" s="213"/>
      <c r="J193" s="213"/>
      <c r="K193" s="214"/>
      <c r="L193" s="222"/>
      <c r="M193" s="222"/>
      <c r="N193" s="215"/>
      <c r="O193" s="215"/>
      <c r="P193" s="215"/>
      <c r="Q193" s="215"/>
      <c r="R193" s="216"/>
      <c r="S193" s="217"/>
      <c r="T193" s="218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65"/>
      <c r="AN193" s="222"/>
      <c r="AO193" s="222"/>
      <c r="BO193" s="222"/>
      <c r="BP193" s="222"/>
      <c r="BQ193" s="222"/>
      <c r="BR193" s="222"/>
      <c r="BS193" s="222"/>
      <c r="BT193" s="222"/>
      <c r="BU193" s="222"/>
      <c r="BV193" s="222"/>
      <c r="BW193" s="222"/>
    </row>
    <row r="194" ht="15.0" customHeight="1">
      <c r="A194" s="279"/>
      <c r="C194" s="212"/>
      <c r="D194" s="212"/>
      <c r="E194" s="212"/>
      <c r="F194" s="212"/>
      <c r="G194" s="212"/>
      <c r="H194" s="213"/>
      <c r="I194" s="213"/>
      <c r="J194" s="213"/>
      <c r="K194" s="214"/>
      <c r="L194" s="222"/>
      <c r="M194" s="222"/>
      <c r="N194" s="215"/>
      <c r="O194" s="215"/>
      <c r="P194" s="215"/>
      <c r="Q194" s="215"/>
      <c r="R194" s="216"/>
      <c r="S194" s="217"/>
      <c r="T194" s="218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65"/>
      <c r="AN194" s="222"/>
      <c r="AO194" s="222"/>
      <c r="BO194" s="222"/>
      <c r="BP194" s="222"/>
      <c r="BQ194" s="222"/>
      <c r="BR194" s="222"/>
      <c r="BS194" s="222"/>
      <c r="BT194" s="222"/>
      <c r="BU194" s="222"/>
      <c r="BV194" s="222"/>
      <c r="BW194" s="222"/>
    </row>
    <row r="195" ht="15.0" customHeight="1">
      <c r="A195" s="279"/>
      <c r="C195" s="212"/>
      <c r="D195" s="212"/>
      <c r="E195" s="212"/>
      <c r="F195" s="212"/>
      <c r="G195" s="212"/>
      <c r="H195" s="213"/>
      <c r="I195" s="213"/>
      <c r="J195" s="213"/>
      <c r="K195" s="214"/>
      <c r="L195" s="222"/>
      <c r="M195" s="222"/>
      <c r="N195" s="215"/>
      <c r="O195" s="215"/>
      <c r="P195" s="215"/>
      <c r="Q195" s="215"/>
      <c r="R195" s="216"/>
      <c r="S195" s="217"/>
      <c r="T195" s="218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65"/>
      <c r="AN195" s="222"/>
      <c r="AO195" s="222"/>
      <c r="BO195" s="222"/>
      <c r="BP195" s="222"/>
      <c r="BQ195" s="222"/>
      <c r="BR195" s="222"/>
      <c r="BS195" s="222"/>
      <c r="BT195" s="222"/>
      <c r="BU195" s="222"/>
      <c r="BV195" s="222"/>
      <c r="BW195" s="222"/>
    </row>
    <row r="196" ht="15.0" customHeight="1">
      <c r="A196" s="279"/>
      <c r="C196" s="212"/>
      <c r="D196" s="212"/>
      <c r="E196" s="212"/>
      <c r="F196" s="212"/>
      <c r="G196" s="212"/>
      <c r="H196" s="213"/>
      <c r="I196" s="213"/>
      <c r="J196" s="213"/>
      <c r="K196" s="214"/>
      <c r="L196" s="222"/>
      <c r="M196" s="222"/>
      <c r="N196" s="215"/>
      <c r="O196" s="215"/>
      <c r="P196" s="215"/>
      <c r="Q196" s="215"/>
      <c r="R196" s="216"/>
      <c r="S196" s="217"/>
      <c r="T196" s="218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65"/>
      <c r="AN196" s="222"/>
      <c r="AO196" s="222"/>
      <c r="BO196" s="222"/>
      <c r="BP196" s="222"/>
      <c r="BQ196" s="222"/>
      <c r="BR196" s="222"/>
      <c r="BS196" s="222"/>
      <c r="BT196" s="222"/>
      <c r="BU196" s="222"/>
      <c r="BV196" s="222"/>
      <c r="BW196" s="222"/>
    </row>
    <row r="197" ht="15.0" customHeight="1">
      <c r="A197" s="279"/>
      <c r="C197" s="212"/>
      <c r="D197" s="212"/>
      <c r="E197" s="212"/>
      <c r="F197" s="212"/>
      <c r="G197" s="212"/>
      <c r="H197" s="213"/>
      <c r="I197" s="213"/>
      <c r="J197" s="213"/>
      <c r="K197" s="214"/>
      <c r="L197" s="222"/>
      <c r="M197" s="222"/>
      <c r="N197" s="215"/>
      <c r="O197" s="215"/>
      <c r="P197" s="215"/>
      <c r="Q197" s="215"/>
      <c r="R197" s="216"/>
      <c r="S197" s="217"/>
      <c r="T197" s="218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65"/>
      <c r="AN197" s="222"/>
      <c r="AO197" s="222"/>
      <c r="BO197" s="222"/>
      <c r="BP197" s="222"/>
      <c r="BQ197" s="222"/>
      <c r="BR197" s="222"/>
      <c r="BS197" s="222"/>
      <c r="BT197" s="222"/>
      <c r="BU197" s="222"/>
      <c r="BV197" s="222"/>
      <c r="BW197" s="222"/>
    </row>
    <row r="198" ht="15.0" customHeight="1">
      <c r="A198" s="279"/>
      <c r="C198" s="212"/>
      <c r="D198" s="212"/>
      <c r="E198" s="212"/>
      <c r="F198" s="212"/>
      <c r="G198" s="212"/>
      <c r="H198" s="213"/>
      <c r="I198" s="213"/>
      <c r="J198" s="213"/>
      <c r="K198" s="214"/>
      <c r="L198" s="222"/>
      <c r="M198" s="222"/>
      <c r="N198" s="215"/>
      <c r="O198" s="215"/>
      <c r="P198" s="215"/>
      <c r="Q198" s="215"/>
      <c r="R198" s="216"/>
      <c r="S198" s="217"/>
      <c r="T198" s="218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65"/>
      <c r="AN198" s="222"/>
      <c r="AO198" s="222"/>
      <c r="BO198" s="222"/>
      <c r="BP198" s="222"/>
      <c r="BQ198" s="222"/>
      <c r="BR198" s="222"/>
      <c r="BS198" s="222"/>
      <c r="BT198" s="222"/>
      <c r="BU198" s="222"/>
      <c r="BV198" s="222"/>
      <c r="BW198" s="222"/>
    </row>
    <row r="199" ht="15.0" customHeight="1">
      <c r="A199" s="279"/>
      <c r="C199" s="212"/>
      <c r="D199" s="212"/>
      <c r="E199" s="212"/>
      <c r="F199" s="212"/>
      <c r="G199" s="212"/>
      <c r="H199" s="213"/>
      <c r="I199" s="213"/>
      <c r="J199" s="213"/>
      <c r="K199" s="214"/>
      <c r="L199" s="222"/>
      <c r="M199" s="222"/>
      <c r="N199" s="215"/>
      <c r="O199" s="215"/>
      <c r="P199" s="215"/>
      <c r="Q199" s="215"/>
      <c r="R199" s="216"/>
      <c r="S199" s="217"/>
      <c r="T199" s="218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65"/>
      <c r="AN199" s="222"/>
      <c r="AO199" s="222"/>
      <c r="BO199" s="222"/>
      <c r="BP199" s="222"/>
      <c r="BQ199" s="222"/>
      <c r="BR199" s="222"/>
      <c r="BS199" s="222"/>
      <c r="BT199" s="222"/>
      <c r="BU199" s="222"/>
      <c r="BV199" s="222"/>
      <c r="BW199" s="222"/>
    </row>
    <row r="200" ht="15.0" customHeight="1">
      <c r="A200" s="279"/>
      <c r="C200" s="212"/>
      <c r="D200" s="212"/>
      <c r="E200" s="212"/>
      <c r="F200" s="212"/>
      <c r="G200" s="212"/>
      <c r="H200" s="213"/>
      <c r="I200" s="213"/>
      <c r="J200" s="213"/>
      <c r="K200" s="214"/>
      <c r="L200" s="222"/>
      <c r="M200" s="222"/>
      <c r="N200" s="215"/>
      <c r="O200" s="215"/>
      <c r="P200" s="215"/>
      <c r="Q200" s="215"/>
      <c r="R200" s="216"/>
      <c r="S200" s="217"/>
      <c r="T200" s="218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65"/>
      <c r="AN200" s="222"/>
      <c r="AO200" s="222"/>
      <c r="BO200" s="222"/>
      <c r="BP200" s="222"/>
      <c r="BQ200" s="222"/>
      <c r="BR200" s="222"/>
      <c r="BS200" s="222"/>
      <c r="BT200" s="222"/>
      <c r="BU200" s="222"/>
      <c r="BV200" s="222"/>
      <c r="BW200" s="222"/>
    </row>
    <row r="201" ht="15.0" customHeight="1">
      <c r="A201" s="279"/>
      <c r="C201" s="212"/>
      <c r="D201" s="212"/>
      <c r="E201" s="212"/>
      <c r="F201" s="212"/>
      <c r="G201" s="212"/>
      <c r="H201" s="213"/>
      <c r="I201" s="213"/>
      <c r="J201" s="213"/>
      <c r="K201" s="214"/>
      <c r="L201" s="222"/>
      <c r="M201" s="222"/>
      <c r="N201" s="215"/>
      <c r="O201" s="215"/>
      <c r="P201" s="215"/>
      <c r="Q201" s="215"/>
      <c r="R201" s="216"/>
      <c r="S201" s="217"/>
      <c r="T201" s="218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65"/>
      <c r="AN201" s="222"/>
      <c r="AO201" s="222"/>
      <c r="BO201" s="222"/>
      <c r="BP201" s="222"/>
      <c r="BQ201" s="222"/>
      <c r="BR201" s="222"/>
      <c r="BS201" s="222"/>
      <c r="BT201" s="222"/>
      <c r="BU201" s="222"/>
      <c r="BV201" s="222"/>
      <c r="BW201" s="222"/>
    </row>
    <row r="202" ht="15.0" customHeight="1">
      <c r="A202" s="279"/>
      <c r="C202" s="212"/>
      <c r="D202" s="212"/>
      <c r="E202" s="212"/>
      <c r="F202" s="212"/>
      <c r="G202" s="212"/>
      <c r="H202" s="213"/>
      <c r="I202" s="213"/>
      <c r="J202" s="213"/>
      <c r="K202" s="214"/>
      <c r="L202" s="222"/>
      <c r="M202" s="222"/>
      <c r="N202" s="215"/>
      <c r="O202" s="215"/>
      <c r="P202" s="215"/>
      <c r="Q202" s="215"/>
      <c r="R202" s="216"/>
      <c r="S202" s="217"/>
      <c r="T202" s="218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65"/>
      <c r="AN202" s="222"/>
      <c r="AO202" s="222"/>
      <c r="BO202" s="222"/>
      <c r="BP202" s="222"/>
      <c r="BQ202" s="222"/>
      <c r="BR202" s="222"/>
      <c r="BS202" s="222"/>
      <c r="BT202" s="222"/>
      <c r="BU202" s="222"/>
      <c r="BV202" s="222"/>
      <c r="BW202" s="222"/>
    </row>
    <row r="203" ht="15.0" customHeight="1">
      <c r="A203" s="279"/>
      <c r="C203" s="212"/>
      <c r="D203" s="212"/>
      <c r="E203" s="212"/>
      <c r="F203" s="212"/>
      <c r="G203" s="212"/>
      <c r="H203" s="213"/>
      <c r="I203" s="213"/>
      <c r="J203" s="213"/>
      <c r="K203" s="214"/>
      <c r="L203" s="222"/>
      <c r="M203" s="222"/>
      <c r="N203" s="215"/>
      <c r="O203" s="215"/>
      <c r="P203" s="215"/>
      <c r="Q203" s="215"/>
      <c r="R203" s="216"/>
      <c r="S203" s="217"/>
      <c r="T203" s="218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65"/>
      <c r="AN203" s="222"/>
      <c r="AO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</row>
    <row r="204" ht="15.0" customHeight="1">
      <c r="A204" s="279"/>
      <c r="C204" s="212"/>
      <c r="D204" s="212"/>
      <c r="E204" s="212"/>
      <c r="F204" s="212"/>
      <c r="G204" s="212"/>
      <c r="H204" s="213"/>
      <c r="I204" s="213"/>
      <c r="J204" s="213"/>
      <c r="K204" s="214"/>
      <c r="L204" s="222"/>
      <c r="M204" s="222"/>
      <c r="N204" s="215"/>
      <c r="O204" s="215"/>
      <c r="P204" s="215"/>
      <c r="Q204" s="215"/>
      <c r="R204" s="216"/>
      <c r="S204" s="217"/>
      <c r="T204" s="218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65"/>
      <c r="AN204" s="222"/>
      <c r="AO204" s="222"/>
      <c r="BO204" s="222"/>
      <c r="BP204" s="222"/>
      <c r="BQ204" s="222"/>
      <c r="BR204" s="222"/>
      <c r="BS204" s="222"/>
      <c r="BT204" s="222"/>
      <c r="BU204" s="222"/>
      <c r="BV204" s="222"/>
      <c r="BW204" s="222"/>
    </row>
    <row r="205" ht="15.0" customHeight="1">
      <c r="A205" s="279"/>
      <c r="C205" s="212"/>
      <c r="D205" s="212"/>
      <c r="E205" s="212"/>
      <c r="F205" s="212"/>
      <c r="G205" s="212"/>
      <c r="H205" s="213"/>
      <c r="I205" s="213"/>
      <c r="J205" s="213"/>
      <c r="K205" s="214"/>
      <c r="L205" s="222"/>
      <c r="M205" s="222"/>
      <c r="N205" s="215"/>
      <c r="O205" s="215"/>
      <c r="P205" s="215"/>
      <c r="Q205" s="215"/>
      <c r="R205" s="216"/>
      <c r="S205" s="217"/>
      <c r="T205" s="218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65"/>
      <c r="AN205" s="222"/>
      <c r="AO205" s="222"/>
      <c r="BO205" s="222"/>
      <c r="BP205" s="222"/>
      <c r="BQ205" s="222"/>
      <c r="BR205" s="222"/>
      <c r="BS205" s="222"/>
      <c r="BT205" s="222"/>
      <c r="BU205" s="222"/>
      <c r="BV205" s="222"/>
      <c r="BW205" s="222"/>
    </row>
    <row r="206" ht="15.0" customHeight="1">
      <c r="A206" s="279"/>
      <c r="C206" s="212"/>
      <c r="D206" s="212"/>
      <c r="E206" s="212"/>
      <c r="F206" s="212"/>
      <c r="G206" s="212"/>
      <c r="H206" s="213"/>
      <c r="I206" s="213"/>
      <c r="J206" s="213"/>
      <c r="K206" s="214"/>
      <c r="L206" s="222"/>
      <c r="M206" s="222"/>
      <c r="N206" s="215"/>
      <c r="O206" s="215"/>
      <c r="P206" s="215"/>
      <c r="Q206" s="215"/>
      <c r="R206" s="216"/>
      <c r="S206" s="217"/>
      <c r="T206" s="218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65"/>
      <c r="AN206" s="222"/>
      <c r="AO206" s="222"/>
      <c r="BO206" s="222"/>
      <c r="BP206" s="222"/>
      <c r="BQ206" s="222"/>
      <c r="BR206" s="222"/>
      <c r="BS206" s="222"/>
      <c r="BT206" s="222"/>
      <c r="BU206" s="222"/>
      <c r="BV206" s="222"/>
      <c r="BW206" s="222"/>
    </row>
    <row r="207" ht="15.0" customHeight="1">
      <c r="A207" s="279"/>
      <c r="C207" s="212"/>
      <c r="D207" s="212"/>
      <c r="E207" s="212"/>
      <c r="F207" s="212"/>
      <c r="G207" s="212"/>
      <c r="H207" s="213"/>
      <c r="I207" s="213"/>
      <c r="J207" s="213"/>
      <c r="K207" s="214"/>
      <c r="L207" s="222"/>
      <c r="M207" s="222"/>
      <c r="N207" s="215"/>
      <c r="O207" s="215"/>
      <c r="P207" s="215"/>
      <c r="Q207" s="215"/>
      <c r="R207" s="216"/>
      <c r="S207" s="217"/>
      <c r="T207" s="218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65"/>
      <c r="AN207" s="222"/>
      <c r="AO207" s="222"/>
      <c r="BO207" s="222"/>
      <c r="BP207" s="222"/>
      <c r="BQ207" s="222"/>
      <c r="BR207" s="222"/>
      <c r="BS207" s="222"/>
      <c r="BT207" s="222"/>
      <c r="BU207" s="222"/>
      <c r="BV207" s="222"/>
      <c r="BW207" s="222"/>
    </row>
    <row r="208" ht="15.0" customHeight="1">
      <c r="A208" s="279"/>
      <c r="C208" s="212"/>
      <c r="D208" s="212"/>
      <c r="E208" s="212"/>
      <c r="F208" s="212"/>
      <c r="G208" s="212"/>
      <c r="H208" s="213"/>
      <c r="I208" s="213"/>
      <c r="J208" s="213"/>
      <c r="K208" s="214"/>
      <c r="L208" s="222"/>
      <c r="M208" s="222"/>
      <c r="N208" s="215"/>
      <c r="O208" s="215"/>
      <c r="P208" s="215"/>
      <c r="Q208" s="215"/>
      <c r="R208" s="216"/>
      <c r="S208" s="217"/>
      <c r="T208" s="218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65"/>
      <c r="AN208" s="222"/>
      <c r="AO208" s="222"/>
      <c r="BO208" s="222"/>
      <c r="BP208" s="222"/>
      <c r="BQ208" s="222"/>
      <c r="BR208" s="222"/>
      <c r="BS208" s="222"/>
      <c r="BT208" s="222"/>
      <c r="BU208" s="222"/>
      <c r="BV208" s="222"/>
      <c r="BW208" s="222"/>
    </row>
    <row r="209" ht="15.0" customHeight="1">
      <c r="A209" s="279"/>
      <c r="C209" s="212"/>
      <c r="D209" s="212"/>
      <c r="E209" s="212"/>
      <c r="F209" s="212"/>
      <c r="G209" s="212"/>
      <c r="H209" s="213"/>
      <c r="I209" s="213"/>
      <c r="J209" s="213"/>
      <c r="K209" s="214"/>
      <c r="L209" s="222"/>
      <c r="M209" s="222"/>
      <c r="N209" s="215"/>
      <c r="O209" s="215"/>
      <c r="P209" s="215"/>
      <c r="Q209" s="215"/>
      <c r="R209" s="216"/>
      <c r="S209" s="217"/>
      <c r="T209" s="218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65"/>
      <c r="AN209" s="222"/>
      <c r="AO209" s="222"/>
      <c r="BO209" s="222"/>
      <c r="BP209" s="222"/>
      <c r="BQ209" s="222"/>
      <c r="BR209" s="222"/>
      <c r="BS209" s="222"/>
      <c r="BT209" s="222"/>
      <c r="BU209" s="222"/>
      <c r="BV209" s="222"/>
      <c r="BW209" s="222"/>
    </row>
    <row r="210" ht="15.0" customHeight="1">
      <c r="A210" s="279"/>
      <c r="C210" s="212"/>
      <c r="D210" s="212"/>
      <c r="E210" s="212"/>
      <c r="F210" s="212"/>
      <c r="G210" s="212"/>
      <c r="H210" s="213"/>
      <c r="I210" s="213"/>
      <c r="J210" s="213"/>
      <c r="K210" s="214"/>
      <c r="L210" s="222"/>
      <c r="M210" s="222"/>
      <c r="N210" s="215"/>
      <c r="O210" s="215"/>
      <c r="P210" s="215"/>
      <c r="Q210" s="215"/>
      <c r="R210" s="216"/>
      <c r="S210" s="217"/>
      <c r="T210" s="218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65"/>
      <c r="AN210" s="222"/>
      <c r="AO210" s="222"/>
      <c r="BO210" s="222"/>
      <c r="BP210" s="222"/>
      <c r="BQ210" s="222"/>
      <c r="BR210" s="222"/>
      <c r="BS210" s="222"/>
      <c r="BT210" s="222"/>
      <c r="BU210" s="222"/>
      <c r="BV210" s="222"/>
      <c r="BW210" s="222"/>
    </row>
    <row r="211" ht="15.0" customHeight="1">
      <c r="A211" s="279"/>
      <c r="C211" s="212"/>
      <c r="D211" s="212"/>
      <c r="E211" s="212"/>
      <c r="F211" s="212"/>
      <c r="G211" s="212"/>
      <c r="H211" s="213"/>
      <c r="I211" s="213"/>
      <c r="J211" s="213"/>
      <c r="K211" s="214"/>
      <c r="L211" s="222"/>
      <c r="M211" s="222"/>
      <c r="N211" s="215"/>
      <c r="O211" s="215"/>
      <c r="P211" s="215"/>
      <c r="Q211" s="215"/>
      <c r="R211" s="216"/>
      <c r="S211" s="217"/>
      <c r="T211" s="218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65"/>
      <c r="AN211" s="222"/>
      <c r="AO211" s="222"/>
      <c r="BO211" s="222"/>
      <c r="BP211" s="222"/>
      <c r="BQ211" s="222"/>
      <c r="BR211" s="222"/>
      <c r="BS211" s="222"/>
      <c r="BT211" s="222"/>
      <c r="BU211" s="222"/>
      <c r="BV211" s="222"/>
      <c r="BW211" s="222"/>
    </row>
    <row r="212" ht="15.0" customHeight="1">
      <c r="A212" s="279"/>
      <c r="C212" s="212"/>
      <c r="D212" s="212"/>
      <c r="E212" s="212"/>
      <c r="F212" s="212"/>
      <c r="G212" s="212"/>
      <c r="H212" s="213"/>
      <c r="I212" s="213"/>
      <c r="J212" s="213"/>
      <c r="K212" s="214"/>
      <c r="L212" s="222"/>
      <c r="M212" s="222"/>
      <c r="N212" s="215"/>
      <c r="O212" s="215"/>
      <c r="P212" s="215"/>
      <c r="Q212" s="215"/>
      <c r="R212" s="216"/>
      <c r="S212" s="217"/>
      <c r="T212" s="218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65"/>
      <c r="AN212" s="222"/>
      <c r="AO212" s="222"/>
      <c r="BO212" s="222"/>
      <c r="BP212" s="222"/>
      <c r="BQ212" s="222"/>
      <c r="BR212" s="222"/>
      <c r="BS212" s="222"/>
      <c r="BT212" s="222"/>
      <c r="BU212" s="222"/>
      <c r="BV212" s="222"/>
      <c r="BW212" s="222"/>
    </row>
    <row r="213" ht="15.0" customHeight="1">
      <c r="A213" s="279"/>
      <c r="C213" s="212"/>
      <c r="D213" s="212"/>
      <c r="E213" s="212"/>
      <c r="F213" s="212"/>
      <c r="G213" s="212"/>
      <c r="H213" s="213"/>
      <c r="I213" s="213"/>
      <c r="J213" s="213"/>
      <c r="K213" s="214"/>
      <c r="L213" s="222"/>
      <c r="M213" s="222"/>
      <c r="N213" s="215"/>
      <c r="O213" s="215"/>
      <c r="P213" s="215"/>
      <c r="Q213" s="215"/>
      <c r="R213" s="216"/>
      <c r="S213" s="217"/>
      <c r="T213" s="218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65"/>
      <c r="AN213" s="222"/>
      <c r="AO213" s="222"/>
      <c r="BO213" s="222"/>
      <c r="BP213" s="222"/>
      <c r="BQ213" s="222"/>
      <c r="BR213" s="222"/>
      <c r="BS213" s="222"/>
      <c r="BT213" s="222"/>
      <c r="BU213" s="222"/>
      <c r="BV213" s="222"/>
      <c r="BW213" s="222"/>
    </row>
    <row r="214" ht="15.0" customHeight="1">
      <c r="A214" s="279"/>
      <c r="C214" s="212"/>
      <c r="D214" s="212"/>
      <c r="E214" s="212"/>
      <c r="F214" s="212"/>
      <c r="G214" s="212"/>
      <c r="H214" s="213"/>
      <c r="I214" s="213"/>
      <c r="J214" s="213"/>
      <c r="K214" s="214"/>
      <c r="L214" s="222"/>
      <c r="M214" s="222"/>
      <c r="N214" s="215"/>
      <c r="O214" s="215"/>
      <c r="P214" s="215"/>
      <c r="Q214" s="215"/>
      <c r="R214" s="216"/>
      <c r="S214" s="217"/>
      <c r="T214" s="218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65"/>
      <c r="AN214" s="222"/>
      <c r="AO214" s="222"/>
      <c r="BO214" s="222"/>
      <c r="BP214" s="222"/>
      <c r="BQ214" s="222"/>
      <c r="BR214" s="222"/>
      <c r="BS214" s="222"/>
      <c r="BT214" s="222"/>
      <c r="BU214" s="222"/>
      <c r="BV214" s="222"/>
      <c r="BW214" s="222"/>
    </row>
    <row r="215" ht="15.0" customHeight="1">
      <c r="A215" s="279"/>
      <c r="C215" s="212"/>
      <c r="D215" s="212"/>
      <c r="E215" s="212"/>
      <c r="F215" s="212"/>
      <c r="G215" s="212"/>
      <c r="H215" s="213"/>
      <c r="I215" s="213"/>
      <c r="J215" s="213"/>
      <c r="K215" s="214"/>
      <c r="L215" s="222"/>
      <c r="M215" s="222"/>
      <c r="N215" s="215"/>
      <c r="O215" s="215"/>
      <c r="P215" s="215"/>
      <c r="Q215" s="215"/>
      <c r="R215" s="216"/>
      <c r="S215" s="217"/>
      <c r="T215" s="218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65"/>
      <c r="AN215" s="222"/>
      <c r="AO215" s="222"/>
      <c r="BO215" s="222"/>
      <c r="BP215" s="222"/>
      <c r="BQ215" s="222"/>
      <c r="BR215" s="222"/>
      <c r="BS215" s="222"/>
      <c r="BT215" s="222"/>
      <c r="BU215" s="222"/>
      <c r="BV215" s="222"/>
      <c r="BW215" s="222"/>
    </row>
    <row r="216" ht="15.0" customHeight="1">
      <c r="A216" s="279"/>
      <c r="C216" s="212"/>
      <c r="D216" s="212"/>
      <c r="E216" s="212"/>
      <c r="F216" s="212"/>
      <c r="G216" s="212"/>
      <c r="H216" s="213"/>
      <c r="I216" s="213"/>
      <c r="J216" s="213"/>
      <c r="K216" s="214"/>
      <c r="L216" s="222"/>
      <c r="M216" s="222"/>
      <c r="N216" s="215"/>
      <c r="O216" s="215"/>
      <c r="P216" s="215"/>
      <c r="Q216" s="215"/>
      <c r="R216" s="216"/>
      <c r="S216" s="217"/>
      <c r="T216" s="218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65"/>
      <c r="AN216" s="222"/>
      <c r="AO216" s="222"/>
      <c r="BO216" s="222"/>
      <c r="BP216" s="222"/>
      <c r="BQ216" s="222"/>
      <c r="BR216" s="222"/>
      <c r="BS216" s="222"/>
      <c r="BT216" s="222"/>
      <c r="BU216" s="222"/>
      <c r="BV216" s="222"/>
      <c r="BW216" s="222"/>
    </row>
    <row r="217" ht="15.0" customHeight="1">
      <c r="A217" s="279"/>
      <c r="C217" s="212"/>
      <c r="D217" s="212"/>
      <c r="E217" s="212"/>
      <c r="F217" s="212"/>
      <c r="G217" s="212"/>
      <c r="H217" s="213"/>
      <c r="I217" s="213"/>
      <c r="J217" s="213"/>
      <c r="K217" s="214"/>
      <c r="L217" s="222"/>
      <c r="M217" s="222"/>
      <c r="N217" s="215"/>
      <c r="O217" s="215"/>
      <c r="P217" s="215"/>
      <c r="Q217" s="215"/>
      <c r="R217" s="216"/>
      <c r="S217" s="217"/>
      <c r="T217" s="218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65"/>
      <c r="AN217" s="222"/>
      <c r="AO217" s="222"/>
      <c r="BO217" s="222"/>
      <c r="BP217" s="222"/>
      <c r="BQ217" s="222"/>
      <c r="BR217" s="222"/>
      <c r="BS217" s="222"/>
      <c r="BT217" s="222"/>
      <c r="BU217" s="222"/>
      <c r="BV217" s="222"/>
      <c r="BW217" s="222"/>
    </row>
    <row r="218" ht="15.0" customHeight="1">
      <c r="A218" s="279"/>
      <c r="C218" s="212"/>
      <c r="D218" s="212"/>
      <c r="E218" s="212"/>
      <c r="F218" s="212"/>
      <c r="G218" s="212"/>
      <c r="H218" s="213"/>
      <c r="I218" s="213"/>
      <c r="J218" s="213"/>
      <c r="K218" s="214"/>
      <c r="L218" s="222"/>
      <c r="M218" s="222"/>
      <c r="N218" s="215"/>
      <c r="O218" s="215"/>
      <c r="P218" s="215"/>
      <c r="Q218" s="215"/>
      <c r="R218" s="216"/>
      <c r="S218" s="217"/>
      <c r="T218" s="218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65"/>
      <c r="AN218" s="222"/>
      <c r="AO218" s="222"/>
      <c r="BO218" s="222"/>
      <c r="BP218" s="222"/>
      <c r="BQ218" s="222"/>
      <c r="BR218" s="222"/>
      <c r="BS218" s="222"/>
      <c r="BT218" s="222"/>
      <c r="BU218" s="222"/>
      <c r="BV218" s="222"/>
      <c r="BW218" s="222"/>
    </row>
    <row r="219" ht="15.0" customHeight="1">
      <c r="A219" s="279"/>
      <c r="C219" s="212"/>
      <c r="D219" s="212"/>
      <c r="E219" s="212"/>
      <c r="F219" s="212"/>
      <c r="G219" s="212"/>
      <c r="H219" s="213"/>
      <c r="I219" s="213"/>
      <c r="J219" s="213"/>
      <c r="K219" s="214"/>
      <c r="L219" s="222"/>
      <c r="M219" s="222"/>
      <c r="N219" s="215"/>
      <c r="O219" s="215"/>
      <c r="P219" s="215"/>
      <c r="Q219" s="215"/>
      <c r="R219" s="216"/>
      <c r="S219" s="217"/>
      <c r="T219" s="218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65"/>
      <c r="AN219" s="222"/>
      <c r="AO219" s="222"/>
      <c r="BO219" s="222"/>
      <c r="BP219" s="222"/>
      <c r="BQ219" s="222"/>
      <c r="BR219" s="222"/>
      <c r="BS219" s="222"/>
      <c r="BT219" s="222"/>
      <c r="BU219" s="222"/>
      <c r="BV219" s="222"/>
      <c r="BW219" s="222"/>
    </row>
    <row r="220" ht="15.0" customHeight="1">
      <c r="A220" s="279"/>
      <c r="C220" s="212"/>
      <c r="D220" s="212"/>
      <c r="E220" s="212"/>
      <c r="F220" s="212"/>
      <c r="G220" s="212"/>
      <c r="H220" s="213"/>
      <c r="I220" s="213"/>
      <c r="J220" s="213"/>
      <c r="K220" s="214"/>
      <c r="L220" s="222"/>
      <c r="M220" s="222"/>
      <c r="N220" s="215"/>
      <c r="O220" s="215"/>
      <c r="P220" s="215"/>
      <c r="Q220" s="215"/>
      <c r="R220" s="216"/>
      <c r="S220" s="217"/>
      <c r="T220" s="218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65"/>
      <c r="AN220" s="222"/>
      <c r="AO220" s="222"/>
      <c r="BO220" s="222"/>
      <c r="BP220" s="222"/>
      <c r="BQ220" s="222"/>
      <c r="BR220" s="222"/>
      <c r="BS220" s="222"/>
      <c r="BT220" s="222"/>
      <c r="BU220" s="222"/>
      <c r="BV220" s="222"/>
      <c r="BW220" s="222"/>
    </row>
    <row r="221" ht="15.0" customHeight="1">
      <c r="A221" s="279"/>
      <c r="C221" s="212"/>
      <c r="D221" s="212"/>
      <c r="E221" s="212"/>
      <c r="F221" s="212"/>
      <c r="G221" s="212"/>
      <c r="H221" s="213"/>
      <c r="I221" s="213"/>
      <c r="J221" s="213"/>
      <c r="K221" s="214"/>
      <c r="L221" s="222"/>
      <c r="M221" s="222"/>
      <c r="N221" s="215"/>
      <c r="O221" s="215"/>
      <c r="P221" s="215"/>
      <c r="Q221" s="215"/>
      <c r="R221" s="216"/>
      <c r="S221" s="217"/>
      <c r="T221" s="218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65"/>
      <c r="AN221" s="222"/>
      <c r="AO221" s="222"/>
      <c r="BO221" s="222"/>
      <c r="BP221" s="222"/>
      <c r="BQ221" s="222"/>
      <c r="BR221" s="222"/>
      <c r="BS221" s="222"/>
      <c r="BT221" s="222"/>
      <c r="BU221" s="222"/>
      <c r="BV221" s="222"/>
      <c r="BW221" s="222"/>
    </row>
    <row r="222" ht="15.0" customHeight="1">
      <c r="A222" s="279"/>
      <c r="C222" s="212"/>
      <c r="D222" s="212"/>
      <c r="E222" s="212"/>
      <c r="F222" s="212"/>
      <c r="G222" s="212"/>
      <c r="H222" s="213"/>
      <c r="I222" s="213"/>
      <c r="J222" s="213"/>
      <c r="K222" s="214"/>
      <c r="L222" s="222"/>
      <c r="M222" s="222"/>
      <c r="N222" s="215"/>
      <c r="O222" s="215"/>
      <c r="P222" s="215"/>
      <c r="Q222" s="215"/>
      <c r="R222" s="216"/>
      <c r="S222" s="217"/>
      <c r="T222" s="218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65"/>
      <c r="AN222" s="222"/>
      <c r="AO222" s="222"/>
      <c r="BO222" s="222"/>
      <c r="BP222" s="222"/>
      <c r="BQ222" s="222"/>
      <c r="BR222" s="222"/>
      <c r="BS222" s="222"/>
      <c r="BT222" s="222"/>
      <c r="BU222" s="222"/>
      <c r="BV222" s="222"/>
      <c r="BW222" s="222"/>
    </row>
    <row r="223" ht="15.0" customHeight="1">
      <c r="A223" s="279"/>
      <c r="C223" s="212"/>
      <c r="D223" s="212"/>
      <c r="E223" s="212"/>
      <c r="F223" s="212"/>
      <c r="G223" s="212"/>
      <c r="H223" s="213"/>
      <c r="I223" s="213"/>
      <c r="J223" s="213"/>
      <c r="K223" s="214"/>
      <c r="L223" s="222"/>
      <c r="M223" s="222"/>
      <c r="N223" s="215"/>
      <c r="O223" s="215"/>
      <c r="P223" s="215"/>
      <c r="Q223" s="215"/>
      <c r="R223" s="216"/>
      <c r="S223" s="217"/>
      <c r="T223" s="218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65"/>
      <c r="AN223" s="222"/>
      <c r="AO223" s="222"/>
      <c r="BO223" s="222"/>
      <c r="BP223" s="222"/>
      <c r="BQ223" s="222"/>
      <c r="BR223" s="222"/>
      <c r="BS223" s="222"/>
      <c r="BT223" s="222"/>
      <c r="BU223" s="222"/>
      <c r="BV223" s="222"/>
      <c r="BW223" s="222"/>
    </row>
    <row r="224" ht="15.0" customHeight="1">
      <c r="A224" s="279"/>
      <c r="C224" s="212"/>
      <c r="D224" s="212"/>
      <c r="E224" s="212"/>
      <c r="F224" s="212"/>
      <c r="G224" s="212"/>
      <c r="H224" s="213"/>
      <c r="I224" s="213"/>
      <c r="J224" s="213"/>
      <c r="K224" s="214"/>
      <c r="L224" s="222"/>
      <c r="M224" s="222"/>
      <c r="N224" s="215"/>
      <c r="O224" s="215"/>
      <c r="P224" s="215"/>
      <c r="Q224" s="215"/>
      <c r="R224" s="216"/>
      <c r="S224" s="217"/>
      <c r="T224" s="218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65"/>
      <c r="AN224" s="222"/>
      <c r="AO224" s="222"/>
      <c r="BO224" s="222"/>
      <c r="BP224" s="222"/>
      <c r="BQ224" s="222"/>
      <c r="BR224" s="222"/>
      <c r="BS224" s="222"/>
      <c r="BT224" s="222"/>
      <c r="BU224" s="222"/>
      <c r="BV224" s="222"/>
      <c r="BW224" s="222"/>
    </row>
    <row r="225" ht="15.0" customHeight="1">
      <c r="A225" s="279"/>
      <c r="C225" s="212"/>
      <c r="D225" s="212"/>
      <c r="E225" s="212"/>
      <c r="F225" s="212"/>
      <c r="G225" s="212"/>
      <c r="H225" s="213"/>
      <c r="I225" s="213"/>
      <c r="J225" s="213"/>
      <c r="K225" s="214"/>
      <c r="L225" s="222"/>
      <c r="M225" s="222"/>
      <c r="N225" s="215"/>
      <c r="O225" s="215"/>
      <c r="P225" s="215"/>
      <c r="Q225" s="215"/>
      <c r="R225" s="216"/>
      <c r="S225" s="217"/>
      <c r="T225" s="218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65"/>
      <c r="AN225" s="222"/>
      <c r="AO225" s="222"/>
      <c r="BO225" s="222"/>
      <c r="BP225" s="222"/>
      <c r="BQ225" s="222"/>
      <c r="BR225" s="222"/>
      <c r="BS225" s="222"/>
      <c r="BT225" s="222"/>
      <c r="BU225" s="222"/>
      <c r="BV225" s="222"/>
      <c r="BW225" s="222"/>
    </row>
    <row r="226" ht="15.0" customHeight="1">
      <c r="A226" s="279"/>
      <c r="C226" s="212"/>
      <c r="D226" s="212"/>
      <c r="E226" s="212"/>
      <c r="F226" s="212"/>
      <c r="G226" s="212"/>
      <c r="H226" s="213"/>
      <c r="I226" s="213"/>
      <c r="J226" s="213"/>
      <c r="K226" s="214"/>
      <c r="L226" s="222"/>
      <c r="M226" s="222"/>
      <c r="N226" s="215"/>
      <c r="O226" s="215"/>
      <c r="P226" s="215"/>
      <c r="Q226" s="215"/>
      <c r="R226" s="216"/>
      <c r="S226" s="217"/>
      <c r="T226" s="218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65"/>
      <c r="AN226" s="222"/>
      <c r="AO226" s="222"/>
      <c r="BO226" s="222"/>
      <c r="BP226" s="222"/>
      <c r="BQ226" s="222"/>
      <c r="BR226" s="222"/>
      <c r="BS226" s="222"/>
      <c r="BT226" s="222"/>
      <c r="BU226" s="222"/>
      <c r="BV226" s="222"/>
      <c r="BW226" s="222"/>
    </row>
    <row r="227" ht="15.0" customHeight="1">
      <c r="A227" s="279"/>
      <c r="C227" s="212"/>
      <c r="D227" s="212"/>
      <c r="E227" s="212"/>
      <c r="F227" s="212"/>
      <c r="G227" s="212"/>
      <c r="H227" s="213"/>
      <c r="I227" s="213"/>
      <c r="J227" s="213"/>
      <c r="K227" s="214"/>
      <c r="L227" s="222"/>
      <c r="M227" s="222"/>
      <c r="N227" s="215"/>
      <c r="O227" s="215"/>
      <c r="P227" s="215"/>
      <c r="Q227" s="215"/>
      <c r="R227" s="216"/>
      <c r="S227" s="217"/>
      <c r="T227" s="218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65"/>
      <c r="AN227" s="222"/>
      <c r="AO227" s="222"/>
      <c r="BO227" s="222"/>
      <c r="BP227" s="222"/>
      <c r="BQ227" s="222"/>
      <c r="BR227" s="222"/>
      <c r="BS227" s="222"/>
      <c r="BT227" s="222"/>
      <c r="BU227" s="222"/>
      <c r="BV227" s="222"/>
      <c r="BW227" s="222"/>
    </row>
    <row r="228" ht="15.0" customHeight="1">
      <c r="A228" s="279"/>
      <c r="C228" s="212"/>
      <c r="D228" s="212"/>
      <c r="E228" s="212"/>
      <c r="F228" s="212"/>
      <c r="G228" s="212"/>
      <c r="H228" s="213"/>
      <c r="I228" s="213"/>
      <c r="J228" s="213"/>
      <c r="K228" s="214"/>
      <c r="L228" s="222"/>
      <c r="M228" s="222"/>
      <c r="N228" s="215"/>
      <c r="O228" s="215"/>
      <c r="P228" s="215"/>
      <c r="Q228" s="215"/>
      <c r="R228" s="216"/>
      <c r="S228" s="217"/>
      <c r="T228" s="218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65"/>
      <c r="AN228" s="222"/>
      <c r="AO228" s="222"/>
      <c r="BO228" s="222"/>
      <c r="BP228" s="222"/>
      <c r="BQ228" s="222"/>
      <c r="BR228" s="222"/>
      <c r="BS228" s="222"/>
      <c r="BT228" s="222"/>
      <c r="BU228" s="222"/>
      <c r="BV228" s="222"/>
      <c r="BW228" s="222"/>
    </row>
    <row r="229" ht="15.0" customHeight="1">
      <c r="A229" s="279"/>
      <c r="C229" s="212"/>
      <c r="D229" s="212"/>
      <c r="E229" s="212"/>
      <c r="F229" s="212"/>
      <c r="G229" s="212"/>
      <c r="H229" s="213"/>
      <c r="I229" s="213"/>
      <c r="J229" s="213"/>
      <c r="K229" s="214"/>
      <c r="L229" s="222"/>
      <c r="M229" s="222"/>
      <c r="N229" s="215"/>
      <c r="O229" s="215"/>
      <c r="P229" s="215"/>
      <c r="Q229" s="215"/>
      <c r="R229" s="216"/>
      <c r="S229" s="217"/>
      <c r="T229" s="218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65"/>
      <c r="AN229" s="222"/>
      <c r="AO229" s="222"/>
      <c r="BO229" s="222"/>
      <c r="BP229" s="222"/>
      <c r="BQ229" s="222"/>
      <c r="BR229" s="222"/>
      <c r="BS229" s="222"/>
      <c r="BT229" s="222"/>
      <c r="BU229" s="222"/>
      <c r="BV229" s="222"/>
      <c r="BW229" s="222"/>
    </row>
    <row r="230" ht="15.0" customHeight="1">
      <c r="A230" s="279"/>
      <c r="C230" s="212"/>
      <c r="D230" s="212"/>
      <c r="E230" s="212"/>
      <c r="F230" s="212"/>
      <c r="G230" s="212"/>
      <c r="H230" s="213"/>
      <c r="I230" s="213"/>
      <c r="J230" s="213"/>
      <c r="K230" s="214"/>
      <c r="L230" s="222"/>
      <c r="M230" s="222"/>
      <c r="N230" s="215"/>
      <c r="O230" s="215"/>
      <c r="P230" s="215"/>
      <c r="Q230" s="215"/>
      <c r="R230" s="216"/>
      <c r="S230" s="217"/>
      <c r="T230" s="218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65"/>
      <c r="AN230" s="222"/>
      <c r="AO230" s="222"/>
      <c r="BO230" s="222"/>
      <c r="BP230" s="222"/>
      <c r="BQ230" s="222"/>
      <c r="BR230" s="222"/>
      <c r="BS230" s="222"/>
      <c r="BT230" s="222"/>
      <c r="BU230" s="222"/>
      <c r="BV230" s="222"/>
      <c r="BW230" s="222"/>
    </row>
    <row r="231" ht="15.0" customHeight="1">
      <c r="A231" s="279"/>
      <c r="C231" s="212"/>
      <c r="D231" s="212"/>
      <c r="E231" s="212"/>
      <c r="F231" s="212"/>
      <c r="G231" s="212"/>
      <c r="H231" s="213"/>
      <c r="I231" s="213"/>
      <c r="J231" s="213"/>
      <c r="K231" s="214"/>
      <c r="L231" s="222"/>
      <c r="M231" s="222"/>
      <c r="N231" s="215"/>
      <c r="O231" s="215"/>
      <c r="P231" s="215"/>
      <c r="Q231" s="215"/>
      <c r="R231" s="216"/>
      <c r="S231" s="217"/>
      <c r="T231" s="218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65"/>
      <c r="AN231" s="222"/>
      <c r="AO231" s="222"/>
      <c r="BO231" s="222"/>
      <c r="BP231" s="222"/>
      <c r="BQ231" s="222"/>
      <c r="BR231" s="222"/>
      <c r="BS231" s="222"/>
      <c r="BT231" s="222"/>
      <c r="BU231" s="222"/>
      <c r="BV231" s="222"/>
      <c r="BW231" s="222"/>
    </row>
    <row r="232" ht="15.0" customHeight="1">
      <c r="A232" s="279"/>
      <c r="C232" s="212"/>
      <c r="D232" s="212"/>
      <c r="E232" s="212"/>
      <c r="F232" s="212"/>
      <c r="G232" s="212"/>
      <c r="H232" s="213"/>
      <c r="I232" s="213"/>
      <c r="J232" s="213"/>
      <c r="K232" s="214"/>
      <c r="L232" s="222"/>
      <c r="M232" s="222"/>
      <c r="N232" s="215"/>
      <c r="O232" s="215"/>
      <c r="P232" s="215"/>
      <c r="Q232" s="215"/>
      <c r="R232" s="216"/>
      <c r="S232" s="217"/>
      <c r="T232" s="218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65"/>
      <c r="AN232" s="222"/>
      <c r="AO232" s="222"/>
      <c r="BO232" s="222"/>
      <c r="BP232" s="222"/>
      <c r="BQ232" s="222"/>
      <c r="BR232" s="222"/>
      <c r="BS232" s="222"/>
      <c r="BT232" s="222"/>
      <c r="BU232" s="222"/>
      <c r="BV232" s="222"/>
      <c r="BW232" s="222"/>
    </row>
    <row r="233" ht="15.0" customHeight="1">
      <c r="A233" s="279"/>
      <c r="C233" s="212"/>
      <c r="D233" s="212"/>
      <c r="E233" s="212"/>
      <c r="F233" s="212"/>
      <c r="G233" s="212"/>
      <c r="H233" s="213"/>
      <c r="I233" s="213"/>
      <c r="J233" s="213"/>
      <c r="K233" s="214"/>
      <c r="L233" s="222"/>
      <c r="M233" s="222"/>
      <c r="N233" s="215"/>
      <c r="O233" s="215"/>
      <c r="P233" s="215"/>
      <c r="Q233" s="215"/>
      <c r="R233" s="216"/>
      <c r="S233" s="217"/>
      <c r="T233" s="218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65"/>
      <c r="AN233" s="222"/>
      <c r="AO233" s="222"/>
      <c r="BO233" s="222"/>
      <c r="BP233" s="222"/>
      <c r="BQ233" s="222"/>
      <c r="BR233" s="222"/>
      <c r="BS233" s="222"/>
      <c r="BT233" s="222"/>
      <c r="BU233" s="222"/>
      <c r="BV233" s="222"/>
      <c r="BW233" s="222"/>
    </row>
    <row r="234" ht="15.0" customHeight="1">
      <c r="A234" s="279"/>
      <c r="C234" s="212"/>
      <c r="D234" s="212"/>
      <c r="E234" s="212"/>
      <c r="F234" s="212"/>
      <c r="G234" s="212"/>
      <c r="H234" s="213"/>
      <c r="I234" s="213"/>
      <c r="J234" s="213"/>
      <c r="K234" s="214"/>
      <c r="L234" s="222"/>
      <c r="M234" s="222"/>
      <c r="N234" s="215"/>
      <c r="O234" s="215"/>
      <c r="P234" s="215"/>
      <c r="Q234" s="215"/>
      <c r="R234" s="216"/>
      <c r="S234" s="217"/>
      <c r="T234" s="218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65"/>
      <c r="AN234" s="222"/>
      <c r="AO234" s="222"/>
      <c r="BO234" s="222"/>
      <c r="BP234" s="222"/>
      <c r="BQ234" s="222"/>
      <c r="BR234" s="222"/>
      <c r="BS234" s="222"/>
      <c r="BT234" s="222"/>
      <c r="BU234" s="222"/>
      <c r="BV234" s="222"/>
      <c r="BW234" s="222"/>
    </row>
    <row r="235" ht="15.0" customHeight="1">
      <c r="A235" s="279"/>
      <c r="C235" s="212"/>
      <c r="D235" s="212"/>
      <c r="E235" s="212"/>
      <c r="F235" s="212"/>
      <c r="G235" s="212"/>
      <c r="H235" s="213"/>
      <c r="I235" s="213"/>
      <c r="J235" s="213"/>
      <c r="K235" s="214"/>
      <c r="L235" s="222"/>
      <c r="M235" s="222"/>
      <c r="N235" s="215"/>
      <c r="O235" s="215"/>
      <c r="P235" s="215"/>
      <c r="Q235" s="215"/>
      <c r="R235" s="216"/>
      <c r="S235" s="217"/>
      <c r="T235" s="218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65"/>
      <c r="AN235" s="222"/>
      <c r="AO235" s="222"/>
      <c r="BO235" s="222"/>
      <c r="BP235" s="222"/>
      <c r="BQ235" s="222"/>
      <c r="BR235" s="222"/>
      <c r="BS235" s="222"/>
      <c r="BT235" s="222"/>
      <c r="BU235" s="222"/>
      <c r="BV235" s="222"/>
      <c r="BW235" s="222"/>
    </row>
    <row r="236" ht="15.0" customHeight="1">
      <c r="A236" s="279"/>
      <c r="C236" s="212"/>
      <c r="D236" s="212"/>
      <c r="E236" s="212"/>
      <c r="F236" s="212"/>
      <c r="G236" s="212"/>
      <c r="H236" s="213"/>
      <c r="I236" s="213"/>
      <c r="J236" s="213"/>
      <c r="K236" s="214"/>
      <c r="L236" s="222"/>
      <c r="M236" s="222"/>
      <c r="N236" s="215"/>
      <c r="O236" s="215"/>
      <c r="P236" s="215"/>
      <c r="Q236" s="215"/>
      <c r="R236" s="216"/>
      <c r="S236" s="217"/>
      <c r="T236" s="218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65"/>
      <c r="AN236" s="222"/>
      <c r="AO236" s="222"/>
      <c r="BO236" s="222"/>
      <c r="BP236" s="222"/>
      <c r="BQ236" s="222"/>
      <c r="BR236" s="222"/>
      <c r="BS236" s="222"/>
      <c r="BT236" s="222"/>
      <c r="BU236" s="222"/>
      <c r="BV236" s="222"/>
      <c r="BW236" s="222"/>
    </row>
    <row r="237" ht="15.0" customHeight="1">
      <c r="A237" s="279"/>
      <c r="C237" s="212"/>
      <c r="D237" s="212"/>
      <c r="E237" s="212"/>
      <c r="F237" s="212"/>
      <c r="G237" s="212"/>
      <c r="H237" s="213"/>
      <c r="I237" s="213"/>
      <c r="J237" s="213"/>
      <c r="K237" s="214"/>
      <c r="L237" s="222"/>
      <c r="M237" s="222"/>
      <c r="N237" s="215"/>
      <c r="O237" s="215"/>
      <c r="P237" s="215"/>
      <c r="Q237" s="215"/>
      <c r="R237" s="216"/>
      <c r="S237" s="217"/>
      <c r="T237" s="218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65"/>
      <c r="AN237" s="222"/>
      <c r="AO237" s="222"/>
      <c r="BO237" s="222"/>
      <c r="BP237" s="222"/>
      <c r="BQ237" s="222"/>
      <c r="BR237" s="222"/>
      <c r="BS237" s="222"/>
      <c r="BT237" s="222"/>
      <c r="BU237" s="222"/>
      <c r="BV237" s="222"/>
      <c r="BW237" s="222"/>
    </row>
    <row r="238" ht="15.0" customHeight="1">
      <c r="A238" s="279"/>
      <c r="C238" s="212"/>
      <c r="D238" s="212"/>
      <c r="E238" s="212"/>
      <c r="F238" s="212"/>
      <c r="G238" s="212"/>
      <c r="H238" s="213"/>
      <c r="I238" s="213"/>
      <c r="J238" s="213"/>
      <c r="K238" s="214"/>
      <c r="L238" s="222"/>
      <c r="M238" s="222"/>
      <c r="N238" s="215"/>
      <c r="O238" s="215"/>
      <c r="P238" s="215"/>
      <c r="Q238" s="215"/>
      <c r="R238" s="216"/>
      <c r="S238" s="217"/>
      <c r="T238" s="218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65"/>
      <c r="AN238" s="222"/>
      <c r="AO238" s="222"/>
      <c r="BO238" s="222"/>
      <c r="BP238" s="222"/>
      <c r="BQ238" s="222"/>
      <c r="BR238" s="222"/>
      <c r="BS238" s="222"/>
      <c r="BT238" s="222"/>
      <c r="BU238" s="222"/>
      <c r="BV238" s="222"/>
      <c r="BW238" s="222"/>
    </row>
    <row r="239" ht="15.0" customHeight="1">
      <c r="A239" s="279"/>
      <c r="C239" s="212"/>
      <c r="D239" s="212"/>
      <c r="E239" s="212"/>
      <c r="F239" s="212"/>
      <c r="G239" s="212"/>
      <c r="H239" s="213"/>
      <c r="I239" s="213"/>
      <c r="J239" s="213"/>
      <c r="K239" s="214"/>
      <c r="L239" s="222"/>
      <c r="M239" s="222"/>
      <c r="N239" s="215"/>
      <c r="O239" s="215"/>
      <c r="P239" s="215"/>
      <c r="Q239" s="215"/>
      <c r="R239" s="216"/>
      <c r="S239" s="217"/>
      <c r="T239" s="218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65"/>
      <c r="AN239" s="222"/>
      <c r="AO239" s="222"/>
      <c r="BO239" s="222"/>
      <c r="BP239" s="222"/>
      <c r="BQ239" s="222"/>
      <c r="BR239" s="222"/>
      <c r="BS239" s="222"/>
      <c r="BT239" s="222"/>
      <c r="BU239" s="222"/>
      <c r="BV239" s="222"/>
      <c r="BW239" s="222"/>
    </row>
    <row r="240" ht="15.0" customHeight="1">
      <c r="A240" s="279"/>
      <c r="C240" s="212"/>
      <c r="D240" s="212"/>
      <c r="E240" s="212"/>
      <c r="F240" s="212"/>
      <c r="G240" s="212"/>
      <c r="H240" s="213"/>
      <c r="I240" s="213"/>
      <c r="J240" s="213"/>
      <c r="K240" s="214"/>
      <c r="L240" s="222"/>
      <c r="M240" s="222"/>
      <c r="N240" s="215"/>
      <c r="O240" s="215"/>
      <c r="P240" s="215"/>
      <c r="Q240" s="215"/>
      <c r="R240" s="216"/>
      <c r="S240" s="217"/>
      <c r="T240" s="218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65"/>
      <c r="AN240" s="222"/>
      <c r="AO240" s="222"/>
      <c r="BO240" s="222"/>
      <c r="BP240" s="222"/>
      <c r="BQ240" s="222"/>
      <c r="BR240" s="222"/>
      <c r="BS240" s="222"/>
      <c r="BT240" s="222"/>
      <c r="BU240" s="222"/>
      <c r="BV240" s="222"/>
      <c r="BW240" s="222"/>
    </row>
    <row r="241" ht="15.0" customHeight="1">
      <c r="A241" s="279"/>
      <c r="C241" s="212"/>
      <c r="D241" s="212"/>
      <c r="E241" s="212"/>
      <c r="F241" s="212"/>
      <c r="G241" s="212"/>
      <c r="H241" s="213"/>
      <c r="I241" s="213"/>
      <c r="J241" s="213"/>
      <c r="K241" s="214"/>
      <c r="L241" s="222"/>
      <c r="M241" s="222"/>
      <c r="N241" s="215"/>
      <c r="O241" s="215"/>
      <c r="P241" s="215"/>
      <c r="Q241" s="215"/>
      <c r="R241" s="216"/>
      <c r="S241" s="217"/>
      <c r="T241" s="218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65"/>
      <c r="AN241" s="222"/>
      <c r="AO241" s="222"/>
      <c r="BO241" s="222"/>
      <c r="BP241" s="222"/>
      <c r="BQ241" s="222"/>
      <c r="BR241" s="222"/>
      <c r="BS241" s="222"/>
      <c r="BT241" s="222"/>
      <c r="BU241" s="222"/>
      <c r="BV241" s="222"/>
      <c r="BW241" s="222"/>
    </row>
    <row r="242" ht="15.0" customHeight="1">
      <c r="A242" s="279"/>
      <c r="C242" s="212"/>
      <c r="D242" s="212"/>
      <c r="E242" s="212"/>
      <c r="F242" s="212"/>
      <c r="G242" s="212"/>
      <c r="H242" s="213"/>
      <c r="I242" s="213"/>
      <c r="J242" s="213"/>
      <c r="K242" s="214"/>
      <c r="L242" s="222"/>
      <c r="M242" s="222"/>
      <c r="N242" s="215"/>
      <c r="O242" s="215"/>
      <c r="P242" s="215"/>
      <c r="Q242" s="215"/>
      <c r="R242" s="216"/>
      <c r="S242" s="217"/>
      <c r="T242" s="218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65"/>
      <c r="AN242" s="222"/>
      <c r="AO242" s="222"/>
      <c r="BO242" s="222"/>
      <c r="BP242" s="222"/>
      <c r="BQ242" s="222"/>
      <c r="BR242" s="222"/>
      <c r="BS242" s="222"/>
      <c r="BT242" s="222"/>
      <c r="BU242" s="222"/>
      <c r="BV242" s="222"/>
      <c r="BW242" s="222"/>
    </row>
    <row r="243" ht="15.0" customHeight="1">
      <c r="A243" s="279"/>
      <c r="C243" s="212"/>
      <c r="D243" s="212"/>
      <c r="E243" s="212"/>
      <c r="F243" s="212"/>
      <c r="G243" s="212"/>
      <c r="H243" s="213"/>
      <c r="I243" s="213"/>
      <c r="J243" s="213"/>
      <c r="K243" s="214"/>
      <c r="L243" s="222"/>
      <c r="M243" s="222"/>
      <c r="N243" s="215"/>
      <c r="O243" s="215"/>
      <c r="P243" s="215"/>
      <c r="Q243" s="215"/>
      <c r="R243" s="216"/>
      <c r="S243" s="217"/>
      <c r="T243" s="218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65"/>
      <c r="AN243" s="222"/>
      <c r="AO243" s="222"/>
      <c r="BO243" s="222"/>
      <c r="BP243" s="222"/>
      <c r="BQ243" s="222"/>
      <c r="BR243" s="222"/>
      <c r="BS243" s="222"/>
      <c r="BT243" s="222"/>
      <c r="BU243" s="222"/>
      <c r="BV243" s="222"/>
      <c r="BW243" s="222"/>
    </row>
    <row r="244" ht="15.0" customHeight="1">
      <c r="A244" s="279"/>
      <c r="C244" s="212"/>
      <c r="D244" s="212"/>
      <c r="E244" s="212"/>
      <c r="F244" s="212"/>
      <c r="G244" s="212"/>
      <c r="H244" s="213"/>
      <c r="I244" s="213"/>
      <c r="J244" s="213"/>
      <c r="K244" s="214"/>
      <c r="L244" s="222"/>
      <c r="M244" s="222"/>
      <c r="N244" s="215"/>
      <c r="O244" s="215"/>
      <c r="P244" s="215"/>
      <c r="Q244" s="215"/>
      <c r="R244" s="216"/>
      <c r="S244" s="217"/>
      <c r="T244" s="218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65"/>
      <c r="AN244" s="222"/>
      <c r="AO244" s="222"/>
      <c r="BO244" s="222"/>
      <c r="BP244" s="222"/>
      <c r="BQ244" s="222"/>
      <c r="BR244" s="222"/>
      <c r="BS244" s="222"/>
      <c r="BT244" s="222"/>
      <c r="BU244" s="222"/>
      <c r="BV244" s="222"/>
      <c r="BW244" s="222"/>
    </row>
    <row r="245" ht="15.75" customHeight="1">
      <c r="L245" s="241"/>
      <c r="M245" s="241"/>
      <c r="Q245" s="301"/>
      <c r="BO245" s="222"/>
      <c r="BP245" s="222"/>
      <c r="BQ245" s="222"/>
      <c r="BR245" s="222"/>
      <c r="BS245" s="222"/>
      <c r="BT245" s="222"/>
      <c r="BU245" s="222"/>
      <c r="BV245" s="222"/>
      <c r="BW245" s="222"/>
    </row>
    <row r="246" ht="15.75" customHeight="1">
      <c r="L246" s="241"/>
      <c r="M246" s="241"/>
      <c r="Q246" s="301"/>
      <c r="BO246" s="222"/>
      <c r="BP246" s="222"/>
      <c r="BQ246" s="222"/>
      <c r="BR246" s="222"/>
      <c r="BS246" s="222"/>
      <c r="BT246" s="222"/>
      <c r="BU246" s="222"/>
      <c r="BV246" s="222"/>
      <c r="BW246" s="222"/>
    </row>
    <row r="247" ht="15.75" customHeight="1">
      <c r="L247" s="241"/>
      <c r="M247" s="241"/>
      <c r="Q247" s="301"/>
      <c r="BO247" s="222"/>
      <c r="BP247" s="222"/>
      <c r="BQ247" s="222"/>
      <c r="BR247" s="222"/>
      <c r="BS247" s="222"/>
      <c r="BT247" s="222"/>
      <c r="BU247" s="222"/>
      <c r="BV247" s="222"/>
      <c r="BW247" s="222"/>
    </row>
    <row r="248" ht="15.75" customHeight="1">
      <c r="L248" s="241"/>
      <c r="M248" s="241"/>
      <c r="Q248" s="301"/>
    </row>
    <row r="249" ht="15.75" customHeight="1">
      <c r="L249" s="241"/>
      <c r="M249" s="241"/>
      <c r="Q249" s="301"/>
    </row>
    <row r="250" ht="15.75" customHeight="1">
      <c r="L250" s="241"/>
      <c r="M250" s="241"/>
      <c r="Q250" s="301"/>
    </row>
    <row r="251" ht="15.75" customHeight="1">
      <c r="L251" s="241"/>
      <c r="M251" s="241"/>
      <c r="Q251" s="301"/>
    </row>
    <row r="252" ht="15.75" customHeight="1">
      <c r="L252" s="241"/>
      <c r="M252" s="241"/>
      <c r="Q252" s="301"/>
    </row>
    <row r="253" ht="15.75" customHeight="1">
      <c r="L253" s="241"/>
      <c r="M253" s="241"/>
      <c r="Q253" s="301"/>
    </row>
    <row r="254" ht="15.75" customHeight="1">
      <c r="L254" s="241"/>
      <c r="M254" s="241"/>
      <c r="Q254" s="301"/>
    </row>
    <row r="255" ht="15.75" customHeight="1">
      <c r="L255" s="241"/>
      <c r="M255" s="241"/>
      <c r="Q255" s="301"/>
    </row>
    <row r="256" ht="15.75" customHeight="1">
      <c r="L256" s="241"/>
      <c r="M256" s="241"/>
      <c r="Q256" s="301"/>
    </row>
    <row r="257" ht="15.75" customHeight="1">
      <c r="L257" s="241"/>
      <c r="M257" s="241"/>
      <c r="Q257" s="301"/>
    </row>
    <row r="258" ht="15.75" customHeight="1">
      <c r="L258" s="241"/>
      <c r="M258" s="241"/>
      <c r="Q258" s="301"/>
    </row>
    <row r="259" ht="15.75" customHeight="1">
      <c r="L259" s="241"/>
      <c r="M259" s="241"/>
      <c r="Q259" s="301"/>
    </row>
    <row r="260" ht="15.75" customHeight="1">
      <c r="L260" s="241"/>
      <c r="M260" s="241"/>
      <c r="Q260" s="301"/>
    </row>
    <row r="261" ht="15.75" customHeight="1">
      <c r="L261" s="241"/>
      <c r="M261" s="241"/>
      <c r="Q261" s="301"/>
    </row>
    <row r="262" ht="15.75" customHeight="1">
      <c r="L262" s="241"/>
      <c r="M262" s="241"/>
      <c r="Q262" s="301"/>
    </row>
    <row r="263" ht="15.75" customHeight="1">
      <c r="L263" s="241"/>
      <c r="M263" s="241"/>
      <c r="Q263" s="301"/>
    </row>
    <row r="264" ht="15.75" customHeight="1">
      <c r="L264" s="241"/>
      <c r="M264" s="241"/>
      <c r="Q264" s="301"/>
    </row>
    <row r="265" ht="15.75" customHeight="1">
      <c r="L265" s="241"/>
      <c r="M265" s="241"/>
      <c r="Q265" s="301"/>
    </row>
    <row r="266" ht="15.75" customHeight="1">
      <c r="L266" s="241"/>
      <c r="M266" s="241"/>
      <c r="Q266" s="301"/>
    </row>
    <row r="267" ht="15.75" customHeight="1">
      <c r="L267" s="241"/>
      <c r="M267" s="241"/>
      <c r="Q267" s="301"/>
    </row>
    <row r="268" ht="15.75" customHeight="1">
      <c r="L268" s="241"/>
      <c r="M268" s="241"/>
      <c r="Q268" s="301"/>
    </row>
    <row r="269" ht="15.75" customHeight="1">
      <c r="L269" s="241"/>
      <c r="M269" s="241"/>
      <c r="Q269" s="301"/>
    </row>
    <row r="270" ht="15.75" customHeight="1">
      <c r="L270" s="241"/>
      <c r="M270" s="241"/>
      <c r="Q270" s="301"/>
    </row>
    <row r="271" ht="15.75" customHeight="1">
      <c r="L271" s="241"/>
      <c r="M271" s="241"/>
      <c r="Q271" s="301"/>
    </row>
    <row r="272" ht="15.75" customHeight="1">
      <c r="L272" s="241"/>
      <c r="M272" s="241"/>
      <c r="Q272" s="301"/>
    </row>
    <row r="273" ht="15.75" customHeight="1">
      <c r="L273" s="241"/>
      <c r="M273" s="241"/>
      <c r="Q273" s="301"/>
    </row>
    <row r="274" ht="15.75" customHeight="1">
      <c r="L274" s="241"/>
      <c r="M274" s="241"/>
      <c r="Q274" s="301"/>
    </row>
    <row r="275" ht="15.75" customHeight="1">
      <c r="L275" s="241"/>
      <c r="M275" s="241"/>
      <c r="Q275" s="301"/>
    </row>
    <row r="276" ht="15.75" customHeight="1">
      <c r="L276" s="241"/>
      <c r="M276" s="241"/>
      <c r="Q276" s="301"/>
    </row>
    <row r="277" ht="15.75" customHeight="1">
      <c r="L277" s="241"/>
      <c r="M277" s="241"/>
      <c r="Q277" s="301"/>
    </row>
    <row r="278" ht="15.75" customHeight="1">
      <c r="L278" s="241"/>
      <c r="M278" s="241"/>
      <c r="Q278" s="301"/>
    </row>
    <row r="279" ht="15.75" customHeight="1">
      <c r="L279" s="241"/>
      <c r="M279" s="241"/>
      <c r="Q279" s="301"/>
    </row>
    <row r="280" ht="15.75" customHeight="1">
      <c r="L280" s="241"/>
      <c r="M280" s="241"/>
      <c r="Q280" s="301"/>
    </row>
    <row r="281" ht="15.75" customHeight="1">
      <c r="L281" s="241"/>
      <c r="M281" s="241"/>
      <c r="Q281" s="301"/>
    </row>
    <row r="282" ht="15.75" customHeight="1">
      <c r="L282" s="241"/>
      <c r="M282" s="241"/>
      <c r="Q282" s="301"/>
    </row>
    <row r="283" ht="15.75" customHeight="1">
      <c r="L283" s="241"/>
      <c r="M283" s="241"/>
      <c r="Q283" s="301"/>
    </row>
    <row r="284" ht="15.75" customHeight="1">
      <c r="L284" s="241"/>
      <c r="M284" s="241"/>
      <c r="Q284" s="301"/>
    </row>
    <row r="285" ht="15.75" customHeight="1">
      <c r="L285" s="241"/>
      <c r="M285" s="241"/>
      <c r="Q285" s="301"/>
    </row>
    <row r="286" ht="15.75" customHeight="1">
      <c r="L286" s="241"/>
      <c r="M286" s="241"/>
      <c r="Q286" s="301"/>
    </row>
    <row r="287" ht="15.75" customHeight="1">
      <c r="L287" s="241"/>
      <c r="M287" s="241"/>
      <c r="Q287" s="301"/>
    </row>
    <row r="288" ht="15.75" customHeight="1">
      <c r="L288" s="241"/>
      <c r="M288" s="241"/>
      <c r="Q288" s="301"/>
    </row>
    <row r="289" ht="15.75" customHeight="1">
      <c r="L289" s="241"/>
      <c r="M289" s="241"/>
      <c r="Q289" s="301"/>
    </row>
    <row r="290" ht="15.75" customHeight="1">
      <c r="L290" s="241"/>
      <c r="M290" s="241"/>
      <c r="Q290" s="301"/>
    </row>
    <row r="291" ht="15.75" customHeight="1">
      <c r="L291" s="241"/>
      <c r="M291" s="241"/>
      <c r="Q291" s="301"/>
    </row>
    <row r="292" ht="15.75" customHeight="1">
      <c r="L292" s="241"/>
      <c r="M292" s="241"/>
      <c r="Q292" s="301"/>
    </row>
    <row r="293" ht="15.75" customHeight="1">
      <c r="L293" s="241"/>
      <c r="M293" s="241"/>
      <c r="Q293" s="301"/>
    </row>
    <row r="294" ht="15.75" customHeight="1">
      <c r="L294" s="241"/>
      <c r="M294" s="241"/>
      <c r="Q294" s="301"/>
    </row>
    <row r="295" ht="15.75" customHeight="1">
      <c r="L295" s="241"/>
      <c r="M295" s="241"/>
      <c r="Q295" s="301"/>
    </row>
    <row r="296" ht="15.75" customHeight="1">
      <c r="L296" s="241"/>
      <c r="M296" s="241"/>
      <c r="Q296" s="301"/>
    </row>
    <row r="297" ht="15.75" customHeight="1">
      <c r="L297" s="241"/>
      <c r="M297" s="241"/>
      <c r="Q297" s="301"/>
    </row>
    <row r="298" ht="15.75" customHeight="1">
      <c r="L298" s="241"/>
      <c r="M298" s="241"/>
      <c r="Q298" s="301"/>
    </row>
    <row r="299" ht="15.75" customHeight="1">
      <c r="L299" s="241"/>
      <c r="M299" s="241"/>
      <c r="Q299" s="301"/>
    </row>
    <row r="300" ht="15.75" customHeight="1">
      <c r="L300" s="241"/>
      <c r="M300" s="241"/>
      <c r="Q300" s="301"/>
    </row>
    <row r="301" ht="15.75" customHeight="1">
      <c r="L301" s="241"/>
      <c r="M301" s="241"/>
      <c r="Q301" s="301"/>
    </row>
    <row r="302" ht="15.75" customHeight="1">
      <c r="L302" s="241"/>
      <c r="M302" s="241"/>
      <c r="Q302" s="301"/>
    </row>
    <row r="303" ht="15.75" customHeight="1">
      <c r="L303" s="241"/>
      <c r="M303" s="241"/>
      <c r="Q303" s="301"/>
    </row>
    <row r="304" ht="15.75" customHeight="1">
      <c r="L304" s="241"/>
      <c r="M304" s="241"/>
      <c r="Q304" s="301"/>
    </row>
    <row r="305" ht="15.75" customHeight="1">
      <c r="L305" s="241"/>
      <c r="M305" s="241"/>
      <c r="Q305" s="301"/>
    </row>
    <row r="306" ht="15.75" customHeight="1">
      <c r="L306" s="241"/>
      <c r="M306" s="241"/>
      <c r="Q306" s="301"/>
    </row>
    <row r="307" ht="15.75" customHeight="1">
      <c r="L307" s="241"/>
      <c r="M307" s="241"/>
      <c r="Q307" s="301"/>
    </row>
    <row r="308" ht="15.75" customHeight="1">
      <c r="L308" s="241"/>
      <c r="M308" s="241"/>
      <c r="Q308" s="301"/>
    </row>
    <row r="309" ht="15.75" customHeight="1">
      <c r="L309" s="241"/>
      <c r="M309" s="241"/>
      <c r="Q309" s="301"/>
    </row>
    <row r="310" ht="15.75" customHeight="1">
      <c r="L310" s="241"/>
      <c r="M310" s="241"/>
      <c r="Q310" s="301"/>
    </row>
    <row r="311" ht="15.75" customHeight="1">
      <c r="L311" s="241"/>
      <c r="M311" s="241"/>
      <c r="Q311" s="301"/>
    </row>
    <row r="312" ht="15.75" customHeight="1">
      <c r="L312" s="241"/>
      <c r="M312" s="241"/>
      <c r="Q312" s="301"/>
    </row>
    <row r="313" ht="15.75" customHeight="1">
      <c r="L313" s="241"/>
      <c r="M313" s="241"/>
      <c r="Q313" s="301"/>
    </row>
    <row r="314" ht="15.75" customHeight="1">
      <c r="L314" s="241"/>
      <c r="M314" s="241"/>
      <c r="Q314" s="301"/>
    </row>
    <row r="315" ht="15.75" customHeight="1">
      <c r="L315" s="241"/>
      <c r="M315" s="241"/>
      <c r="Q315" s="301"/>
    </row>
    <row r="316" ht="15.75" customHeight="1">
      <c r="L316" s="241"/>
      <c r="M316" s="241"/>
      <c r="Q316" s="301"/>
    </row>
    <row r="317" ht="15.75" customHeight="1">
      <c r="L317" s="241"/>
      <c r="M317" s="241"/>
      <c r="Q317" s="301"/>
    </row>
    <row r="318" ht="15.75" customHeight="1">
      <c r="L318" s="241"/>
      <c r="M318" s="241"/>
      <c r="Q318" s="301"/>
    </row>
    <row r="319" ht="15.75" customHeight="1">
      <c r="L319" s="241"/>
      <c r="M319" s="241"/>
      <c r="Q319" s="301"/>
    </row>
    <row r="320" ht="15.75" customHeight="1">
      <c r="L320" s="241"/>
      <c r="M320" s="241"/>
      <c r="Q320" s="301"/>
    </row>
    <row r="321" ht="15.75" customHeight="1">
      <c r="L321" s="241"/>
      <c r="M321" s="241"/>
      <c r="Q321" s="301"/>
    </row>
    <row r="322" ht="15.75" customHeight="1">
      <c r="L322" s="241"/>
      <c r="M322" s="241"/>
      <c r="Q322" s="301"/>
    </row>
    <row r="323" ht="15.75" customHeight="1">
      <c r="L323" s="241"/>
      <c r="M323" s="241"/>
      <c r="Q323" s="301"/>
    </row>
    <row r="324" ht="15.75" customHeight="1">
      <c r="L324" s="241"/>
      <c r="M324" s="241"/>
      <c r="Q324" s="301"/>
    </row>
    <row r="325" ht="15.75" customHeight="1">
      <c r="L325" s="241"/>
      <c r="M325" s="241"/>
      <c r="Q325" s="301"/>
    </row>
    <row r="326" ht="15.75" customHeight="1">
      <c r="L326" s="241"/>
      <c r="M326" s="241"/>
      <c r="Q326" s="301"/>
    </row>
    <row r="327" ht="15.75" customHeight="1">
      <c r="L327" s="241"/>
      <c r="M327" s="241"/>
      <c r="Q327" s="301"/>
    </row>
    <row r="328" ht="15.75" customHeight="1">
      <c r="L328" s="241"/>
      <c r="M328" s="241"/>
      <c r="Q328" s="301"/>
    </row>
    <row r="329" ht="15.75" customHeight="1">
      <c r="L329" s="241"/>
      <c r="M329" s="241"/>
      <c r="Q329" s="301"/>
    </row>
    <row r="330" ht="15.75" customHeight="1">
      <c r="L330" s="241"/>
      <c r="M330" s="241"/>
      <c r="Q330" s="301"/>
    </row>
    <row r="331" ht="15.75" customHeight="1">
      <c r="L331" s="241"/>
      <c r="M331" s="241"/>
      <c r="Q331" s="301"/>
    </row>
    <row r="332" ht="15.75" customHeight="1">
      <c r="L332" s="241"/>
      <c r="M332" s="241"/>
      <c r="Q332" s="301"/>
    </row>
    <row r="333" ht="15.75" customHeight="1">
      <c r="L333" s="241"/>
      <c r="M333" s="241"/>
      <c r="Q333" s="301"/>
    </row>
    <row r="334" ht="15.75" customHeight="1">
      <c r="L334" s="241"/>
      <c r="M334" s="241"/>
      <c r="Q334" s="301"/>
    </row>
    <row r="335" ht="15.75" customHeight="1">
      <c r="L335" s="241"/>
      <c r="M335" s="241"/>
      <c r="Q335" s="301"/>
    </row>
    <row r="336" ht="15.75" customHeight="1">
      <c r="L336" s="241"/>
      <c r="M336" s="241"/>
      <c r="Q336" s="301"/>
    </row>
    <row r="337" ht="15.75" customHeight="1">
      <c r="L337" s="241"/>
      <c r="M337" s="241"/>
      <c r="Q337" s="301"/>
    </row>
    <row r="338" ht="15.75" customHeight="1">
      <c r="L338" s="241"/>
      <c r="M338" s="241"/>
      <c r="Q338" s="301"/>
    </row>
    <row r="339" ht="15.75" customHeight="1">
      <c r="L339" s="241"/>
      <c r="M339" s="241"/>
      <c r="Q339" s="301"/>
    </row>
    <row r="340" ht="15.75" customHeight="1">
      <c r="L340" s="241"/>
      <c r="M340" s="241"/>
      <c r="Q340" s="301"/>
    </row>
    <row r="341" ht="15.75" customHeight="1">
      <c r="L341" s="241"/>
      <c r="M341" s="241"/>
      <c r="Q341" s="301"/>
    </row>
    <row r="342" ht="15.75" customHeight="1">
      <c r="L342" s="241"/>
      <c r="M342" s="241"/>
      <c r="Q342" s="301"/>
    </row>
    <row r="343" ht="15.75" customHeight="1">
      <c r="L343" s="241"/>
      <c r="M343" s="241"/>
      <c r="Q343" s="301"/>
    </row>
    <row r="344" ht="15.75" customHeight="1">
      <c r="L344" s="241"/>
      <c r="M344" s="241"/>
      <c r="Q344" s="301"/>
    </row>
    <row r="345" ht="15.75" customHeight="1">
      <c r="L345" s="241"/>
      <c r="M345" s="241"/>
      <c r="Q345" s="301"/>
    </row>
    <row r="346" ht="15.75" customHeight="1">
      <c r="L346" s="241"/>
      <c r="M346" s="241"/>
      <c r="Q346" s="301"/>
    </row>
    <row r="347" ht="15.75" customHeight="1">
      <c r="L347" s="241"/>
      <c r="M347" s="241"/>
      <c r="Q347" s="301"/>
    </row>
    <row r="348" ht="15.75" customHeight="1">
      <c r="L348" s="241"/>
      <c r="M348" s="241"/>
      <c r="Q348" s="301"/>
    </row>
    <row r="349" ht="15.75" customHeight="1">
      <c r="L349" s="241"/>
      <c r="M349" s="241"/>
      <c r="Q349" s="301"/>
    </row>
    <row r="350" ht="15.75" customHeight="1">
      <c r="L350" s="241"/>
      <c r="M350" s="241"/>
      <c r="Q350" s="301"/>
    </row>
    <row r="351" ht="15.75" customHeight="1">
      <c r="L351" s="241"/>
      <c r="M351" s="241"/>
      <c r="Q351" s="301"/>
    </row>
    <row r="352" ht="15.75" customHeight="1">
      <c r="L352" s="241"/>
      <c r="M352" s="241"/>
      <c r="Q352" s="301"/>
    </row>
    <row r="353" ht="15.75" customHeight="1">
      <c r="L353" s="241"/>
      <c r="M353" s="241"/>
      <c r="Q353" s="301"/>
    </row>
    <row r="354" ht="15.75" customHeight="1">
      <c r="L354" s="241"/>
      <c r="M354" s="241"/>
      <c r="Q354" s="301"/>
    </row>
    <row r="355" ht="15.75" customHeight="1">
      <c r="L355" s="241"/>
      <c r="M355" s="241"/>
      <c r="Q355" s="301"/>
    </row>
    <row r="356" ht="15.75" customHeight="1">
      <c r="L356" s="241"/>
      <c r="M356" s="241"/>
      <c r="Q356" s="301"/>
    </row>
    <row r="357" ht="15.75" customHeight="1">
      <c r="L357" s="241"/>
      <c r="M357" s="241"/>
      <c r="Q357" s="301"/>
    </row>
    <row r="358" ht="15.75" customHeight="1">
      <c r="L358" s="241"/>
      <c r="M358" s="241"/>
      <c r="Q358" s="301"/>
    </row>
    <row r="359" ht="15.75" customHeight="1">
      <c r="L359" s="241"/>
      <c r="M359" s="241"/>
      <c r="Q359" s="301"/>
    </row>
    <row r="360" ht="15.75" customHeight="1">
      <c r="L360" s="241"/>
      <c r="M360" s="241"/>
      <c r="Q360" s="301"/>
    </row>
    <row r="361" ht="15.75" customHeight="1">
      <c r="L361" s="241"/>
      <c r="M361" s="241"/>
      <c r="Q361" s="301"/>
    </row>
    <row r="362" ht="15.75" customHeight="1">
      <c r="L362" s="241"/>
      <c r="M362" s="241"/>
      <c r="Q362" s="301"/>
    </row>
    <row r="363" ht="15.75" customHeight="1">
      <c r="L363" s="241"/>
      <c r="M363" s="241"/>
      <c r="Q363" s="301"/>
    </row>
    <row r="364" ht="15.75" customHeight="1">
      <c r="L364" s="241"/>
      <c r="M364" s="241"/>
      <c r="Q364" s="301"/>
    </row>
    <row r="365" ht="15.75" customHeight="1">
      <c r="L365" s="241"/>
      <c r="M365" s="241"/>
      <c r="Q365" s="301"/>
    </row>
    <row r="366" ht="15.75" customHeight="1">
      <c r="L366" s="241"/>
      <c r="M366" s="241"/>
      <c r="Q366" s="301"/>
    </row>
    <row r="367" ht="15.75" customHeight="1">
      <c r="L367" s="241"/>
      <c r="M367" s="241"/>
      <c r="Q367" s="301"/>
    </row>
    <row r="368" ht="15.75" customHeight="1">
      <c r="L368" s="241"/>
      <c r="M368" s="241"/>
      <c r="Q368" s="301"/>
    </row>
    <row r="369" ht="15.75" customHeight="1">
      <c r="L369" s="241"/>
      <c r="M369" s="241"/>
      <c r="Q369" s="301"/>
    </row>
    <row r="370" ht="15.75" customHeight="1">
      <c r="L370" s="241"/>
      <c r="M370" s="241"/>
      <c r="Q370" s="301"/>
    </row>
    <row r="371" ht="15.75" customHeight="1">
      <c r="L371" s="241"/>
      <c r="M371" s="241"/>
      <c r="Q371" s="301"/>
    </row>
    <row r="372" ht="15.75" customHeight="1">
      <c r="L372" s="241"/>
      <c r="M372" s="241"/>
      <c r="Q372" s="301"/>
    </row>
    <row r="373" ht="15.75" customHeight="1">
      <c r="L373" s="241"/>
      <c r="M373" s="241"/>
      <c r="Q373" s="301"/>
    </row>
    <row r="374" ht="15.75" customHeight="1">
      <c r="L374" s="241"/>
      <c r="M374" s="241"/>
      <c r="Q374" s="301"/>
    </row>
    <row r="375" ht="15.75" customHeight="1">
      <c r="L375" s="241"/>
      <c r="M375" s="241"/>
      <c r="Q375" s="301"/>
    </row>
    <row r="376" ht="15.75" customHeight="1">
      <c r="L376" s="241"/>
      <c r="M376" s="241"/>
      <c r="Q376" s="301"/>
    </row>
    <row r="377" ht="15.75" customHeight="1">
      <c r="L377" s="241"/>
      <c r="M377" s="241"/>
      <c r="Q377" s="301"/>
    </row>
    <row r="378" ht="15.75" customHeight="1">
      <c r="L378" s="241"/>
      <c r="M378" s="241"/>
      <c r="Q378" s="301"/>
    </row>
    <row r="379" ht="15.75" customHeight="1">
      <c r="L379" s="241"/>
      <c r="M379" s="241"/>
      <c r="Q379" s="301"/>
    </row>
    <row r="380" ht="15.75" customHeight="1">
      <c r="L380" s="241"/>
      <c r="M380" s="241"/>
      <c r="Q380" s="301"/>
    </row>
    <row r="381" ht="15.75" customHeight="1">
      <c r="L381" s="241"/>
      <c r="M381" s="241"/>
      <c r="Q381" s="301"/>
    </row>
    <row r="382" ht="15.75" customHeight="1">
      <c r="L382" s="241"/>
      <c r="M382" s="241"/>
      <c r="Q382" s="301"/>
    </row>
    <row r="383" ht="15.75" customHeight="1">
      <c r="L383" s="241"/>
      <c r="M383" s="241"/>
      <c r="Q383" s="301"/>
    </row>
    <row r="384" ht="15.75" customHeight="1">
      <c r="L384" s="241"/>
      <c r="M384" s="241"/>
      <c r="Q384" s="301"/>
    </row>
    <row r="385" ht="15.75" customHeight="1">
      <c r="L385" s="241"/>
      <c r="M385" s="241"/>
      <c r="Q385" s="301"/>
    </row>
    <row r="386" ht="15.75" customHeight="1">
      <c r="L386" s="241"/>
      <c r="M386" s="241"/>
      <c r="Q386" s="301"/>
    </row>
    <row r="387" ht="15.75" customHeight="1">
      <c r="L387" s="241"/>
      <c r="M387" s="241"/>
      <c r="Q387" s="301"/>
    </row>
    <row r="388" ht="15.75" customHeight="1">
      <c r="L388" s="241"/>
      <c r="M388" s="241"/>
      <c r="Q388" s="301"/>
    </row>
    <row r="389" ht="15.75" customHeight="1">
      <c r="L389" s="241"/>
      <c r="M389" s="241"/>
      <c r="Q389" s="301"/>
    </row>
    <row r="390" ht="15.75" customHeight="1">
      <c r="L390" s="241"/>
      <c r="M390" s="241"/>
      <c r="Q390" s="301"/>
    </row>
    <row r="391" ht="15.75" customHeight="1">
      <c r="L391" s="241"/>
      <c r="M391" s="241"/>
      <c r="Q391" s="301"/>
    </row>
    <row r="392" ht="15.75" customHeight="1">
      <c r="L392" s="241"/>
      <c r="M392" s="241"/>
      <c r="Q392" s="301"/>
    </row>
    <row r="393" ht="15.75" customHeight="1">
      <c r="L393" s="241"/>
      <c r="M393" s="241"/>
      <c r="Q393" s="301"/>
    </row>
    <row r="394" ht="15.75" customHeight="1">
      <c r="L394" s="241"/>
      <c r="M394" s="241"/>
      <c r="Q394" s="301"/>
    </row>
    <row r="395" ht="15.75" customHeight="1">
      <c r="L395" s="241"/>
      <c r="M395" s="241"/>
      <c r="Q395" s="301"/>
    </row>
    <row r="396" ht="15.75" customHeight="1">
      <c r="L396" s="241"/>
      <c r="M396" s="241"/>
      <c r="Q396" s="301"/>
    </row>
    <row r="397" ht="15.75" customHeight="1">
      <c r="L397" s="241"/>
      <c r="M397" s="241"/>
      <c r="Q397" s="301"/>
    </row>
    <row r="398" ht="15.75" customHeight="1">
      <c r="L398" s="241"/>
      <c r="M398" s="241"/>
      <c r="Q398" s="301"/>
    </row>
    <row r="399" ht="15.75" customHeight="1">
      <c r="L399" s="241"/>
      <c r="M399" s="241"/>
      <c r="Q399" s="301"/>
    </row>
    <row r="400" ht="15.75" customHeight="1">
      <c r="L400" s="241"/>
      <c r="M400" s="241"/>
      <c r="Q400" s="301"/>
    </row>
    <row r="401" ht="15.75" customHeight="1">
      <c r="L401" s="241"/>
      <c r="M401" s="241"/>
      <c r="Q401" s="301"/>
    </row>
    <row r="402" ht="15.75" customHeight="1">
      <c r="L402" s="241"/>
      <c r="M402" s="241"/>
      <c r="Q402" s="301"/>
    </row>
    <row r="403" ht="15.75" customHeight="1">
      <c r="L403" s="241"/>
      <c r="M403" s="241"/>
      <c r="Q403" s="301"/>
    </row>
    <row r="404" ht="15.75" customHeight="1">
      <c r="L404" s="241"/>
      <c r="M404" s="241"/>
      <c r="Q404" s="301"/>
    </row>
    <row r="405" ht="15.75" customHeight="1">
      <c r="L405" s="241"/>
      <c r="M405" s="241"/>
      <c r="Q405" s="301"/>
    </row>
    <row r="406" ht="15.75" customHeight="1">
      <c r="L406" s="241"/>
      <c r="M406" s="241"/>
      <c r="Q406" s="301"/>
    </row>
    <row r="407" ht="15.75" customHeight="1">
      <c r="L407" s="241"/>
      <c r="M407" s="241"/>
      <c r="Q407" s="301"/>
    </row>
    <row r="408" ht="15.75" customHeight="1">
      <c r="L408" s="241"/>
      <c r="M408" s="241"/>
      <c r="Q408" s="301"/>
    </row>
    <row r="409" ht="15.75" customHeight="1">
      <c r="L409" s="241"/>
      <c r="M409" s="241"/>
      <c r="Q409" s="301"/>
    </row>
    <row r="410" ht="15.75" customHeight="1">
      <c r="L410" s="241"/>
      <c r="M410" s="241"/>
      <c r="Q410" s="301"/>
    </row>
    <row r="411" ht="15.75" customHeight="1">
      <c r="L411" s="241"/>
      <c r="M411" s="241"/>
      <c r="Q411" s="301"/>
    </row>
    <row r="412" ht="15.75" customHeight="1">
      <c r="L412" s="241"/>
      <c r="M412" s="241"/>
      <c r="Q412" s="301"/>
    </row>
    <row r="413" ht="15.75" customHeight="1">
      <c r="L413" s="241"/>
      <c r="M413" s="241"/>
      <c r="Q413" s="301"/>
    </row>
    <row r="414" ht="15.75" customHeight="1">
      <c r="L414" s="241"/>
      <c r="M414" s="241"/>
      <c r="Q414" s="301"/>
    </row>
    <row r="415" ht="15.75" customHeight="1">
      <c r="L415" s="241"/>
      <c r="M415" s="241"/>
      <c r="Q415" s="301"/>
    </row>
    <row r="416" ht="15.75" customHeight="1">
      <c r="L416" s="241"/>
      <c r="M416" s="241"/>
      <c r="Q416" s="301"/>
    </row>
    <row r="417" ht="15.75" customHeight="1">
      <c r="L417" s="241"/>
      <c r="M417" s="241"/>
      <c r="Q417" s="301"/>
    </row>
    <row r="418" ht="15.75" customHeight="1">
      <c r="L418" s="241"/>
      <c r="M418" s="241"/>
      <c r="Q418" s="301"/>
    </row>
    <row r="419" ht="15.75" customHeight="1">
      <c r="L419" s="241"/>
      <c r="M419" s="241"/>
      <c r="Q419" s="301"/>
    </row>
    <row r="420" ht="15.75" customHeight="1">
      <c r="L420" s="241"/>
      <c r="M420" s="241"/>
      <c r="Q420" s="301"/>
    </row>
    <row r="421" ht="15.75" customHeight="1">
      <c r="L421" s="241"/>
      <c r="M421" s="241"/>
      <c r="Q421" s="301"/>
    </row>
    <row r="422" ht="15.75" customHeight="1">
      <c r="L422" s="241"/>
      <c r="M422" s="241"/>
      <c r="Q422" s="301"/>
    </row>
    <row r="423" ht="15.75" customHeight="1">
      <c r="L423" s="241"/>
      <c r="M423" s="241"/>
      <c r="Q423" s="301"/>
    </row>
    <row r="424" ht="15.75" customHeight="1">
      <c r="L424" s="241"/>
      <c r="M424" s="241"/>
      <c r="Q424" s="301"/>
    </row>
    <row r="425" ht="15.75" customHeight="1">
      <c r="L425" s="241"/>
      <c r="M425" s="241"/>
      <c r="Q425" s="301"/>
    </row>
    <row r="426" ht="15.75" customHeight="1">
      <c r="L426" s="241"/>
      <c r="M426" s="241"/>
      <c r="Q426" s="301"/>
    </row>
    <row r="427" ht="15.75" customHeight="1">
      <c r="L427" s="241"/>
      <c r="M427" s="241"/>
      <c r="Q427" s="301"/>
    </row>
    <row r="428" ht="15.75" customHeight="1">
      <c r="L428" s="241"/>
      <c r="M428" s="241"/>
      <c r="Q428" s="301"/>
    </row>
    <row r="429" ht="15.75" customHeight="1">
      <c r="L429" s="241"/>
      <c r="M429" s="241"/>
      <c r="Q429" s="301"/>
    </row>
    <row r="430" ht="15.75" customHeight="1">
      <c r="L430" s="241"/>
      <c r="M430" s="241"/>
      <c r="Q430" s="301"/>
    </row>
    <row r="431" ht="15.75" customHeight="1">
      <c r="L431" s="241"/>
      <c r="M431" s="241"/>
      <c r="Q431" s="301"/>
    </row>
    <row r="432" ht="15.75" customHeight="1">
      <c r="L432" s="241"/>
      <c r="M432" s="241"/>
      <c r="Q432" s="301"/>
    </row>
    <row r="433" ht="15.75" customHeight="1">
      <c r="L433" s="241"/>
      <c r="M433" s="241"/>
      <c r="Q433" s="301"/>
    </row>
    <row r="434" ht="15.75" customHeight="1">
      <c r="L434" s="241"/>
      <c r="M434" s="241"/>
      <c r="Q434" s="301"/>
    </row>
    <row r="435" ht="15.75" customHeight="1">
      <c r="L435" s="241"/>
      <c r="M435" s="241"/>
      <c r="Q435" s="301"/>
    </row>
    <row r="436" ht="15.75" customHeight="1">
      <c r="L436" s="241"/>
      <c r="M436" s="241"/>
      <c r="Q436" s="301"/>
    </row>
    <row r="437" ht="15.75" customHeight="1">
      <c r="L437" s="241"/>
      <c r="M437" s="241"/>
      <c r="Q437" s="301"/>
    </row>
    <row r="438" ht="15.75" customHeight="1">
      <c r="L438" s="241"/>
      <c r="M438" s="241"/>
      <c r="Q438" s="301"/>
    </row>
    <row r="439" ht="15.75" customHeight="1">
      <c r="L439" s="241"/>
      <c r="M439" s="241"/>
      <c r="Q439" s="301"/>
    </row>
    <row r="440" ht="15.75" customHeight="1">
      <c r="L440" s="241"/>
      <c r="M440" s="241"/>
      <c r="Q440" s="301"/>
    </row>
    <row r="441" ht="15.75" customHeight="1">
      <c r="L441" s="241"/>
      <c r="M441" s="241"/>
      <c r="Q441" s="301"/>
    </row>
    <row r="442" ht="15.75" customHeight="1">
      <c r="L442" s="241"/>
      <c r="M442" s="241"/>
      <c r="Q442" s="301"/>
    </row>
    <row r="443" ht="15.75" customHeight="1">
      <c r="L443" s="241"/>
      <c r="M443" s="241"/>
      <c r="Q443" s="301"/>
    </row>
    <row r="444" ht="15.75" customHeight="1">
      <c r="L444" s="241"/>
      <c r="M444" s="241"/>
      <c r="Q444" s="301"/>
    </row>
    <row r="445" ht="15.75" customHeight="1">
      <c r="L445" s="241"/>
      <c r="M445" s="241"/>
      <c r="Q445" s="301"/>
    </row>
    <row r="446" ht="15.75" customHeight="1">
      <c r="L446" s="241"/>
      <c r="M446" s="241"/>
      <c r="Q446" s="301"/>
    </row>
    <row r="447" ht="15.75" customHeight="1">
      <c r="L447" s="241"/>
      <c r="M447" s="241"/>
      <c r="Q447" s="301"/>
    </row>
    <row r="448" ht="15.75" customHeight="1">
      <c r="L448" s="241"/>
      <c r="M448" s="241"/>
      <c r="Q448" s="301"/>
    </row>
    <row r="449" ht="15.75" customHeight="1">
      <c r="L449" s="241"/>
      <c r="M449" s="241"/>
      <c r="Q449" s="301"/>
    </row>
    <row r="450" ht="15.75" customHeight="1">
      <c r="L450" s="241"/>
      <c r="M450" s="241"/>
      <c r="Q450" s="301"/>
    </row>
    <row r="451" ht="15.75" customHeight="1">
      <c r="L451" s="241"/>
      <c r="M451" s="241"/>
      <c r="Q451" s="301"/>
    </row>
    <row r="452" ht="15.75" customHeight="1">
      <c r="L452" s="241"/>
      <c r="M452" s="241"/>
      <c r="Q452" s="301"/>
    </row>
    <row r="453" ht="15.75" customHeight="1">
      <c r="L453" s="241"/>
      <c r="M453" s="241"/>
      <c r="Q453" s="301"/>
    </row>
    <row r="454" ht="15.75" customHeight="1">
      <c r="L454" s="241"/>
      <c r="M454" s="241"/>
      <c r="Q454" s="301"/>
    </row>
    <row r="455" ht="15.75" customHeight="1">
      <c r="L455" s="241"/>
      <c r="M455" s="241"/>
      <c r="Q455" s="301"/>
    </row>
    <row r="456" ht="15.75" customHeight="1">
      <c r="L456" s="241"/>
      <c r="M456" s="241"/>
      <c r="Q456" s="301"/>
    </row>
    <row r="457" ht="15.75" customHeight="1">
      <c r="L457" s="241"/>
      <c r="M457" s="241"/>
      <c r="Q457" s="301"/>
    </row>
    <row r="458" ht="15.75" customHeight="1">
      <c r="L458" s="241"/>
      <c r="M458" s="241"/>
      <c r="Q458" s="301"/>
    </row>
    <row r="459" ht="15.75" customHeight="1">
      <c r="L459" s="241"/>
      <c r="M459" s="241"/>
      <c r="Q459" s="301"/>
    </row>
    <row r="460" ht="15.75" customHeight="1">
      <c r="L460" s="241"/>
      <c r="M460" s="241"/>
      <c r="Q460" s="301"/>
    </row>
    <row r="461" ht="15.75" customHeight="1">
      <c r="L461" s="241"/>
      <c r="M461" s="241"/>
      <c r="Q461" s="301"/>
    </row>
    <row r="462" ht="15.75" customHeight="1">
      <c r="L462" s="241"/>
      <c r="M462" s="241"/>
      <c r="Q462" s="301"/>
    </row>
    <row r="463" ht="15.75" customHeight="1">
      <c r="L463" s="241"/>
      <c r="M463" s="241"/>
      <c r="Q463" s="301"/>
    </row>
    <row r="464" ht="15.75" customHeight="1">
      <c r="L464" s="241"/>
      <c r="M464" s="241"/>
      <c r="Q464" s="301"/>
    </row>
    <row r="465" ht="15.75" customHeight="1">
      <c r="L465" s="241"/>
      <c r="M465" s="241"/>
      <c r="Q465" s="301"/>
    </row>
    <row r="466" ht="15.75" customHeight="1">
      <c r="L466" s="241"/>
      <c r="M466" s="241"/>
      <c r="Q466" s="301"/>
    </row>
    <row r="467" ht="15.75" customHeight="1">
      <c r="L467" s="241"/>
      <c r="M467" s="241"/>
      <c r="Q467" s="301"/>
    </row>
    <row r="468" ht="15.75" customHeight="1">
      <c r="L468" s="241"/>
      <c r="M468" s="241"/>
      <c r="Q468" s="301"/>
    </row>
    <row r="469" ht="15.75" customHeight="1">
      <c r="L469" s="241"/>
      <c r="M469" s="241"/>
      <c r="Q469" s="301"/>
    </row>
    <row r="470" ht="15.75" customHeight="1">
      <c r="L470" s="241"/>
      <c r="M470" s="241"/>
      <c r="Q470" s="301"/>
    </row>
    <row r="471" ht="15.75" customHeight="1">
      <c r="L471" s="241"/>
      <c r="M471" s="241"/>
      <c r="Q471" s="301"/>
    </row>
    <row r="472" ht="15.75" customHeight="1">
      <c r="L472" s="241"/>
      <c r="M472" s="241"/>
      <c r="Q472" s="301"/>
    </row>
    <row r="473" ht="15.75" customHeight="1">
      <c r="L473" s="241"/>
      <c r="M473" s="241"/>
      <c r="Q473" s="301"/>
    </row>
    <row r="474" ht="15.75" customHeight="1">
      <c r="L474" s="241"/>
      <c r="M474" s="241"/>
      <c r="Q474" s="301"/>
    </row>
    <row r="475" ht="15.75" customHeight="1">
      <c r="L475" s="241"/>
      <c r="M475" s="241"/>
      <c r="Q475" s="301"/>
    </row>
    <row r="476" ht="15.75" customHeight="1">
      <c r="L476" s="241"/>
      <c r="M476" s="241"/>
      <c r="Q476" s="301"/>
    </row>
    <row r="477" ht="15.75" customHeight="1">
      <c r="L477" s="241"/>
      <c r="M477" s="241"/>
      <c r="Q477" s="301"/>
    </row>
    <row r="478" ht="15.75" customHeight="1">
      <c r="L478" s="241"/>
      <c r="M478" s="241"/>
      <c r="Q478" s="301"/>
    </row>
    <row r="479" ht="15.75" customHeight="1">
      <c r="L479" s="241"/>
      <c r="M479" s="241"/>
      <c r="Q479" s="301"/>
    </row>
    <row r="480" ht="15.75" customHeight="1">
      <c r="L480" s="241"/>
      <c r="M480" s="241"/>
      <c r="Q480" s="301"/>
    </row>
    <row r="481" ht="15.75" customHeight="1">
      <c r="L481" s="241"/>
      <c r="M481" s="241"/>
      <c r="Q481" s="301"/>
    </row>
    <row r="482" ht="15.75" customHeight="1">
      <c r="L482" s="241"/>
      <c r="M482" s="241"/>
      <c r="Q482" s="301"/>
    </row>
    <row r="483" ht="15.75" customHeight="1">
      <c r="L483" s="241"/>
      <c r="M483" s="241"/>
      <c r="Q483" s="301"/>
    </row>
    <row r="484" ht="15.75" customHeight="1">
      <c r="L484" s="241"/>
      <c r="M484" s="241"/>
      <c r="Q484" s="301"/>
    </row>
    <row r="485" ht="15.75" customHeight="1">
      <c r="L485" s="241"/>
      <c r="M485" s="241"/>
      <c r="Q485" s="301"/>
    </row>
    <row r="486" ht="15.75" customHeight="1">
      <c r="L486" s="241"/>
      <c r="M486" s="241"/>
      <c r="Q486" s="301"/>
    </row>
    <row r="487" ht="15.75" customHeight="1">
      <c r="L487" s="241"/>
      <c r="M487" s="241"/>
      <c r="Q487" s="301"/>
    </row>
    <row r="488" ht="15.75" customHeight="1">
      <c r="L488" s="241"/>
      <c r="M488" s="241"/>
      <c r="Q488" s="301"/>
    </row>
    <row r="489" ht="15.75" customHeight="1">
      <c r="L489" s="241"/>
      <c r="M489" s="241"/>
      <c r="Q489" s="301"/>
    </row>
    <row r="490" ht="15.75" customHeight="1">
      <c r="L490" s="241"/>
      <c r="M490" s="241"/>
      <c r="Q490" s="301"/>
    </row>
    <row r="491" ht="15.75" customHeight="1">
      <c r="L491" s="241"/>
      <c r="M491" s="241"/>
      <c r="Q491" s="301"/>
    </row>
    <row r="492" ht="15.75" customHeight="1">
      <c r="L492" s="241"/>
      <c r="M492" s="241"/>
      <c r="Q492" s="301"/>
    </row>
    <row r="493" ht="15.75" customHeight="1">
      <c r="L493" s="241"/>
      <c r="M493" s="241"/>
      <c r="Q493" s="301"/>
    </row>
    <row r="494" ht="15.75" customHeight="1">
      <c r="L494" s="241"/>
      <c r="M494" s="241"/>
      <c r="Q494" s="301"/>
    </row>
    <row r="495" ht="15.75" customHeight="1">
      <c r="L495" s="241"/>
      <c r="M495" s="241"/>
      <c r="Q495" s="301"/>
    </row>
    <row r="496" ht="15.75" customHeight="1">
      <c r="L496" s="241"/>
      <c r="M496" s="241"/>
      <c r="Q496" s="301"/>
    </row>
    <row r="497" ht="15.75" customHeight="1">
      <c r="L497" s="241"/>
      <c r="M497" s="241"/>
      <c r="Q497" s="301"/>
    </row>
    <row r="498" ht="15.75" customHeight="1">
      <c r="L498" s="241"/>
      <c r="M498" s="241"/>
      <c r="Q498" s="301"/>
    </row>
    <row r="499" ht="15.75" customHeight="1">
      <c r="L499" s="241"/>
      <c r="M499" s="241"/>
      <c r="Q499" s="301"/>
    </row>
    <row r="500" ht="15.75" customHeight="1">
      <c r="L500" s="241"/>
      <c r="M500" s="241"/>
      <c r="Q500" s="301"/>
    </row>
    <row r="501" ht="15.75" customHeight="1">
      <c r="L501" s="241"/>
      <c r="M501" s="241"/>
      <c r="Q501" s="301"/>
    </row>
    <row r="502" ht="15.75" customHeight="1">
      <c r="L502" s="241"/>
      <c r="M502" s="241"/>
      <c r="Q502" s="301"/>
    </row>
    <row r="503" ht="15.75" customHeight="1">
      <c r="L503" s="241"/>
      <c r="M503" s="241"/>
      <c r="Q503" s="301"/>
    </row>
    <row r="504" ht="15.75" customHeight="1">
      <c r="L504" s="241"/>
      <c r="M504" s="241"/>
      <c r="Q504" s="301"/>
    </row>
    <row r="505" ht="15.75" customHeight="1">
      <c r="L505" s="241"/>
      <c r="M505" s="241"/>
      <c r="Q505" s="301"/>
    </row>
    <row r="506" ht="15.75" customHeight="1">
      <c r="L506" s="241"/>
      <c r="M506" s="241"/>
      <c r="Q506" s="301"/>
    </row>
    <row r="507" ht="15.75" customHeight="1">
      <c r="L507" s="241"/>
      <c r="M507" s="241"/>
      <c r="Q507" s="301"/>
    </row>
    <row r="508" ht="15.75" customHeight="1">
      <c r="L508" s="241"/>
      <c r="M508" s="241"/>
      <c r="Q508" s="301"/>
    </row>
    <row r="509" ht="15.75" customHeight="1">
      <c r="L509" s="241"/>
      <c r="M509" s="241"/>
      <c r="Q509" s="301"/>
    </row>
    <row r="510" ht="15.75" customHeight="1">
      <c r="L510" s="241"/>
      <c r="M510" s="241"/>
      <c r="Q510" s="301"/>
    </row>
    <row r="511" ht="15.75" customHeight="1">
      <c r="L511" s="241"/>
      <c r="M511" s="241"/>
      <c r="Q511" s="301"/>
    </row>
    <row r="512" ht="15.75" customHeight="1">
      <c r="L512" s="241"/>
      <c r="M512" s="241"/>
      <c r="Q512" s="301"/>
    </row>
    <row r="513" ht="15.75" customHeight="1">
      <c r="L513" s="241"/>
      <c r="M513" s="241"/>
      <c r="Q513" s="301"/>
    </row>
    <row r="514" ht="15.75" customHeight="1">
      <c r="L514" s="241"/>
      <c r="M514" s="241"/>
      <c r="Q514" s="301"/>
    </row>
    <row r="515" ht="15.75" customHeight="1">
      <c r="L515" s="241"/>
      <c r="M515" s="241"/>
      <c r="Q515" s="301"/>
    </row>
    <row r="516" ht="15.75" customHeight="1">
      <c r="L516" s="241"/>
      <c r="M516" s="241"/>
      <c r="Q516" s="301"/>
    </row>
    <row r="517" ht="15.75" customHeight="1">
      <c r="L517" s="241"/>
      <c r="M517" s="241"/>
      <c r="Q517" s="301"/>
    </row>
    <row r="518" ht="15.75" customHeight="1">
      <c r="L518" s="241"/>
      <c r="M518" s="241"/>
      <c r="Q518" s="301"/>
    </row>
    <row r="519" ht="15.75" customHeight="1">
      <c r="L519" s="241"/>
      <c r="M519" s="241"/>
      <c r="Q519" s="301"/>
    </row>
    <row r="520" ht="15.75" customHeight="1">
      <c r="L520" s="241"/>
      <c r="M520" s="241"/>
      <c r="Q520" s="301"/>
    </row>
    <row r="521" ht="15.75" customHeight="1">
      <c r="L521" s="241"/>
      <c r="M521" s="241"/>
      <c r="Q521" s="301"/>
    </row>
    <row r="522" ht="15.75" customHeight="1">
      <c r="L522" s="241"/>
      <c r="M522" s="241"/>
      <c r="Q522" s="301"/>
    </row>
    <row r="523" ht="15.75" customHeight="1">
      <c r="L523" s="241"/>
      <c r="M523" s="241"/>
      <c r="Q523" s="301"/>
    </row>
    <row r="524" ht="15.75" customHeight="1">
      <c r="L524" s="241"/>
      <c r="M524" s="241"/>
      <c r="Q524" s="301"/>
    </row>
    <row r="525" ht="15.75" customHeight="1">
      <c r="L525" s="241"/>
      <c r="M525" s="241"/>
      <c r="Q525" s="301"/>
    </row>
    <row r="526" ht="15.75" customHeight="1">
      <c r="L526" s="241"/>
      <c r="M526" s="241"/>
      <c r="Q526" s="301"/>
    </row>
    <row r="527" ht="15.75" customHeight="1">
      <c r="L527" s="241"/>
      <c r="M527" s="241"/>
      <c r="Q527" s="301"/>
    </row>
    <row r="528" ht="15.75" customHeight="1">
      <c r="L528" s="241"/>
      <c r="M528" s="241"/>
      <c r="Q528" s="301"/>
    </row>
    <row r="529" ht="15.75" customHeight="1">
      <c r="L529" s="241"/>
      <c r="M529" s="241"/>
      <c r="Q529" s="301"/>
    </row>
    <row r="530" ht="15.75" customHeight="1">
      <c r="L530" s="241"/>
      <c r="M530" s="241"/>
      <c r="Q530" s="301"/>
    </row>
    <row r="531" ht="15.75" customHeight="1">
      <c r="L531" s="241"/>
      <c r="M531" s="241"/>
      <c r="Q531" s="301"/>
    </row>
    <row r="532" ht="15.75" customHeight="1">
      <c r="L532" s="241"/>
      <c r="M532" s="241"/>
      <c r="Q532" s="301"/>
    </row>
    <row r="533" ht="15.75" customHeight="1">
      <c r="L533" s="241"/>
      <c r="M533" s="241"/>
      <c r="Q533" s="301"/>
    </row>
    <row r="534" ht="15.75" customHeight="1">
      <c r="L534" s="241"/>
      <c r="M534" s="241"/>
      <c r="Q534" s="301"/>
    </row>
    <row r="535" ht="15.75" customHeight="1">
      <c r="L535" s="241"/>
      <c r="M535" s="241"/>
      <c r="Q535" s="301"/>
    </row>
    <row r="536" ht="15.75" customHeight="1">
      <c r="L536" s="241"/>
      <c r="M536" s="241"/>
      <c r="Q536" s="301"/>
    </row>
    <row r="537" ht="15.75" customHeight="1">
      <c r="L537" s="241"/>
      <c r="M537" s="241"/>
      <c r="Q537" s="301"/>
    </row>
    <row r="538" ht="15.75" customHeight="1">
      <c r="L538" s="241"/>
      <c r="M538" s="241"/>
      <c r="Q538" s="301"/>
    </row>
    <row r="539" ht="15.75" customHeight="1">
      <c r="L539" s="241"/>
      <c r="M539" s="241"/>
      <c r="Q539" s="301"/>
    </row>
    <row r="540" ht="15.75" customHeight="1">
      <c r="L540" s="241"/>
      <c r="M540" s="241"/>
      <c r="Q540" s="301"/>
    </row>
    <row r="541" ht="15.75" customHeight="1">
      <c r="L541" s="241"/>
      <c r="M541" s="241"/>
      <c r="Q541" s="301"/>
    </row>
    <row r="542" ht="15.75" customHeight="1">
      <c r="L542" s="241"/>
      <c r="M542" s="241"/>
      <c r="Q542" s="301"/>
    </row>
    <row r="543" ht="15.75" customHeight="1">
      <c r="L543" s="241"/>
      <c r="M543" s="241"/>
      <c r="Q543" s="301"/>
    </row>
    <row r="544" ht="15.75" customHeight="1">
      <c r="L544" s="241"/>
      <c r="M544" s="241"/>
      <c r="Q544" s="301"/>
    </row>
    <row r="545" ht="15.75" customHeight="1">
      <c r="L545" s="241"/>
      <c r="M545" s="241"/>
      <c r="Q545" s="301"/>
    </row>
    <row r="546" ht="15.75" customHeight="1">
      <c r="L546" s="241"/>
      <c r="M546" s="241"/>
      <c r="Q546" s="301"/>
    </row>
    <row r="547" ht="15.75" customHeight="1">
      <c r="L547" s="241"/>
      <c r="M547" s="241"/>
      <c r="Q547" s="301"/>
    </row>
    <row r="548" ht="15.75" customHeight="1">
      <c r="L548" s="241"/>
      <c r="M548" s="241"/>
      <c r="Q548" s="301"/>
    </row>
    <row r="549" ht="15.75" customHeight="1">
      <c r="L549" s="241"/>
      <c r="M549" s="241"/>
      <c r="Q549" s="301"/>
    </row>
    <row r="550" ht="15.75" customHeight="1">
      <c r="L550" s="241"/>
      <c r="M550" s="241"/>
      <c r="Q550" s="301"/>
    </row>
    <row r="551" ht="15.75" customHeight="1">
      <c r="L551" s="241"/>
      <c r="M551" s="241"/>
      <c r="Q551" s="301"/>
    </row>
    <row r="552" ht="15.75" customHeight="1">
      <c r="L552" s="241"/>
      <c r="M552" s="241"/>
      <c r="Q552" s="301"/>
    </row>
    <row r="553" ht="15.75" customHeight="1">
      <c r="L553" s="241"/>
      <c r="M553" s="241"/>
      <c r="Q553" s="301"/>
    </row>
    <row r="554" ht="15.75" customHeight="1">
      <c r="L554" s="241"/>
      <c r="M554" s="241"/>
      <c r="Q554" s="301"/>
    </row>
    <row r="555" ht="15.75" customHeight="1">
      <c r="L555" s="241"/>
      <c r="M555" s="241"/>
      <c r="Q555" s="301"/>
    </row>
    <row r="556" ht="15.75" customHeight="1">
      <c r="L556" s="241"/>
      <c r="M556" s="241"/>
      <c r="Q556" s="301"/>
    </row>
    <row r="557" ht="15.75" customHeight="1">
      <c r="L557" s="241"/>
      <c r="M557" s="241"/>
      <c r="Q557" s="301"/>
    </row>
    <row r="558" ht="15.75" customHeight="1">
      <c r="L558" s="241"/>
      <c r="M558" s="241"/>
      <c r="Q558" s="301"/>
    </row>
    <row r="559" ht="15.75" customHeight="1">
      <c r="L559" s="241"/>
      <c r="M559" s="241"/>
      <c r="Q559" s="301"/>
    </row>
    <row r="560" ht="15.75" customHeight="1">
      <c r="L560" s="241"/>
      <c r="M560" s="241"/>
      <c r="Q560" s="301"/>
    </row>
    <row r="561" ht="15.75" customHeight="1">
      <c r="L561" s="241"/>
      <c r="M561" s="241"/>
      <c r="Q561" s="301"/>
    </row>
    <row r="562" ht="15.75" customHeight="1">
      <c r="L562" s="241"/>
      <c r="M562" s="241"/>
      <c r="Q562" s="301"/>
    </row>
    <row r="563" ht="15.75" customHeight="1">
      <c r="L563" s="241"/>
      <c r="M563" s="241"/>
      <c r="Q563" s="301"/>
    </row>
    <row r="564" ht="15.75" customHeight="1">
      <c r="L564" s="241"/>
      <c r="M564" s="241"/>
      <c r="Q564" s="301"/>
    </row>
    <row r="565" ht="15.75" customHeight="1">
      <c r="L565" s="241"/>
      <c r="M565" s="241"/>
      <c r="Q565" s="301"/>
    </row>
    <row r="566" ht="15.75" customHeight="1">
      <c r="L566" s="241"/>
      <c r="M566" s="241"/>
      <c r="Q566" s="301"/>
    </row>
    <row r="567" ht="15.75" customHeight="1">
      <c r="L567" s="241"/>
      <c r="M567" s="241"/>
      <c r="Q567" s="301"/>
    </row>
    <row r="568" ht="15.75" customHeight="1">
      <c r="L568" s="241"/>
      <c r="M568" s="241"/>
      <c r="Q568" s="301"/>
    </row>
    <row r="569" ht="15.75" customHeight="1">
      <c r="L569" s="241"/>
      <c r="M569" s="241"/>
      <c r="Q569" s="301"/>
    </row>
    <row r="570" ht="15.75" customHeight="1">
      <c r="L570" s="241"/>
      <c r="M570" s="241"/>
      <c r="Q570" s="301"/>
    </row>
    <row r="571" ht="15.75" customHeight="1">
      <c r="L571" s="241"/>
      <c r="M571" s="241"/>
      <c r="Q571" s="301"/>
    </row>
    <row r="572" ht="15.75" customHeight="1">
      <c r="L572" s="241"/>
      <c r="M572" s="241"/>
      <c r="Q572" s="301"/>
    </row>
    <row r="573" ht="15.75" customHeight="1">
      <c r="L573" s="241"/>
      <c r="M573" s="241"/>
      <c r="Q573" s="301"/>
    </row>
    <row r="574" ht="15.75" customHeight="1">
      <c r="L574" s="241"/>
      <c r="M574" s="241"/>
      <c r="Q574" s="301"/>
    </row>
    <row r="575" ht="15.75" customHeight="1">
      <c r="L575" s="241"/>
      <c r="M575" s="241"/>
      <c r="Q575" s="301"/>
    </row>
    <row r="576" ht="15.75" customHeight="1">
      <c r="L576" s="241"/>
      <c r="M576" s="241"/>
      <c r="Q576" s="301"/>
    </row>
    <row r="577" ht="15.75" customHeight="1">
      <c r="L577" s="241"/>
      <c r="M577" s="241"/>
      <c r="Q577" s="301"/>
    </row>
    <row r="578" ht="15.75" customHeight="1">
      <c r="L578" s="241"/>
      <c r="M578" s="241"/>
      <c r="Q578" s="301"/>
    </row>
    <row r="579" ht="15.75" customHeight="1">
      <c r="L579" s="241"/>
      <c r="M579" s="241"/>
      <c r="Q579" s="301"/>
    </row>
    <row r="580" ht="15.75" customHeight="1">
      <c r="L580" s="241"/>
      <c r="M580" s="241"/>
      <c r="Q580" s="301"/>
    </row>
    <row r="581" ht="15.75" customHeight="1">
      <c r="L581" s="241"/>
      <c r="M581" s="241"/>
      <c r="Q581" s="301"/>
    </row>
    <row r="582" ht="15.75" customHeight="1">
      <c r="L582" s="241"/>
      <c r="M582" s="241"/>
      <c r="Q582" s="301"/>
    </row>
    <row r="583" ht="15.75" customHeight="1">
      <c r="L583" s="241"/>
      <c r="M583" s="241"/>
      <c r="Q583" s="301"/>
    </row>
    <row r="584" ht="15.75" customHeight="1">
      <c r="L584" s="241"/>
      <c r="M584" s="241"/>
      <c r="Q584" s="301"/>
    </row>
    <row r="585" ht="15.75" customHeight="1">
      <c r="L585" s="241"/>
      <c r="M585" s="241"/>
      <c r="Q585" s="301"/>
    </row>
    <row r="586" ht="15.75" customHeight="1">
      <c r="L586" s="241"/>
      <c r="M586" s="241"/>
      <c r="Q586" s="301"/>
    </row>
    <row r="587" ht="15.75" customHeight="1">
      <c r="L587" s="241"/>
      <c r="M587" s="241"/>
      <c r="Q587" s="301"/>
    </row>
    <row r="588" ht="15.75" customHeight="1">
      <c r="L588" s="241"/>
      <c r="M588" s="241"/>
      <c r="Q588" s="301"/>
    </row>
    <row r="589" ht="15.75" customHeight="1">
      <c r="L589" s="241"/>
      <c r="M589" s="241"/>
      <c r="Q589" s="301"/>
    </row>
    <row r="590" ht="15.75" customHeight="1">
      <c r="L590" s="241"/>
      <c r="M590" s="241"/>
      <c r="Q590" s="301"/>
    </row>
    <row r="591" ht="15.75" customHeight="1">
      <c r="L591" s="241"/>
      <c r="M591" s="241"/>
      <c r="Q591" s="301"/>
    </row>
    <row r="592" ht="15.75" customHeight="1">
      <c r="L592" s="241"/>
      <c r="M592" s="241"/>
      <c r="Q592" s="301"/>
    </row>
    <row r="593" ht="15.75" customHeight="1">
      <c r="L593" s="241"/>
      <c r="M593" s="241"/>
      <c r="Q593" s="301"/>
    </row>
    <row r="594" ht="15.75" customHeight="1">
      <c r="L594" s="241"/>
      <c r="M594" s="241"/>
      <c r="Q594" s="301"/>
    </row>
    <row r="595" ht="15.75" customHeight="1">
      <c r="L595" s="241"/>
      <c r="M595" s="241"/>
      <c r="Q595" s="301"/>
    </row>
    <row r="596" ht="15.75" customHeight="1">
      <c r="L596" s="241"/>
      <c r="M596" s="241"/>
      <c r="Q596" s="301"/>
    </row>
    <row r="597" ht="15.75" customHeight="1">
      <c r="L597" s="241"/>
      <c r="M597" s="241"/>
      <c r="Q597" s="301"/>
    </row>
    <row r="598" ht="15.75" customHeight="1">
      <c r="L598" s="241"/>
      <c r="M598" s="241"/>
      <c r="Q598" s="301"/>
    </row>
    <row r="599" ht="15.75" customHeight="1">
      <c r="L599" s="241"/>
      <c r="M599" s="241"/>
      <c r="Q599" s="301"/>
    </row>
    <row r="600" ht="15.75" customHeight="1">
      <c r="L600" s="241"/>
      <c r="M600" s="241"/>
      <c r="Q600" s="301"/>
    </row>
    <row r="601" ht="15.75" customHeight="1">
      <c r="L601" s="241"/>
      <c r="M601" s="241"/>
      <c r="Q601" s="301"/>
    </row>
    <row r="602" ht="15.75" customHeight="1">
      <c r="L602" s="241"/>
      <c r="M602" s="241"/>
      <c r="Q602" s="301"/>
    </row>
    <row r="603" ht="15.75" customHeight="1">
      <c r="L603" s="241"/>
      <c r="M603" s="241"/>
      <c r="Q603" s="301"/>
    </row>
    <row r="604" ht="15.75" customHeight="1">
      <c r="L604" s="241"/>
      <c r="M604" s="241"/>
      <c r="Q604" s="301"/>
    </row>
    <row r="605" ht="15.75" customHeight="1">
      <c r="L605" s="241"/>
      <c r="M605" s="241"/>
      <c r="Q605" s="301"/>
    </row>
    <row r="606" ht="15.75" customHeight="1">
      <c r="L606" s="241"/>
      <c r="M606" s="241"/>
      <c r="Q606" s="301"/>
    </row>
    <row r="607" ht="15.75" customHeight="1">
      <c r="L607" s="241"/>
      <c r="M607" s="241"/>
      <c r="Q607" s="301"/>
    </row>
    <row r="608" ht="15.75" customHeight="1">
      <c r="L608" s="241"/>
      <c r="M608" s="241"/>
      <c r="Q608" s="301"/>
    </row>
    <row r="609" ht="15.75" customHeight="1">
      <c r="L609" s="241"/>
      <c r="M609" s="241"/>
      <c r="Q609" s="301"/>
    </row>
    <row r="610" ht="15.75" customHeight="1">
      <c r="L610" s="241"/>
      <c r="M610" s="241"/>
      <c r="Q610" s="301"/>
    </row>
    <row r="611" ht="15.75" customHeight="1">
      <c r="L611" s="241"/>
      <c r="M611" s="241"/>
      <c r="Q611" s="301"/>
    </row>
    <row r="612" ht="15.75" customHeight="1">
      <c r="L612" s="241"/>
      <c r="M612" s="241"/>
      <c r="Q612" s="301"/>
    </row>
    <row r="613" ht="15.75" customHeight="1">
      <c r="L613" s="241"/>
      <c r="M613" s="241"/>
      <c r="Q613" s="301"/>
    </row>
    <row r="614" ht="15.75" customHeight="1">
      <c r="L614" s="241"/>
      <c r="M614" s="241"/>
      <c r="Q614" s="301"/>
    </row>
    <row r="615" ht="15.75" customHeight="1">
      <c r="L615" s="241"/>
      <c r="M615" s="241"/>
      <c r="Q615" s="301"/>
    </row>
    <row r="616" ht="15.75" customHeight="1">
      <c r="L616" s="241"/>
      <c r="M616" s="241"/>
      <c r="Q616" s="301"/>
    </row>
    <row r="617" ht="15.75" customHeight="1">
      <c r="L617" s="241"/>
      <c r="M617" s="241"/>
      <c r="Q617" s="301"/>
    </row>
    <row r="618" ht="15.75" customHeight="1">
      <c r="L618" s="241"/>
      <c r="M618" s="241"/>
      <c r="Q618" s="301"/>
    </row>
    <row r="619" ht="15.75" customHeight="1">
      <c r="L619" s="241"/>
      <c r="M619" s="241"/>
      <c r="Q619" s="301"/>
    </row>
    <row r="620" ht="15.75" customHeight="1">
      <c r="L620" s="241"/>
      <c r="M620" s="241"/>
      <c r="Q620" s="301"/>
    </row>
    <row r="621" ht="15.75" customHeight="1">
      <c r="L621" s="241"/>
      <c r="M621" s="241"/>
      <c r="Q621" s="301"/>
    </row>
    <row r="622" ht="15.75" customHeight="1">
      <c r="L622" s="241"/>
      <c r="M622" s="241"/>
      <c r="Q622" s="301"/>
    </row>
    <row r="623" ht="15.75" customHeight="1">
      <c r="L623" s="241"/>
      <c r="M623" s="241"/>
      <c r="Q623" s="301"/>
    </row>
    <row r="624" ht="15.75" customHeight="1">
      <c r="L624" s="241"/>
      <c r="M624" s="241"/>
      <c r="Q624" s="301"/>
    </row>
    <row r="625" ht="15.75" customHeight="1">
      <c r="L625" s="241"/>
      <c r="M625" s="241"/>
      <c r="Q625" s="301"/>
    </row>
    <row r="626" ht="15.75" customHeight="1">
      <c r="L626" s="241"/>
      <c r="M626" s="241"/>
      <c r="Q626" s="301"/>
    </row>
    <row r="627" ht="15.75" customHeight="1">
      <c r="L627" s="241"/>
      <c r="M627" s="241"/>
      <c r="Q627" s="301"/>
    </row>
    <row r="628" ht="15.75" customHeight="1">
      <c r="L628" s="241"/>
      <c r="M628" s="241"/>
      <c r="Q628" s="301"/>
    </row>
    <row r="629" ht="15.75" customHeight="1">
      <c r="L629" s="241"/>
      <c r="M629" s="241"/>
      <c r="Q629" s="301"/>
    </row>
    <row r="630" ht="15.75" customHeight="1">
      <c r="L630" s="241"/>
      <c r="M630" s="241"/>
      <c r="Q630" s="301"/>
    </row>
    <row r="631" ht="15.75" customHeight="1">
      <c r="L631" s="241"/>
      <c r="M631" s="241"/>
      <c r="Q631" s="301"/>
    </row>
    <row r="632" ht="15.75" customHeight="1">
      <c r="L632" s="241"/>
      <c r="M632" s="241"/>
      <c r="Q632" s="301"/>
    </row>
    <row r="633" ht="15.75" customHeight="1">
      <c r="L633" s="241"/>
      <c r="M633" s="241"/>
      <c r="Q633" s="301"/>
    </row>
    <row r="634" ht="15.75" customHeight="1">
      <c r="L634" s="241"/>
      <c r="M634" s="241"/>
      <c r="Q634" s="301"/>
    </row>
    <row r="635" ht="15.75" customHeight="1">
      <c r="L635" s="241"/>
      <c r="M635" s="241"/>
      <c r="Q635" s="301"/>
    </row>
    <row r="636" ht="15.75" customHeight="1">
      <c r="L636" s="241"/>
      <c r="M636" s="241"/>
      <c r="Q636" s="301"/>
    </row>
    <row r="637" ht="15.75" customHeight="1">
      <c r="L637" s="241"/>
      <c r="M637" s="241"/>
      <c r="Q637" s="301"/>
    </row>
    <row r="638" ht="15.75" customHeight="1">
      <c r="L638" s="241"/>
      <c r="M638" s="241"/>
      <c r="Q638" s="301"/>
    </row>
    <row r="639" ht="15.75" customHeight="1">
      <c r="L639" s="241"/>
      <c r="M639" s="241"/>
      <c r="Q639" s="301"/>
    </row>
    <row r="640" ht="15.75" customHeight="1">
      <c r="L640" s="241"/>
      <c r="M640" s="241"/>
      <c r="Q640" s="301"/>
    </row>
    <row r="641" ht="15.75" customHeight="1">
      <c r="L641" s="241"/>
      <c r="M641" s="241"/>
      <c r="Q641" s="301"/>
    </row>
    <row r="642" ht="15.75" customHeight="1">
      <c r="L642" s="241"/>
      <c r="M642" s="241"/>
      <c r="Q642" s="301"/>
    </row>
    <row r="643" ht="15.75" customHeight="1">
      <c r="L643" s="241"/>
      <c r="M643" s="241"/>
      <c r="Q643" s="301"/>
    </row>
    <row r="644" ht="15.75" customHeight="1">
      <c r="L644" s="241"/>
      <c r="M644" s="241"/>
      <c r="Q644" s="301"/>
    </row>
    <row r="645" ht="15.75" customHeight="1">
      <c r="L645" s="241"/>
      <c r="M645" s="241"/>
      <c r="Q645" s="301"/>
    </row>
    <row r="646" ht="15.75" customHeight="1">
      <c r="L646" s="241"/>
      <c r="M646" s="241"/>
      <c r="Q646" s="301"/>
    </row>
    <row r="647" ht="15.75" customHeight="1">
      <c r="L647" s="241"/>
      <c r="M647" s="241"/>
      <c r="Q647" s="301"/>
    </row>
    <row r="648" ht="15.75" customHeight="1">
      <c r="L648" s="241"/>
      <c r="M648" s="241"/>
      <c r="Q648" s="301"/>
    </row>
    <row r="649" ht="15.75" customHeight="1">
      <c r="L649" s="241"/>
      <c r="M649" s="241"/>
      <c r="Q649" s="301"/>
    </row>
    <row r="650" ht="15.75" customHeight="1">
      <c r="L650" s="241"/>
      <c r="M650" s="241"/>
      <c r="Q650" s="301"/>
    </row>
    <row r="651" ht="15.75" customHeight="1">
      <c r="L651" s="241"/>
      <c r="M651" s="241"/>
      <c r="Q651" s="301"/>
    </row>
    <row r="652" ht="15.75" customHeight="1">
      <c r="L652" s="241"/>
      <c r="M652" s="241"/>
      <c r="Q652" s="301"/>
    </row>
    <row r="653" ht="15.75" customHeight="1">
      <c r="L653" s="241"/>
      <c r="M653" s="241"/>
      <c r="Q653" s="301"/>
    </row>
    <row r="654" ht="15.75" customHeight="1">
      <c r="L654" s="241"/>
      <c r="M654" s="241"/>
      <c r="Q654" s="301"/>
    </row>
    <row r="655" ht="15.75" customHeight="1">
      <c r="L655" s="241"/>
      <c r="M655" s="241"/>
      <c r="Q655" s="301"/>
    </row>
    <row r="656" ht="15.75" customHeight="1">
      <c r="L656" s="241"/>
      <c r="M656" s="241"/>
      <c r="Q656" s="301"/>
    </row>
    <row r="657" ht="15.75" customHeight="1">
      <c r="L657" s="241"/>
      <c r="M657" s="241"/>
      <c r="Q657" s="301"/>
    </row>
    <row r="658" ht="15.75" customHeight="1">
      <c r="L658" s="241"/>
      <c r="M658" s="241"/>
      <c r="Q658" s="301"/>
    </row>
    <row r="659" ht="15.75" customHeight="1">
      <c r="L659" s="241"/>
      <c r="M659" s="241"/>
      <c r="Q659" s="301"/>
    </row>
    <row r="660" ht="15.75" customHeight="1">
      <c r="L660" s="241"/>
      <c r="M660" s="241"/>
      <c r="Q660" s="301"/>
    </row>
    <row r="661" ht="15.75" customHeight="1">
      <c r="L661" s="241"/>
      <c r="M661" s="241"/>
      <c r="Q661" s="301"/>
    </row>
    <row r="662" ht="15.75" customHeight="1">
      <c r="L662" s="241"/>
      <c r="M662" s="241"/>
      <c r="Q662" s="301"/>
    </row>
    <row r="663" ht="15.75" customHeight="1">
      <c r="L663" s="241"/>
      <c r="M663" s="241"/>
      <c r="Q663" s="301"/>
    </row>
    <row r="664" ht="15.75" customHeight="1">
      <c r="L664" s="241"/>
      <c r="M664" s="241"/>
      <c r="Q664" s="301"/>
    </row>
    <row r="665" ht="15.75" customHeight="1">
      <c r="L665" s="241"/>
      <c r="M665" s="241"/>
      <c r="Q665" s="301"/>
    </row>
    <row r="666" ht="15.75" customHeight="1">
      <c r="L666" s="241"/>
      <c r="M666" s="241"/>
      <c r="Q666" s="301"/>
    </row>
    <row r="667" ht="15.75" customHeight="1">
      <c r="L667" s="241"/>
      <c r="M667" s="241"/>
      <c r="Q667" s="301"/>
    </row>
    <row r="668" ht="15.75" customHeight="1">
      <c r="L668" s="241"/>
      <c r="M668" s="241"/>
      <c r="Q668" s="301"/>
    </row>
    <row r="669" ht="15.75" customHeight="1">
      <c r="L669" s="241"/>
      <c r="M669" s="241"/>
      <c r="Q669" s="301"/>
    </row>
    <row r="670" ht="15.75" customHeight="1">
      <c r="L670" s="241"/>
      <c r="M670" s="241"/>
      <c r="Q670" s="301"/>
    </row>
    <row r="671" ht="15.75" customHeight="1">
      <c r="L671" s="241"/>
      <c r="M671" s="241"/>
      <c r="Q671" s="301"/>
    </row>
    <row r="672" ht="15.75" customHeight="1">
      <c r="L672" s="241"/>
      <c r="M672" s="241"/>
      <c r="Q672" s="301"/>
    </row>
    <row r="673" ht="15.75" customHeight="1">
      <c r="L673" s="241"/>
      <c r="M673" s="241"/>
      <c r="Q673" s="301"/>
    </row>
    <row r="674" ht="15.75" customHeight="1">
      <c r="L674" s="241"/>
      <c r="M674" s="241"/>
      <c r="Q674" s="301"/>
    </row>
    <row r="675" ht="15.75" customHeight="1">
      <c r="L675" s="241"/>
      <c r="M675" s="241"/>
      <c r="Q675" s="301"/>
    </row>
    <row r="676" ht="15.75" customHeight="1">
      <c r="L676" s="241"/>
      <c r="M676" s="241"/>
      <c r="Q676" s="301"/>
    </row>
    <row r="677" ht="15.75" customHeight="1">
      <c r="L677" s="241"/>
      <c r="M677" s="241"/>
      <c r="Q677" s="301"/>
    </row>
    <row r="678" ht="15.75" customHeight="1">
      <c r="L678" s="241"/>
      <c r="M678" s="241"/>
      <c r="Q678" s="301"/>
    </row>
    <row r="679" ht="15.75" customHeight="1">
      <c r="L679" s="241"/>
      <c r="M679" s="241"/>
      <c r="Q679" s="301"/>
    </row>
    <row r="680" ht="15.75" customHeight="1">
      <c r="L680" s="241"/>
      <c r="M680" s="241"/>
      <c r="Q680" s="301"/>
    </row>
    <row r="681" ht="15.75" customHeight="1">
      <c r="L681" s="241"/>
      <c r="M681" s="241"/>
      <c r="Q681" s="301"/>
    </row>
    <row r="682" ht="15.75" customHeight="1">
      <c r="L682" s="241"/>
      <c r="M682" s="241"/>
      <c r="Q682" s="301"/>
    </row>
    <row r="683" ht="15.75" customHeight="1">
      <c r="L683" s="241"/>
      <c r="M683" s="241"/>
      <c r="Q683" s="301"/>
    </row>
    <row r="684" ht="15.75" customHeight="1">
      <c r="L684" s="241"/>
      <c r="M684" s="241"/>
      <c r="Q684" s="301"/>
    </row>
    <row r="685" ht="15.75" customHeight="1">
      <c r="L685" s="241"/>
      <c r="M685" s="241"/>
      <c r="Q685" s="301"/>
    </row>
    <row r="686" ht="15.75" customHeight="1">
      <c r="L686" s="241"/>
      <c r="M686" s="241"/>
      <c r="Q686" s="301"/>
    </row>
    <row r="687" ht="15.75" customHeight="1">
      <c r="L687" s="241"/>
      <c r="M687" s="241"/>
      <c r="Q687" s="301"/>
    </row>
    <row r="688" ht="15.75" customHeight="1">
      <c r="L688" s="241"/>
      <c r="M688" s="241"/>
      <c r="Q688" s="301"/>
    </row>
    <row r="689" ht="15.75" customHeight="1">
      <c r="L689" s="241"/>
      <c r="M689" s="241"/>
      <c r="Q689" s="301"/>
    </row>
    <row r="690" ht="15.75" customHeight="1">
      <c r="L690" s="241"/>
      <c r="M690" s="241"/>
      <c r="Q690" s="301"/>
    </row>
    <row r="691" ht="15.75" customHeight="1">
      <c r="L691" s="241"/>
      <c r="M691" s="241"/>
      <c r="Q691" s="301"/>
    </row>
    <row r="692" ht="15.75" customHeight="1">
      <c r="L692" s="241"/>
      <c r="M692" s="241"/>
      <c r="Q692" s="301"/>
    </row>
    <row r="693" ht="15.75" customHeight="1">
      <c r="L693" s="241"/>
      <c r="M693" s="241"/>
      <c r="Q693" s="301"/>
    </row>
    <row r="694" ht="15.75" customHeight="1">
      <c r="L694" s="241"/>
      <c r="M694" s="241"/>
      <c r="Q694" s="301"/>
    </row>
    <row r="695" ht="15.75" customHeight="1">
      <c r="L695" s="241"/>
      <c r="M695" s="241"/>
      <c r="Q695" s="301"/>
    </row>
    <row r="696" ht="15.75" customHeight="1">
      <c r="L696" s="241"/>
      <c r="M696" s="241"/>
      <c r="Q696" s="301"/>
    </row>
    <row r="697" ht="15.75" customHeight="1">
      <c r="L697" s="241"/>
      <c r="M697" s="241"/>
      <c r="Q697" s="301"/>
    </row>
    <row r="698" ht="15.75" customHeight="1">
      <c r="L698" s="241"/>
      <c r="M698" s="241"/>
      <c r="Q698" s="301"/>
    </row>
    <row r="699" ht="15.75" customHeight="1">
      <c r="L699" s="241"/>
      <c r="M699" s="241"/>
      <c r="Q699" s="301"/>
    </row>
    <row r="700" ht="15.75" customHeight="1">
      <c r="L700" s="241"/>
      <c r="M700" s="241"/>
      <c r="Q700" s="301"/>
    </row>
    <row r="701" ht="15.75" customHeight="1">
      <c r="L701" s="241"/>
      <c r="M701" s="241"/>
      <c r="Q701" s="301"/>
    </row>
    <row r="702" ht="15.75" customHeight="1">
      <c r="L702" s="241"/>
      <c r="M702" s="241"/>
      <c r="Q702" s="301"/>
    </row>
    <row r="703" ht="15.75" customHeight="1">
      <c r="L703" s="241"/>
      <c r="M703" s="241"/>
      <c r="Q703" s="301"/>
    </row>
    <row r="704" ht="15.75" customHeight="1">
      <c r="L704" s="241"/>
      <c r="M704" s="241"/>
      <c r="Q704" s="301"/>
    </row>
    <row r="705" ht="15.75" customHeight="1">
      <c r="L705" s="241"/>
      <c r="M705" s="241"/>
      <c r="Q705" s="301"/>
    </row>
    <row r="706" ht="15.75" customHeight="1">
      <c r="L706" s="241"/>
      <c r="M706" s="241"/>
      <c r="Q706" s="301"/>
    </row>
    <row r="707" ht="15.75" customHeight="1">
      <c r="L707" s="241"/>
      <c r="M707" s="241"/>
      <c r="Q707" s="301"/>
    </row>
    <row r="708" ht="15.75" customHeight="1">
      <c r="L708" s="241"/>
      <c r="M708" s="241"/>
      <c r="Q708" s="301"/>
    </row>
    <row r="709" ht="15.75" customHeight="1">
      <c r="L709" s="241"/>
      <c r="M709" s="241"/>
      <c r="Q709" s="301"/>
    </row>
    <row r="710" ht="15.75" customHeight="1">
      <c r="L710" s="241"/>
      <c r="M710" s="241"/>
      <c r="Q710" s="301"/>
    </row>
    <row r="711" ht="15.75" customHeight="1">
      <c r="L711" s="241"/>
      <c r="M711" s="241"/>
      <c r="Q711" s="301"/>
    </row>
    <row r="712" ht="15.75" customHeight="1">
      <c r="L712" s="241"/>
      <c r="M712" s="241"/>
      <c r="Q712" s="301"/>
    </row>
    <row r="713" ht="15.75" customHeight="1">
      <c r="L713" s="241"/>
      <c r="M713" s="241"/>
      <c r="Q713" s="301"/>
    </row>
    <row r="714" ht="15.75" customHeight="1">
      <c r="L714" s="241"/>
      <c r="M714" s="241"/>
      <c r="Q714" s="301"/>
    </row>
    <row r="715" ht="15.75" customHeight="1">
      <c r="L715" s="241"/>
      <c r="M715" s="241"/>
      <c r="Q715" s="301"/>
    </row>
    <row r="716" ht="15.75" customHeight="1">
      <c r="L716" s="241"/>
      <c r="M716" s="241"/>
      <c r="Q716" s="301"/>
    </row>
    <row r="717" ht="15.75" customHeight="1">
      <c r="L717" s="241"/>
      <c r="M717" s="241"/>
      <c r="Q717" s="301"/>
    </row>
    <row r="718" ht="15.75" customHeight="1">
      <c r="L718" s="241"/>
      <c r="M718" s="241"/>
      <c r="Q718" s="301"/>
    </row>
    <row r="719" ht="15.75" customHeight="1">
      <c r="L719" s="241"/>
      <c r="M719" s="241"/>
      <c r="Q719" s="301"/>
    </row>
    <row r="720" ht="15.75" customHeight="1">
      <c r="L720" s="241"/>
      <c r="M720" s="241"/>
      <c r="Q720" s="301"/>
    </row>
    <row r="721" ht="15.75" customHeight="1">
      <c r="L721" s="241"/>
      <c r="M721" s="241"/>
      <c r="Q721" s="301"/>
    </row>
    <row r="722" ht="15.75" customHeight="1">
      <c r="L722" s="241"/>
      <c r="M722" s="241"/>
      <c r="Q722" s="301"/>
    </row>
    <row r="723" ht="15.75" customHeight="1">
      <c r="L723" s="241"/>
      <c r="M723" s="241"/>
      <c r="Q723" s="301"/>
    </row>
    <row r="724" ht="15.75" customHeight="1">
      <c r="L724" s="241"/>
      <c r="M724" s="241"/>
      <c r="Q724" s="301"/>
    </row>
    <row r="725" ht="15.75" customHeight="1">
      <c r="L725" s="241"/>
      <c r="M725" s="241"/>
      <c r="Q725" s="301"/>
    </row>
    <row r="726" ht="15.75" customHeight="1">
      <c r="L726" s="241"/>
      <c r="M726" s="241"/>
      <c r="Q726" s="301"/>
    </row>
    <row r="727" ht="15.75" customHeight="1">
      <c r="L727" s="241"/>
      <c r="M727" s="241"/>
      <c r="Q727" s="301"/>
    </row>
    <row r="728" ht="15.75" customHeight="1">
      <c r="L728" s="241"/>
      <c r="M728" s="241"/>
      <c r="Q728" s="301"/>
    </row>
    <row r="729" ht="15.75" customHeight="1">
      <c r="L729" s="241"/>
      <c r="M729" s="241"/>
      <c r="Q729" s="301"/>
    </row>
    <row r="730" ht="15.75" customHeight="1">
      <c r="L730" s="241"/>
      <c r="M730" s="241"/>
      <c r="Q730" s="301"/>
    </row>
    <row r="731" ht="15.75" customHeight="1">
      <c r="L731" s="241"/>
      <c r="M731" s="241"/>
      <c r="Q731" s="301"/>
    </row>
    <row r="732" ht="15.75" customHeight="1">
      <c r="L732" s="241"/>
      <c r="M732" s="241"/>
      <c r="Q732" s="301"/>
    </row>
    <row r="733" ht="15.75" customHeight="1">
      <c r="L733" s="241"/>
      <c r="M733" s="241"/>
      <c r="Q733" s="301"/>
    </row>
    <row r="734" ht="15.75" customHeight="1">
      <c r="L734" s="241"/>
      <c r="M734" s="241"/>
      <c r="Q734" s="301"/>
    </row>
    <row r="735" ht="15.75" customHeight="1">
      <c r="L735" s="241"/>
      <c r="M735" s="241"/>
      <c r="Q735" s="301"/>
    </row>
    <row r="736" ht="15.75" customHeight="1">
      <c r="L736" s="241"/>
      <c r="M736" s="241"/>
      <c r="Q736" s="301"/>
    </row>
    <row r="737" ht="15.75" customHeight="1">
      <c r="L737" s="241"/>
      <c r="M737" s="241"/>
      <c r="Q737" s="301"/>
    </row>
    <row r="738" ht="15.75" customHeight="1">
      <c r="L738" s="241"/>
      <c r="M738" s="241"/>
      <c r="Q738" s="301"/>
    </row>
    <row r="739" ht="15.75" customHeight="1">
      <c r="L739" s="241"/>
      <c r="M739" s="241"/>
      <c r="Q739" s="301"/>
    </row>
    <row r="740" ht="15.75" customHeight="1">
      <c r="L740" s="241"/>
      <c r="M740" s="241"/>
      <c r="Q740" s="301"/>
    </row>
    <row r="741" ht="15.75" customHeight="1">
      <c r="L741" s="241"/>
      <c r="M741" s="241"/>
      <c r="Q741" s="301"/>
    </row>
    <row r="742" ht="15.75" customHeight="1">
      <c r="L742" s="241"/>
      <c r="M742" s="241"/>
      <c r="Q742" s="301"/>
    </row>
    <row r="743" ht="15.75" customHeight="1">
      <c r="L743" s="241"/>
      <c r="M743" s="241"/>
      <c r="Q743" s="301"/>
    </row>
    <row r="744" ht="15.75" customHeight="1">
      <c r="L744" s="241"/>
      <c r="M744" s="241"/>
      <c r="Q744" s="301"/>
    </row>
    <row r="745" ht="15.75" customHeight="1">
      <c r="L745" s="241"/>
      <c r="M745" s="241"/>
      <c r="Q745" s="301"/>
    </row>
    <row r="746" ht="15.75" customHeight="1">
      <c r="L746" s="241"/>
      <c r="M746" s="241"/>
      <c r="Q746" s="301"/>
    </row>
    <row r="747" ht="15.75" customHeight="1">
      <c r="L747" s="241"/>
      <c r="M747" s="241"/>
      <c r="Q747" s="301"/>
    </row>
    <row r="748" ht="15.75" customHeight="1">
      <c r="L748" s="241"/>
      <c r="M748" s="241"/>
      <c r="Q748" s="301"/>
    </row>
    <row r="749" ht="15.75" customHeight="1">
      <c r="L749" s="241"/>
      <c r="M749" s="241"/>
      <c r="Q749" s="301"/>
    </row>
    <row r="750" ht="15.75" customHeight="1">
      <c r="L750" s="241"/>
      <c r="M750" s="241"/>
      <c r="Q750" s="301"/>
    </row>
    <row r="751" ht="15.75" customHeight="1">
      <c r="L751" s="241"/>
      <c r="M751" s="241"/>
      <c r="Q751" s="301"/>
    </row>
    <row r="752" ht="15.75" customHeight="1">
      <c r="L752" s="241"/>
      <c r="M752" s="241"/>
      <c r="Q752" s="301"/>
    </row>
    <row r="753" ht="15.75" customHeight="1">
      <c r="L753" s="241"/>
      <c r="M753" s="241"/>
      <c r="Q753" s="301"/>
    </row>
    <row r="754" ht="15.75" customHeight="1">
      <c r="L754" s="241"/>
      <c r="M754" s="241"/>
      <c r="Q754" s="301"/>
    </row>
    <row r="755" ht="15.75" customHeight="1">
      <c r="L755" s="241"/>
      <c r="M755" s="241"/>
      <c r="Q755" s="301"/>
    </row>
    <row r="756" ht="15.75" customHeight="1">
      <c r="L756" s="241"/>
      <c r="M756" s="241"/>
      <c r="Q756" s="301"/>
    </row>
    <row r="757" ht="15.75" customHeight="1">
      <c r="L757" s="241"/>
      <c r="M757" s="241"/>
      <c r="Q757" s="301"/>
    </row>
    <row r="758" ht="15.75" customHeight="1">
      <c r="L758" s="241"/>
      <c r="M758" s="241"/>
      <c r="Q758" s="301"/>
    </row>
    <row r="759" ht="15.75" customHeight="1">
      <c r="L759" s="241"/>
      <c r="M759" s="241"/>
      <c r="Q759" s="301"/>
    </row>
    <row r="760" ht="15.75" customHeight="1">
      <c r="L760" s="241"/>
      <c r="M760" s="241"/>
      <c r="Q760" s="301"/>
    </row>
    <row r="761" ht="15.75" customHeight="1">
      <c r="L761" s="241"/>
      <c r="M761" s="241"/>
      <c r="Q761" s="301"/>
    </row>
    <row r="762" ht="15.75" customHeight="1">
      <c r="L762" s="241"/>
      <c r="M762" s="241"/>
      <c r="Q762" s="301"/>
    </row>
    <row r="763" ht="15.75" customHeight="1">
      <c r="L763" s="241"/>
      <c r="M763" s="241"/>
      <c r="Q763" s="301"/>
    </row>
    <row r="764" ht="15.75" customHeight="1">
      <c r="L764" s="241"/>
      <c r="M764" s="241"/>
      <c r="Q764" s="301"/>
    </row>
    <row r="765" ht="15.75" customHeight="1">
      <c r="L765" s="241"/>
      <c r="M765" s="241"/>
      <c r="Q765" s="301"/>
    </row>
    <row r="766" ht="15.75" customHeight="1">
      <c r="L766" s="241"/>
      <c r="M766" s="241"/>
      <c r="Q766" s="301"/>
    </row>
    <row r="767" ht="15.75" customHeight="1">
      <c r="L767" s="241"/>
      <c r="M767" s="241"/>
      <c r="Q767" s="301"/>
    </row>
    <row r="768" ht="15.75" customHeight="1">
      <c r="L768" s="241"/>
      <c r="M768" s="241"/>
      <c r="Q768" s="301"/>
    </row>
    <row r="769" ht="15.75" customHeight="1">
      <c r="L769" s="241"/>
      <c r="M769" s="241"/>
      <c r="Q769" s="301"/>
    </row>
    <row r="770" ht="15.75" customHeight="1">
      <c r="L770" s="241"/>
      <c r="M770" s="241"/>
      <c r="Q770" s="301"/>
    </row>
    <row r="771" ht="15.75" customHeight="1">
      <c r="L771" s="241"/>
      <c r="M771" s="241"/>
      <c r="Q771" s="301"/>
    </row>
    <row r="772" ht="15.75" customHeight="1">
      <c r="L772" s="241"/>
      <c r="M772" s="241"/>
      <c r="Q772" s="301"/>
    </row>
    <row r="773" ht="15.75" customHeight="1">
      <c r="L773" s="241"/>
      <c r="M773" s="241"/>
      <c r="Q773" s="301"/>
    </row>
    <row r="774" ht="15.75" customHeight="1">
      <c r="L774" s="241"/>
      <c r="M774" s="241"/>
      <c r="Q774" s="301"/>
    </row>
    <row r="775" ht="15.75" customHeight="1">
      <c r="L775" s="241"/>
      <c r="M775" s="241"/>
      <c r="Q775" s="301"/>
    </row>
    <row r="776" ht="15.75" customHeight="1">
      <c r="L776" s="241"/>
      <c r="M776" s="241"/>
      <c r="Q776" s="301"/>
    </row>
    <row r="777" ht="15.75" customHeight="1">
      <c r="L777" s="241"/>
      <c r="M777" s="241"/>
      <c r="Q777" s="301"/>
    </row>
    <row r="778" ht="15.75" customHeight="1">
      <c r="L778" s="241"/>
      <c r="M778" s="241"/>
      <c r="Q778" s="301"/>
    </row>
    <row r="779" ht="15.75" customHeight="1">
      <c r="L779" s="241"/>
      <c r="M779" s="241"/>
      <c r="Q779" s="301"/>
    </row>
    <row r="780" ht="15.75" customHeight="1">
      <c r="L780" s="241"/>
      <c r="M780" s="241"/>
      <c r="Q780" s="301"/>
    </row>
    <row r="781" ht="15.75" customHeight="1">
      <c r="L781" s="241"/>
      <c r="M781" s="241"/>
      <c r="Q781" s="301"/>
    </row>
    <row r="782" ht="15.75" customHeight="1">
      <c r="L782" s="241"/>
      <c r="M782" s="241"/>
      <c r="Q782" s="301"/>
    </row>
    <row r="783" ht="15.75" customHeight="1">
      <c r="L783" s="241"/>
      <c r="M783" s="241"/>
      <c r="Q783" s="301"/>
    </row>
    <row r="784" ht="15.75" customHeight="1">
      <c r="L784" s="241"/>
      <c r="M784" s="241"/>
      <c r="Q784" s="301"/>
    </row>
    <row r="785" ht="15.75" customHeight="1">
      <c r="L785" s="241"/>
      <c r="M785" s="241"/>
      <c r="Q785" s="301"/>
    </row>
    <row r="786" ht="15.75" customHeight="1">
      <c r="L786" s="241"/>
      <c r="M786" s="241"/>
      <c r="Q786" s="301"/>
    </row>
    <row r="787" ht="15.75" customHeight="1">
      <c r="L787" s="241"/>
      <c r="M787" s="241"/>
      <c r="Q787" s="301"/>
    </row>
    <row r="788" ht="15.75" customHeight="1">
      <c r="L788" s="241"/>
      <c r="M788" s="241"/>
      <c r="Q788" s="301"/>
    </row>
    <row r="789" ht="15.75" customHeight="1">
      <c r="L789" s="241"/>
      <c r="M789" s="241"/>
      <c r="Q789" s="301"/>
    </row>
    <row r="790" ht="15.75" customHeight="1">
      <c r="L790" s="241"/>
      <c r="M790" s="241"/>
      <c r="Q790" s="301"/>
    </row>
    <row r="791" ht="15.75" customHeight="1">
      <c r="L791" s="241"/>
      <c r="M791" s="241"/>
      <c r="Q791" s="301"/>
    </row>
    <row r="792" ht="15.75" customHeight="1">
      <c r="L792" s="241"/>
      <c r="M792" s="241"/>
      <c r="Q792" s="301"/>
    </row>
    <row r="793" ht="15.75" customHeight="1">
      <c r="L793" s="241"/>
      <c r="M793" s="241"/>
      <c r="Q793" s="301"/>
    </row>
    <row r="794" ht="15.75" customHeight="1">
      <c r="L794" s="241"/>
      <c r="M794" s="241"/>
      <c r="Q794" s="301"/>
    </row>
    <row r="795" ht="15.75" customHeight="1">
      <c r="L795" s="241"/>
      <c r="M795" s="241"/>
      <c r="Q795" s="301"/>
    </row>
    <row r="796" ht="15.75" customHeight="1">
      <c r="L796" s="241"/>
      <c r="M796" s="241"/>
      <c r="Q796" s="301"/>
    </row>
    <row r="797" ht="15.75" customHeight="1">
      <c r="L797" s="241"/>
      <c r="M797" s="241"/>
      <c r="Q797" s="301"/>
    </row>
    <row r="798" ht="15.75" customHeight="1">
      <c r="L798" s="241"/>
      <c r="M798" s="241"/>
      <c r="Q798" s="301"/>
    </row>
    <row r="799" ht="15.75" customHeight="1">
      <c r="L799" s="241"/>
      <c r="M799" s="241"/>
      <c r="Q799" s="301"/>
    </row>
    <row r="800" ht="15.75" customHeight="1">
      <c r="L800" s="241"/>
      <c r="M800" s="241"/>
      <c r="Q800" s="301"/>
    </row>
    <row r="801" ht="15.75" customHeight="1">
      <c r="L801" s="241"/>
      <c r="M801" s="241"/>
      <c r="Q801" s="301"/>
    </row>
    <row r="802" ht="15.75" customHeight="1">
      <c r="L802" s="241"/>
      <c r="M802" s="241"/>
      <c r="Q802" s="301"/>
    </row>
    <row r="803" ht="15.75" customHeight="1">
      <c r="L803" s="241"/>
      <c r="M803" s="241"/>
      <c r="Q803" s="301"/>
    </row>
    <row r="804" ht="15.75" customHeight="1">
      <c r="L804" s="241"/>
      <c r="M804" s="241"/>
      <c r="Q804" s="301"/>
    </row>
    <row r="805" ht="15.75" customHeight="1">
      <c r="L805" s="241"/>
      <c r="M805" s="241"/>
      <c r="Q805" s="301"/>
    </row>
    <row r="806" ht="15.75" customHeight="1">
      <c r="L806" s="241"/>
      <c r="M806" s="241"/>
      <c r="Q806" s="301"/>
    </row>
    <row r="807" ht="15.75" customHeight="1">
      <c r="L807" s="241"/>
      <c r="M807" s="241"/>
      <c r="Q807" s="301"/>
    </row>
    <row r="808" ht="15.75" customHeight="1">
      <c r="L808" s="241"/>
      <c r="M808" s="241"/>
      <c r="Q808" s="301"/>
    </row>
    <row r="809" ht="15.75" customHeight="1">
      <c r="L809" s="241"/>
      <c r="M809" s="241"/>
      <c r="Q809" s="301"/>
    </row>
    <row r="810" ht="15.75" customHeight="1">
      <c r="L810" s="241"/>
      <c r="M810" s="241"/>
      <c r="Q810" s="301"/>
    </row>
    <row r="811" ht="15.75" customHeight="1">
      <c r="L811" s="241"/>
      <c r="M811" s="241"/>
      <c r="Q811" s="301"/>
    </row>
    <row r="812" ht="15.75" customHeight="1">
      <c r="L812" s="241"/>
      <c r="M812" s="241"/>
      <c r="Q812" s="301"/>
    </row>
    <row r="813" ht="15.75" customHeight="1">
      <c r="L813" s="241"/>
      <c r="M813" s="241"/>
      <c r="Q813" s="301"/>
    </row>
    <row r="814" ht="15.75" customHeight="1">
      <c r="L814" s="241"/>
      <c r="M814" s="241"/>
      <c r="Q814" s="301"/>
    </row>
    <row r="815" ht="15.75" customHeight="1">
      <c r="L815" s="241"/>
      <c r="M815" s="241"/>
      <c r="Q815" s="301"/>
    </row>
    <row r="816" ht="15.75" customHeight="1">
      <c r="L816" s="241"/>
      <c r="M816" s="241"/>
      <c r="Q816" s="301"/>
    </row>
    <row r="817" ht="15.75" customHeight="1">
      <c r="L817" s="241"/>
      <c r="M817" s="241"/>
      <c r="Q817" s="301"/>
    </row>
    <row r="818" ht="15.75" customHeight="1">
      <c r="L818" s="241"/>
      <c r="M818" s="241"/>
      <c r="Q818" s="301"/>
    </row>
    <row r="819" ht="15.75" customHeight="1">
      <c r="L819" s="241"/>
      <c r="M819" s="241"/>
      <c r="Q819" s="301"/>
    </row>
    <row r="820" ht="15.75" customHeight="1">
      <c r="L820" s="241"/>
      <c r="M820" s="241"/>
      <c r="Q820" s="301"/>
    </row>
    <row r="821" ht="15.75" customHeight="1">
      <c r="L821" s="241"/>
      <c r="M821" s="241"/>
      <c r="Q821" s="301"/>
    </row>
    <row r="822" ht="15.75" customHeight="1">
      <c r="L822" s="241"/>
      <c r="M822" s="241"/>
      <c r="Q822" s="301"/>
    </row>
    <row r="823" ht="15.75" customHeight="1">
      <c r="L823" s="241"/>
      <c r="M823" s="241"/>
      <c r="Q823" s="301"/>
    </row>
    <row r="824" ht="15.75" customHeight="1">
      <c r="L824" s="241"/>
      <c r="M824" s="241"/>
      <c r="Q824" s="301"/>
    </row>
    <row r="825" ht="15.75" customHeight="1">
      <c r="L825" s="241"/>
      <c r="M825" s="241"/>
      <c r="Q825" s="301"/>
    </row>
    <row r="826" ht="15.75" customHeight="1">
      <c r="L826" s="241"/>
      <c r="M826" s="241"/>
      <c r="Q826" s="301"/>
    </row>
    <row r="827" ht="15.75" customHeight="1">
      <c r="L827" s="241"/>
      <c r="M827" s="241"/>
      <c r="Q827" s="301"/>
    </row>
    <row r="828" ht="15.75" customHeight="1">
      <c r="L828" s="241"/>
      <c r="M828" s="241"/>
      <c r="Q828" s="301"/>
    </row>
    <row r="829" ht="15.75" customHeight="1">
      <c r="L829" s="241"/>
      <c r="M829" s="241"/>
      <c r="Q829" s="301"/>
    </row>
    <row r="830" ht="15.75" customHeight="1">
      <c r="L830" s="241"/>
      <c r="M830" s="241"/>
      <c r="Q830" s="301"/>
    </row>
    <row r="831" ht="15.75" customHeight="1">
      <c r="L831" s="241"/>
      <c r="M831" s="241"/>
      <c r="Q831" s="301"/>
    </row>
    <row r="832" ht="15.75" customHeight="1">
      <c r="L832" s="241"/>
      <c r="M832" s="241"/>
      <c r="Q832" s="301"/>
    </row>
    <row r="833" ht="15.75" customHeight="1">
      <c r="L833" s="241"/>
      <c r="M833" s="241"/>
      <c r="Q833" s="301"/>
    </row>
    <row r="834" ht="15.75" customHeight="1">
      <c r="L834" s="241"/>
      <c r="M834" s="241"/>
      <c r="Q834" s="301"/>
    </row>
    <row r="835" ht="15.75" customHeight="1">
      <c r="L835" s="241"/>
      <c r="M835" s="241"/>
      <c r="Q835" s="301"/>
    </row>
    <row r="836" ht="15.75" customHeight="1">
      <c r="L836" s="241"/>
      <c r="M836" s="241"/>
      <c r="Q836" s="301"/>
    </row>
    <row r="837" ht="15.75" customHeight="1">
      <c r="L837" s="241"/>
      <c r="M837" s="241"/>
      <c r="Q837" s="301"/>
    </row>
    <row r="838" ht="15.75" customHeight="1">
      <c r="L838" s="241"/>
      <c r="M838" s="241"/>
      <c r="Q838" s="301"/>
    </row>
    <row r="839" ht="15.75" customHeight="1">
      <c r="L839" s="241"/>
      <c r="M839" s="241"/>
      <c r="Q839" s="301"/>
    </row>
    <row r="840" ht="15.75" customHeight="1">
      <c r="L840" s="241"/>
      <c r="M840" s="241"/>
      <c r="Q840" s="301"/>
    </row>
    <row r="841" ht="15.75" customHeight="1">
      <c r="L841" s="241"/>
      <c r="M841" s="241"/>
      <c r="Q841" s="301"/>
    </row>
    <row r="842" ht="15.75" customHeight="1">
      <c r="L842" s="241"/>
      <c r="M842" s="241"/>
      <c r="Q842" s="301"/>
    </row>
    <row r="843" ht="15.75" customHeight="1">
      <c r="L843" s="241"/>
      <c r="M843" s="241"/>
      <c r="Q843" s="301"/>
    </row>
    <row r="844" ht="15.75" customHeight="1">
      <c r="L844" s="241"/>
      <c r="M844" s="241"/>
      <c r="Q844" s="301"/>
    </row>
    <row r="845" ht="15.75" customHeight="1">
      <c r="L845" s="241"/>
      <c r="M845" s="241"/>
      <c r="Q845" s="301"/>
    </row>
    <row r="846" ht="15.75" customHeight="1">
      <c r="L846" s="241"/>
      <c r="M846" s="241"/>
      <c r="Q846" s="301"/>
    </row>
    <row r="847" ht="15.75" customHeight="1">
      <c r="L847" s="241"/>
      <c r="M847" s="241"/>
      <c r="Q847" s="301"/>
    </row>
    <row r="848" ht="15.75" customHeight="1">
      <c r="L848" s="241"/>
      <c r="M848" s="241"/>
      <c r="Q848" s="301"/>
    </row>
    <row r="849" ht="15.75" customHeight="1">
      <c r="L849" s="241"/>
      <c r="M849" s="241"/>
      <c r="Q849" s="301"/>
    </row>
    <row r="850" ht="15.75" customHeight="1">
      <c r="L850" s="241"/>
      <c r="M850" s="241"/>
      <c r="Q850" s="301"/>
    </row>
    <row r="851" ht="15.75" customHeight="1">
      <c r="L851" s="241"/>
      <c r="M851" s="241"/>
      <c r="Q851" s="301"/>
    </row>
    <row r="852" ht="15.75" customHeight="1">
      <c r="L852" s="241"/>
      <c r="M852" s="241"/>
      <c r="Q852" s="301"/>
    </row>
    <row r="853" ht="15.75" customHeight="1">
      <c r="L853" s="241"/>
      <c r="M853" s="241"/>
      <c r="Q853" s="301"/>
    </row>
    <row r="854" ht="15.75" customHeight="1">
      <c r="L854" s="241"/>
      <c r="M854" s="241"/>
      <c r="Q854" s="301"/>
    </row>
    <row r="855" ht="15.75" customHeight="1">
      <c r="L855" s="241"/>
      <c r="M855" s="241"/>
      <c r="Q855" s="301"/>
    </row>
    <row r="856" ht="15.75" customHeight="1">
      <c r="L856" s="241"/>
      <c r="M856" s="241"/>
      <c r="Q856" s="301"/>
    </row>
    <row r="857" ht="15.75" customHeight="1">
      <c r="L857" s="241"/>
      <c r="M857" s="241"/>
      <c r="Q857" s="301"/>
    </row>
    <row r="858" ht="15.75" customHeight="1">
      <c r="L858" s="241"/>
      <c r="M858" s="241"/>
      <c r="Q858" s="301"/>
    </row>
    <row r="859" ht="15.75" customHeight="1">
      <c r="L859" s="241"/>
      <c r="M859" s="241"/>
      <c r="Q859" s="301"/>
    </row>
    <row r="860" ht="15.75" customHeight="1">
      <c r="L860" s="241"/>
      <c r="M860" s="241"/>
      <c r="Q860" s="301"/>
    </row>
    <row r="861" ht="15.75" customHeight="1">
      <c r="L861" s="241"/>
      <c r="M861" s="241"/>
      <c r="Q861" s="301"/>
    </row>
    <row r="862" ht="15.75" customHeight="1">
      <c r="L862" s="241"/>
      <c r="M862" s="241"/>
      <c r="Q862" s="301"/>
    </row>
    <row r="863" ht="15.75" customHeight="1">
      <c r="L863" s="241"/>
      <c r="M863" s="241"/>
      <c r="Q863" s="301"/>
    </row>
    <row r="864" ht="15.75" customHeight="1">
      <c r="L864" s="241"/>
      <c r="M864" s="241"/>
      <c r="Q864" s="301"/>
    </row>
    <row r="865" ht="15.75" customHeight="1">
      <c r="L865" s="241"/>
      <c r="M865" s="241"/>
      <c r="Q865" s="301"/>
    </row>
    <row r="866" ht="15.75" customHeight="1">
      <c r="L866" s="241"/>
      <c r="M866" s="241"/>
      <c r="Q866" s="301"/>
    </row>
    <row r="867" ht="15.75" customHeight="1">
      <c r="L867" s="241"/>
      <c r="M867" s="241"/>
      <c r="Q867" s="301"/>
    </row>
    <row r="868" ht="15.75" customHeight="1">
      <c r="L868" s="241"/>
      <c r="M868" s="241"/>
      <c r="Q868" s="301"/>
    </row>
    <row r="869" ht="15.75" customHeight="1">
      <c r="L869" s="241"/>
      <c r="M869" s="241"/>
      <c r="Q869" s="301"/>
    </row>
    <row r="870" ht="15.75" customHeight="1">
      <c r="L870" s="241"/>
      <c r="M870" s="241"/>
      <c r="Q870" s="301"/>
    </row>
    <row r="871" ht="15.75" customHeight="1">
      <c r="L871" s="241"/>
      <c r="M871" s="241"/>
      <c r="Q871" s="301"/>
    </row>
    <row r="872" ht="15.75" customHeight="1">
      <c r="L872" s="241"/>
      <c r="M872" s="241"/>
      <c r="Q872" s="301"/>
    </row>
    <row r="873" ht="15.75" customHeight="1">
      <c r="L873" s="241"/>
      <c r="M873" s="241"/>
      <c r="Q873" s="301"/>
    </row>
    <row r="874" ht="15.75" customHeight="1">
      <c r="L874" s="241"/>
      <c r="M874" s="241"/>
      <c r="Q874" s="301"/>
    </row>
    <row r="875" ht="15.75" customHeight="1">
      <c r="L875" s="241"/>
      <c r="M875" s="241"/>
      <c r="Q875" s="301"/>
    </row>
    <row r="876" ht="15.75" customHeight="1">
      <c r="L876" s="241"/>
      <c r="M876" s="241"/>
      <c r="Q876" s="301"/>
    </row>
    <row r="877" ht="15.75" customHeight="1">
      <c r="L877" s="241"/>
      <c r="M877" s="241"/>
      <c r="Q877" s="301"/>
    </row>
    <row r="878" ht="15.75" customHeight="1">
      <c r="L878" s="241"/>
      <c r="M878" s="241"/>
      <c r="Q878" s="301"/>
    </row>
    <row r="879" ht="15.75" customHeight="1">
      <c r="L879" s="241"/>
      <c r="M879" s="241"/>
      <c r="Q879" s="301"/>
    </row>
    <row r="880" ht="15.75" customHeight="1">
      <c r="L880" s="241"/>
      <c r="M880" s="241"/>
      <c r="Q880" s="301"/>
    </row>
    <row r="881" ht="15.75" customHeight="1">
      <c r="L881" s="241"/>
      <c r="M881" s="241"/>
      <c r="Q881" s="301"/>
    </row>
    <row r="882" ht="15.75" customHeight="1">
      <c r="L882" s="241"/>
      <c r="M882" s="241"/>
      <c r="Q882" s="301"/>
    </row>
    <row r="883" ht="15.75" customHeight="1">
      <c r="L883" s="241"/>
      <c r="M883" s="241"/>
      <c r="Q883" s="301"/>
    </row>
    <row r="884" ht="15.75" customHeight="1">
      <c r="L884" s="241"/>
      <c r="M884" s="241"/>
      <c r="Q884" s="301"/>
    </row>
    <row r="885" ht="15.75" customHeight="1">
      <c r="L885" s="241"/>
      <c r="M885" s="241"/>
      <c r="Q885" s="301"/>
    </row>
    <row r="886" ht="15.75" customHeight="1">
      <c r="L886" s="241"/>
      <c r="M886" s="241"/>
      <c r="Q886" s="301"/>
    </row>
    <row r="887" ht="15.75" customHeight="1">
      <c r="L887" s="241"/>
      <c r="M887" s="241"/>
      <c r="Q887" s="301"/>
    </row>
    <row r="888" ht="15.75" customHeight="1">
      <c r="L888" s="241"/>
      <c r="M888" s="241"/>
      <c r="Q888" s="301"/>
    </row>
    <row r="889" ht="15.75" customHeight="1">
      <c r="L889" s="241"/>
      <c r="M889" s="241"/>
      <c r="Q889" s="301"/>
    </row>
    <row r="890" ht="15.75" customHeight="1">
      <c r="L890" s="241"/>
      <c r="M890" s="241"/>
      <c r="Q890" s="301"/>
    </row>
    <row r="891" ht="15.75" customHeight="1">
      <c r="L891" s="241"/>
      <c r="M891" s="241"/>
      <c r="Q891" s="301"/>
    </row>
    <row r="892" ht="15.75" customHeight="1">
      <c r="L892" s="241"/>
      <c r="M892" s="241"/>
      <c r="Q892" s="301"/>
    </row>
    <row r="893" ht="15.75" customHeight="1">
      <c r="L893" s="241"/>
      <c r="M893" s="241"/>
      <c r="Q893" s="301"/>
    </row>
    <row r="894" ht="15.75" customHeight="1">
      <c r="L894" s="241"/>
      <c r="M894" s="241"/>
      <c r="Q894" s="301"/>
    </row>
    <row r="895" ht="15.75" customHeight="1">
      <c r="L895" s="241"/>
      <c r="M895" s="241"/>
      <c r="Q895" s="301"/>
    </row>
    <row r="896" ht="15.75" customHeight="1">
      <c r="L896" s="241"/>
      <c r="M896" s="241"/>
      <c r="Q896" s="301"/>
    </row>
    <row r="897" ht="15.75" customHeight="1">
      <c r="L897" s="241"/>
      <c r="M897" s="241"/>
      <c r="Q897" s="301"/>
    </row>
    <row r="898" ht="15.75" customHeight="1">
      <c r="L898" s="241"/>
      <c r="M898" s="241"/>
      <c r="Q898" s="301"/>
    </row>
    <row r="899" ht="15.75" customHeight="1">
      <c r="L899" s="241"/>
      <c r="M899" s="241"/>
      <c r="Q899" s="301"/>
    </row>
    <row r="900" ht="15.75" customHeight="1">
      <c r="L900" s="241"/>
      <c r="M900" s="241"/>
      <c r="Q900" s="301"/>
    </row>
    <row r="901" ht="15.75" customHeight="1">
      <c r="L901" s="241"/>
      <c r="M901" s="241"/>
      <c r="Q901" s="301"/>
    </row>
    <row r="902" ht="15.75" customHeight="1">
      <c r="L902" s="241"/>
      <c r="M902" s="241"/>
      <c r="Q902" s="301"/>
    </row>
    <row r="903" ht="15.75" customHeight="1">
      <c r="L903" s="241"/>
      <c r="M903" s="241"/>
      <c r="Q903" s="301"/>
    </row>
    <row r="904" ht="15.75" customHeight="1">
      <c r="L904" s="241"/>
      <c r="M904" s="241"/>
      <c r="Q904" s="301"/>
    </row>
    <row r="905" ht="15.75" customHeight="1">
      <c r="L905" s="241"/>
      <c r="M905" s="241"/>
      <c r="Q905" s="301"/>
    </row>
    <row r="906" ht="15.75" customHeight="1">
      <c r="L906" s="241"/>
      <c r="M906" s="241"/>
      <c r="Q906" s="301"/>
    </row>
    <row r="907" ht="15.75" customHeight="1">
      <c r="L907" s="241"/>
      <c r="M907" s="241"/>
      <c r="Q907" s="301"/>
    </row>
    <row r="908" ht="15.75" customHeight="1">
      <c r="L908" s="241"/>
      <c r="M908" s="241"/>
      <c r="Q908" s="301"/>
    </row>
    <row r="909" ht="15.75" customHeight="1">
      <c r="L909" s="241"/>
      <c r="M909" s="241"/>
      <c r="Q909" s="301"/>
    </row>
    <row r="910" ht="15.75" customHeight="1">
      <c r="L910" s="241"/>
      <c r="M910" s="241"/>
      <c r="Q910" s="301"/>
    </row>
    <row r="911" ht="15.75" customHeight="1">
      <c r="L911" s="241"/>
      <c r="M911" s="241"/>
      <c r="Q911" s="301"/>
    </row>
    <row r="912" ht="15.75" customHeight="1">
      <c r="L912" s="241"/>
      <c r="M912" s="241"/>
      <c r="Q912" s="301"/>
    </row>
    <row r="913" ht="15.75" customHeight="1">
      <c r="L913" s="241"/>
      <c r="M913" s="241"/>
      <c r="Q913" s="301"/>
    </row>
    <row r="914" ht="15.75" customHeight="1">
      <c r="L914" s="241"/>
      <c r="M914" s="241"/>
      <c r="Q914" s="301"/>
    </row>
    <row r="915" ht="15.75" customHeight="1">
      <c r="L915" s="241"/>
      <c r="M915" s="241"/>
      <c r="Q915" s="301"/>
    </row>
    <row r="916" ht="15.75" customHeight="1">
      <c r="L916" s="241"/>
      <c r="M916" s="241"/>
      <c r="Q916" s="301"/>
    </row>
    <row r="917" ht="15.75" customHeight="1">
      <c r="L917" s="241"/>
      <c r="M917" s="241"/>
      <c r="Q917" s="301"/>
    </row>
    <row r="918" ht="15.75" customHeight="1">
      <c r="L918" s="241"/>
      <c r="M918" s="241"/>
      <c r="Q918" s="301"/>
    </row>
    <row r="919" ht="15.75" customHeight="1">
      <c r="L919" s="241"/>
      <c r="M919" s="241"/>
      <c r="Q919" s="301"/>
    </row>
    <row r="920" ht="15.75" customHeight="1">
      <c r="L920" s="241"/>
      <c r="M920" s="241"/>
      <c r="Q920" s="301"/>
    </row>
    <row r="921" ht="15.75" customHeight="1">
      <c r="L921" s="241"/>
      <c r="M921" s="241"/>
      <c r="Q921" s="301"/>
    </row>
    <row r="922" ht="15.75" customHeight="1">
      <c r="L922" s="241"/>
      <c r="M922" s="241"/>
      <c r="Q922" s="301"/>
    </row>
    <row r="923" ht="15.75" customHeight="1">
      <c r="L923" s="241"/>
      <c r="M923" s="241"/>
      <c r="Q923" s="301"/>
    </row>
    <row r="924" ht="15.75" customHeight="1">
      <c r="L924" s="241"/>
      <c r="M924" s="241"/>
      <c r="Q924" s="301"/>
    </row>
    <row r="925" ht="15.75" customHeight="1">
      <c r="L925" s="241"/>
      <c r="M925" s="241"/>
      <c r="Q925" s="301"/>
    </row>
    <row r="926" ht="15.75" customHeight="1">
      <c r="L926" s="241"/>
      <c r="M926" s="241"/>
      <c r="Q926" s="301"/>
    </row>
    <row r="927" ht="15.75" customHeight="1">
      <c r="L927" s="241"/>
      <c r="M927" s="241"/>
      <c r="Q927" s="301"/>
    </row>
    <row r="928" ht="15.75" customHeight="1">
      <c r="L928" s="241"/>
      <c r="M928" s="241"/>
      <c r="Q928" s="301"/>
    </row>
    <row r="929" ht="15.75" customHeight="1">
      <c r="L929" s="241"/>
      <c r="M929" s="241"/>
      <c r="Q929" s="301"/>
    </row>
    <row r="930" ht="15.75" customHeight="1">
      <c r="L930" s="241"/>
      <c r="M930" s="241"/>
      <c r="Q930" s="301"/>
    </row>
    <row r="931" ht="15.75" customHeight="1">
      <c r="L931" s="241"/>
      <c r="M931" s="241"/>
      <c r="Q931" s="301"/>
    </row>
    <row r="932" ht="15.75" customHeight="1">
      <c r="L932" s="241"/>
      <c r="M932" s="241"/>
      <c r="Q932" s="301"/>
    </row>
    <row r="933" ht="15.75" customHeight="1">
      <c r="L933" s="241"/>
      <c r="M933" s="241"/>
      <c r="Q933" s="301"/>
    </row>
    <row r="934" ht="15.75" customHeight="1">
      <c r="L934" s="241"/>
      <c r="M934" s="241"/>
      <c r="Q934" s="301"/>
    </row>
    <row r="935" ht="15.75" customHeight="1">
      <c r="L935" s="241"/>
      <c r="M935" s="241"/>
      <c r="Q935" s="301"/>
    </row>
    <row r="936" ht="15.75" customHeight="1">
      <c r="L936" s="241"/>
      <c r="M936" s="241"/>
      <c r="Q936" s="301"/>
    </row>
    <row r="937" ht="15.75" customHeight="1">
      <c r="L937" s="241"/>
      <c r="M937" s="241"/>
      <c r="Q937" s="301"/>
    </row>
    <row r="938" ht="15.75" customHeight="1">
      <c r="L938" s="241"/>
      <c r="M938" s="241"/>
      <c r="Q938" s="301"/>
    </row>
    <row r="939" ht="15.75" customHeight="1">
      <c r="L939" s="241"/>
      <c r="M939" s="241"/>
      <c r="Q939" s="301"/>
    </row>
    <row r="940" ht="15.75" customHeight="1">
      <c r="L940" s="241"/>
      <c r="M940" s="241"/>
      <c r="Q940" s="301"/>
    </row>
    <row r="941" ht="15.75" customHeight="1">
      <c r="L941" s="241"/>
      <c r="M941" s="241"/>
      <c r="Q941" s="301"/>
    </row>
    <row r="942" ht="15.75" customHeight="1">
      <c r="L942" s="241"/>
      <c r="M942" s="241"/>
      <c r="Q942" s="301"/>
    </row>
    <row r="943" ht="15.75" customHeight="1">
      <c r="L943" s="241"/>
      <c r="M943" s="241"/>
      <c r="Q943" s="301"/>
    </row>
    <row r="944" ht="15.75" customHeight="1">
      <c r="L944" s="241"/>
      <c r="M944" s="241"/>
      <c r="Q944" s="301"/>
    </row>
    <row r="945" ht="15.75" customHeight="1">
      <c r="L945" s="241"/>
      <c r="M945" s="241"/>
      <c r="Q945" s="301"/>
    </row>
    <row r="946" ht="15.75" customHeight="1">
      <c r="L946" s="241"/>
      <c r="M946" s="241"/>
      <c r="Q946" s="301"/>
    </row>
    <row r="947" ht="15.75" customHeight="1">
      <c r="L947" s="241"/>
      <c r="M947" s="241"/>
      <c r="Q947" s="301"/>
    </row>
    <row r="948" ht="15.75" customHeight="1">
      <c r="L948" s="241"/>
      <c r="M948" s="241"/>
      <c r="Q948" s="301"/>
    </row>
    <row r="949" ht="15.75" customHeight="1">
      <c r="L949" s="241"/>
      <c r="M949" s="241"/>
      <c r="Q949" s="301"/>
    </row>
    <row r="950" ht="15.75" customHeight="1">
      <c r="L950" s="241"/>
      <c r="M950" s="241"/>
      <c r="Q950" s="301"/>
    </row>
    <row r="951" ht="15.75" customHeight="1">
      <c r="L951" s="241"/>
      <c r="M951" s="241"/>
      <c r="Q951" s="301"/>
    </row>
    <row r="952" ht="15.75" customHeight="1">
      <c r="L952" s="241"/>
      <c r="M952" s="241"/>
      <c r="Q952" s="301"/>
    </row>
    <row r="953" ht="15.75" customHeight="1">
      <c r="L953" s="241"/>
      <c r="M953" s="241"/>
      <c r="Q953" s="301"/>
    </row>
    <row r="954" ht="15.75" customHeight="1">
      <c r="L954" s="241"/>
      <c r="M954" s="241"/>
      <c r="Q954" s="301"/>
    </row>
    <row r="955" ht="15.75" customHeight="1">
      <c r="L955" s="241"/>
      <c r="M955" s="241"/>
      <c r="Q955" s="301"/>
    </row>
    <row r="956" ht="15.75" customHeight="1">
      <c r="L956" s="241"/>
      <c r="M956" s="241"/>
      <c r="Q956" s="301"/>
    </row>
    <row r="957" ht="15.75" customHeight="1">
      <c r="L957" s="241"/>
      <c r="M957" s="241"/>
      <c r="Q957" s="301"/>
    </row>
    <row r="958" ht="15.75" customHeight="1">
      <c r="L958" s="241"/>
      <c r="M958" s="241"/>
      <c r="Q958" s="301"/>
    </row>
    <row r="959" ht="15.75" customHeight="1">
      <c r="L959" s="241"/>
      <c r="M959" s="241"/>
      <c r="Q959" s="301"/>
    </row>
    <row r="960" ht="15.75" customHeight="1">
      <c r="L960" s="241"/>
      <c r="M960" s="241"/>
      <c r="Q960" s="301"/>
    </row>
    <row r="961" ht="15.75" customHeight="1">
      <c r="L961" s="241"/>
      <c r="M961" s="241"/>
      <c r="Q961" s="301"/>
    </row>
    <row r="962" ht="15.75" customHeight="1">
      <c r="L962" s="241"/>
      <c r="M962" s="241"/>
      <c r="Q962" s="301"/>
    </row>
    <row r="963" ht="15.75" customHeight="1">
      <c r="L963" s="241"/>
      <c r="M963" s="241"/>
      <c r="Q963" s="301"/>
    </row>
    <row r="964" ht="15.75" customHeight="1">
      <c r="L964" s="241"/>
      <c r="M964" s="241"/>
      <c r="Q964" s="301"/>
    </row>
    <row r="965" ht="15.75" customHeight="1">
      <c r="L965" s="241"/>
      <c r="M965" s="241"/>
      <c r="Q965" s="301"/>
    </row>
    <row r="966" ht="15.75" customHeight="1">
      <c r="L966" s="241"/>
      <c r="M966" s="241"/>
      <c r="Q966" s="301"/>
    </row>
    <row r="967" ht="15.75" customHeight="1">
      <c r="L967" s="241"/>
      <c r="M967" s="241"/>
      <c r="Q967" s="301"/>
    </row>
    <row r="968" ht="15.75" customHeight="1">
      <c r="L968" s="241"/>
      <c r="M968" s="241"/>
      <c r="Q968" s="301"/>
    </row>
    <row r="969" ht="15.75" customHeight="1">
      <c r="L969" s="241"/>
      <c r="M969" s="241"/>
      <c r="Q969" s="301"/>
    </row>
    <row r="970" ht="15.75" customHeight="1">
      <c r="L970" s="241"/>
      <c r="M970" s="241"/>
      <c r="Q970" s="301"/>
    </row>
    <row r="971" ht="15.75" customHeight="1">
      <c r="L971" s="241"/>
      <c r="M971" s="241"/>
      <c r="Q971" s="301"/>
    </row>
    <row r="972" ht="15.75" customHeight="1">
      <c r="L972" s="241"/>
      <c r="M972" s="241"/>
      <c r="Q972" s="301"/>
    </row>
    <row r="973" ht="15.75" customHeight="1">
      <c r="L973" s="241"/>
      <c r="M973" s="241"/>
      <c r="Q973" s="301"/>
    </row>
    <row r="974" ht="15.75" customHeight="1">
      <c r="L974" s="241"/>
      <c r="M974" s="241"/>
      <c r="Q974" s="301"/>
    </row>
    <row r="975" ht="15.75" customHeight="1">
      <c r="L975" s="241"/>
      <c r="M975" s="241"/>
      <c r="Q975" s="301"/>
    </row>
    <row r="976" ht="15.75" customHeight="1">
      <c r="L976" s="241"/>
      <c r="M976" s="241"/>
      <c r="Q976" s="301"/>
    </row>
    <row r="977" ht="15.75" customHeight="1">
      <c r="L977" s="241"/>
      <c r="M977" s="241"/>
      <c r="Q977" s="301"/>
    </row>
    <row r="978" ht="15.75" customHeight="1">
      <c r="L978" s="241"/>
      <c r="M978" s="241"/>
      <c r="Q978" s="301"/>
    </row>
    <row r="979" ht="15.75" customHeight="1">
      <c r="L979" s="241"/>
      <c r="M979" s="241"/>
      <c r="Q979" s="301"/>
    </row>
    <row r="980" ht="15.75" customHeight="1">
      <c r="L980" s="241"/>
      <c r="M980" s="241"/>
      <c r="Q980" s="301"/>
    </row>
    <row r="981" ht="15.75" customHeight="1">
      <c r="L981" s="241"/>
      <c r="M981" s="241"/>
      <c r="Q981" s="301"/>
    </row>
    <row r="982" ht="15.75" customHeight="1">
      <c r="L982" s="241"/>
      <c r="M982" s="241"/>
      <c r="Q982" s="301"/>
    </row>
    <row r="983" ht="15.75" customHeight="1">
      <c r="L983" s="241"/>
      <c r="M983" s="241"/>
      <c r="Q983" s="301"/>
    </row>
    <row r="984" ht="15.75" customHeight="1">
      <c r="L984" s="241"/>
      <c r="M984" s="241"/>
      <c r="Q984" s="301"/>
    </row>
    <row r="985" ht="15.75" customHeight="1">
      <c r="L985" s="241"/>
      <c r="M985" s="241"/>
      <c r="Q985" s="301"/>
    </row>
    <row r="986" ht="15.75" customHeight="1">
      <c r="L986" s="241"/>
      <c r="M986" s="241"/>
      <c r="Q986" s="301"/>
    </row>
    <row r="987" ht="15.75" customHeight="1">
      <c r="L987" s="241"/>
      <c r="M987" s="241"/>
      <c r="Q987" s="301"/>
    </row>
    <row r="988" ht="15.75" customHeight="1">
      <c r="L988" s="241"/>
      <c r="M988" s="241"/>
      <c r="Q988" s="301"/>
    </row>
    <row r="989" ht="15.75" customHeight="1">
      <c r="L989" s="241"/>
      <c r="M989" s="241"/>
      <c r="Q989" s="301"/>
    </row>
    <row r="990" ht="15.75" customHeight="1">
      <c r="L990" s="241"/>
      <c r="M990" s="241"/>
      <c r="Q990" s="301"/>
    </row>
    <row r="991" ht="15.75" customHeight="1">
      <c r="L991" s="241"/>
      <c r="M991" s="241"/>
      <c r="Q991" s="301"/>
    </row>
    <row r="992" ht="15.75" customHeight="1">
      <c r="L992" s="241"/>
      <c r="M992" s="241"/>
      <c r="Q992" s="301"/>
    </row>
    <row r="993" ht="15.75" customHeight="1">
      <c r="L993" s="241"/>
      <c r="M993" s="241"/>
      <c r="Q993" s="301"/>
    </row>
    <row r="994" ht="15.75" customHeight="1">
      <c r="L994" s="241"/>
      <c r="M994" s="241"/>
      <c r="Q994" s="301"/>
    </row>
    <row r="995" ht="15.75" customHeight="1">
      <c r="L995" s="241"/>
      <c r="M995" s="241"/>
      <c r="Q995" s="301"/>
    </row>
    <row r="996" ht="15.75" customHeight="1">
      <c r="L996" s="241"/>
      <c r="M996" s="241"/>
      <c r="Q996" s="301"/>
    </row>
    <row r="997" ht="15.75" customHeight="1">
      <c r="L997" s="241"/>
      <c r="M997" s="241"/>
      <c r="Q997" s="301"/>
    </row>
    <row r="998" ht="15.75" customHeight="1">
      <c r="L998" s="241"/>
      <c r="M998" s="241"/>
      <c r="Q998" s="301"/>
    </row>
    <row r="999" ht="15.75" customHeight="1">
      <c r="L999" s="241"/>
      <c r="M999" s="241"/>
      <c r="Q999" s="301"/>
    </row>
    <row r="1000" ht="15.75" customHeight="1">
      <c r="L1000" s="241"/>
      <c r="M1000" s="241"/>
      <c r="Q1000" s="301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N42 BO9:BW39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6" max="6" width="14.43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3" width="10.71"/>
    <col customWidth="1" min="14" max="14" width="12.57"/>
    <col customWidth="1" min="15" max="15" width="13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302"/>
      <c r="I1" s="302"/>
      <c r="L1" s="222"/>
      <c r="M1" s="222"/>
      <c r="N1" s="222"/>
      <c r="O1" s="222"/>
      <c r="P1" s="222"/>
      <c r="Q1" s="222"/>
      <c r="R1" s="222"/>
      <c r="Y1" s="303"/>
      <c r="Z1" s="304"/>
      <c r="AA1" s="304"/>
      <c r="AB1" s="304"/>
      <c r="AC1" s="303"/>
      <c r="AP1" s="305"/>
      <c r="AQ1" s="305"/>
      <c r="AR1" s="305"/>
      <c r="AS1" s="306"/>
      <c r="AT1" s="307"/>
    </row>
    <row r="2" ht="18.0" customHeight="1">
      <c r="A2" s="227" t="s">
        <v>92</v>
      </c>
      <c r="H2" s="302"/>
      <c r="I2" s="302"/>
      <c r="L2" s="222"/>
      <c r="M2" s="222"/>
      <c r="N2" s="222"/>
      <c r="O2" s="222"/>
      <c r="P2" s="222"/>
      <c r="Q2" s="222"/>
      <c r="R2" s="222"/>
      <c r="Y2" s="303"/>
      <c r="Z2" s="304"/>
      <c r="AA2" s="304"/>
      <c r="AB2" s="304"/>
      <c r="AC2" s="303"/>
      <c r="AP2" s="305"/>
      <c r="AQ2" s="305"/>
      <c r="AR2" s="305"/>
      <c r="AS2" s="306"/>
      <c r="AT2" s="307"/>
    </row>
    <row r="3" ht="18.0" customHeight="1">
      <c r="H3" s="302"/>
      <c r="I3" s="302"/>
      <c r="L3" s="308" t="s">
        <v>93</v>
      </c>
      <c r="M3" s="309"/>
      <c r="N3" s="309"/>
      <c r="O3" s="309"/>
      <c r="P3" s="309"/>
      <c r="Q3" s="309"/>
      <c r="R3" s="309"/>
      <c r="Y3" s="303"/>
      <c r="Z3" s="310"/>
      <c r="AA3" s="310"/>
      <c r="AB3" s="310"/>
      <c r="AC3" s="303"/>
      <c r="AD3" s="216" t="str">
        <f>'LUCERO SAN TELMO'!A7</f>
        <v>ABRIL</v>
      </c>
      <c r="AP3" s="305"/>
      <c r="AQ3" s="311"/>
      <c r="AR3" s="305"/>
      <c r="AS3" s="312"/>
      <c r="AT3" s="307"/>
    </row>
    <row r="4">
      <c r="A4" s="313" t="s">
        <v>94</v>
      </c>
      <c r="B4" s="313" t="s">
        <v>95</v>
      </c>
      <c r="C4" s="313" t="s">
        <v>96</v>
      </c>
      <c r="D4" s="313" t="s">
        <v>97</v>
      </c>
      <c r="E4" s="313" t="s">
        <v>98</v>
      </c>
      <c r="F4" s="313" t="s">
        <v>99</v>
      </c>
      <c r="G4" s="313" t="s">
        <v>100</v>
      </c>
      <c r="H4" s="314" t="s">
        <v>101</v>
      </c>
      <c r="I4" s="315" t="s">
        <v>102</v>
      </c>
      <c r="J4" s="316" t="s">
        <v>103</v>
      </c>
      <c r="K4" s="317"/>
      <c r="L4" s="318" t="s">
        <v>37</v>
      </c>
      <c r="M4" s="319" t="s">
        <v>41</v>
      </c>
      <c r="N4" s="319" t="s">
        <v>42</v>
      </c>
      <c r="O4" s="319" t="s">
        <v>104</v>
      </c>
      <c r="P4" s="319" t="s">
        <v>33</v>
      </c>
      <c r="Q4" s="319" t="s">
        <v>51</v>
      </c>
      <c r="R4" s="319" t="s">
        <v>52</v>
      </c>
      <c r="S4" s="317"/>
      <c r="T4" s="313" t="s">
        <v>105</v>
      </c>
      <c r="U4" s="313" t="s">
        <v>106</v>
      </c>
      <c r="V4" s="313" t="s">
        <v>107</v>
      </c>
      <c r="W4" s="313" t="s">
        <v>108</v>
      </c>
      <c r="X4" s="313" t="s">
        <v>109</v>
      </c>
      <c r="Y4" s="320"/>
      <c r="Z4" s="321" t="s">
        <v>110</v>
      </c>
      <c r="AA4" s="322" t="s">
        <v>41</v>
      </c>
      <c r="AB4" s="322" t="s">
        <v>42</v>
      </c>
      <c r="AC4" s="303"/>
      <c r="AD4" s="323" t="str">
        <f>'LUCERO SAN TELMO'!A8</f>
        <v>Fecha</v>
      </c>
      <c r="AE4" s="324" t="s">
        <v>53</v>
      </c>
      <c r="AF4" s="324" t="s">
        <v>111</v>
      </c>
      <c r="AG4" s="324"/>
      <c r="AH4" s="324" t="s">
        <v>112</v>
      </c>
      <c r="AI4" s="324" t="s">
        <v>113</v>
      </c>
      <c r="AJ4" s="324" t="s">
        <v>38</v>
      </c>
      <c r="AK4" s="325" t="s">
        <v>114</v>
      </c>
      <c r="AL4" s="324" t="s">
        <v>115</v>
      </c>
      <c r="AM4" s="324" t="s">
        <v>116</v>
      </c>
      <c r="AN4" s="324" t="s">
        <v>117</v>
      </c>
      <c r="AO4" s="324" t="s">
        <v>104</v>
      </c>
      <c r="AP4" s="326"/>
      <c r="AQ4" s="327" t="s">
        <v>118</v>
      </c>
      <c r="AR4" s="327" t="s">
        <v>119</v>
      </c>
      <c r="AS4" s="328" t="s">
        <v>120</v>
      </c>
      <c r="AT4" s="329"/>
    </row>
    <row r="5" ht="18.0" customHeight="1">
      <c r="A5" s="330" t="s">
        <v>121</v>
      </c>
      <c r="B5" s="331">
        <f>'LUCERO RECOLETA'!K41</f>
        <v>14266411.2</v>
      </c>
      <c r="C5" s="331">
        <f>'LUCERO RECOLETA'!W41</f>
        <v>443913.8</v>
      </c>
      <c r="D5" s="331">
        <f>'LUCERO RECOLETA'!Q41</f>
        <v>0</v>
      </c>
      <c r="E5" s="331">
        <f>'LUCERO RECOLETA'!AC41</f>
        <v>469950</v>
      </c>
      <c r="F5" s="332">
        <f t="shared" ref="F5:F16" si="1">SUM(B5+C5+D5-E5)</f>
        <v>14240375</v>
      </c>
      <c r="G5" s="332">
        <f>+'LUCERO RECOLETA'!BM41</f>
        <v>23218</v>
      </c>
      <c r="H5" s="333">
        <f>'LUCERO RECOLETA'!C41</f>
        <v>172</v>
      </c>
      <c r="I5" s="334">
        <f>'LUCERO RECOLETA'!F41</f>
        <v>0</v>
      </c>
      <c r="J5" s="335">
        <f t="shared" ref="J5:J15" si="2">IF(F5=0,0,F5/(H5-I5))</f>
        <v>82792.87791</v>
      </c>
      <c r="L5" s="336">
        <f>+'LUCERO RECOLETA'!BO41</f>
        <v>0.07675359673</v>
      </c>
      <c r="M5" s="337">
        <f>+'LUCERO RECOLETA'!BP41</f>
        <v>0.2122400569</v>
      </c>
      <c r="N5" s="337">
        <f>+'LUCERO RECOLETA'!BQ41</f>
        <v>0.6180859001</v>
      </c>
      <c r="O5" s="337">
        <f>+'LUCERO RECOLETA'!BR41</f>
        <v>0</v>
      </c>
      <c r="P5" s="337">
        <f>+'LUCERO RECOLETA'!BS41</f>
        <v>0.001238731424</v>
      </c>
      <c r="Q5" s="337">
        <f>+'LUCERO RECOLETA'!BT41</f>
        <v>0.09331214943</v>
      </c>
      <c r="R5" s="337">
        <f>+'LUCERO RECOLETA'!BU41</f>
        <v>0</v>
      </c>
      <c r="T5" s="338">
        <f>'LUCERO RECOLETA'!H41+'LUCERO RECOLETA'!N41+'LUCERO RECOLETA'!T41-'LUCERO RECOLETA'!Z41</f>
        <v>11768904.81</v>
      </c>
      <c r="U5" s="339">
        <f>MIN('LUCERO RECOLETA'!B9:B42)</f>
        <v>0</v>
      </c>
      <c r="V5" s="339">
        <f>'LUCERO RECOLETA'!B41</f>
        <v>0</v>
      </c>
      <c r="W5" s="339">
        <f>'LUCERO RECOLETA'!D41</f>
        <v>1314</v>
      </c>
      <c r="X5" s="339">
        <f>'LUCERO RECOLETA'!E41</f>
        <v>1485</v>
      </c>
      <c r="Y5" s="340">
        <f t="shared" ref="Y5:Y16" si="3">X5-W5-H5</f>
        <v>-1</v>
      </c>
      <c r="Z5" s="341">
        <f>'LUCERO RECOLETA'!AT41</f>
        <v>11824153</v>
      </c>
      <c r="AA5" s="342">
        <f>'LUCERO RECOLETA'!AU41</f>
        <v>3022378</v>
      </c>
      <c r="AB5" s="342">
        <f>'LUCERO RECOLETA'!AV41</f>
        <v>8801775</v>
      </c>
      <c r="AC5" s="303" t="s">
        <v>122</v>
      </c>
      <c r="AD5" s="307">
        <f>'LUCERO SAN TELMO'!A9</f>
        <v>46143</v>
      </c>
      <c r="AE5" s="343">
        <f>'LUCERO RECOLETA'!AD9+RESERVA!AA9+'LUCERO FLORIDA'!AD9+'LUCERO SAN TELMO'!AD9+'LUCERO FRENCH'!AD9+'AS SAN TELMO'!AD9+'AS GUEMES'!AD9+'LUCERO CHACO'!Z9+'LUCERO GUEMES 2'!AD9+'LUCERO SAN TELMO 2'!AD9+'LUCERO GUEMES'!AD9+'LUCERO EL SOLAR'!AD9</f>
        <v>0</v>
      </c>
      <c r="AF5" s="255">
        <f t="shared" ref="AF5:AF35" si="4">AE5/$AE$37</f>
        <v>0</v>
      </c>
      <c r="AH5" s="215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0</v>
      </c>
      <c r="AI5" s="215">
        <f>'LUCERO RECOLETA'!AQ9+RESERVA!AN9+'LUCERO FLORIDA'!AQ9+'LUCERO SAN TELMO'!AQ9+'LUCERO FRENCH'!AQ9+'AS SAN TELMO'!AQ9+'AS GUEMES'!AQ9+'LUCERO CHACO'!AM9+'LUCERO GUEMES 2'!AQ9+'LUCERO SAN TELMO 2'!AQ9+'LUCERO GUEMES'!AQ9</f>
        <v>0</v>
      </c>
      <c r="AJ5" s="215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44">
        <f>'LUCERO RECOLETA'!AT9+RESERVA!AQ9+'LUCERO FLORIDA'!AT9+'LUCERO SAN TELMO'!AT9+'LUCERO FRENCH'!AT9+'AS SAN TELMO'!AT9+'AS GUEMES'!AT9+'LUCERO CHACO'!AP9+'LUCERO GUEMES 2'!AT9+'LUCERO SAN TELMO 2'!AT9+'LUCERO GUEMES'!AT9</f>
        <v>0</v>
      </c>
      <c r="AL5" s="215">
        <f>'LUCERO RECOLETA'!AU9+RESERVA!AR9+'LUCERO FLORIDA'!AU9+'LUCERO FRENCH'!AU9+'LUCERO SAN TELMO'!AU9+'AS SAN TELMO'!AU9+'AS GUEMES'!AU9+'LUCERO GUEMES 2'!AU9+'LUCERO SAN TELMO 2'!AU9+'LUCERO GUEMES'!AU9</f>
        <v>0</v>
      </c>
      <c r="AM5" s="215">
        <f>'LUCERO RECOLETA'!AV9+RESERVA!AS9+'LUCERO FLORIDA'!AV9+'LUCERO FRENCH'!AV9+'LUCERO SAN TELMO'!AV9+'AS SAN TELMO'!AV9+'AS GUEMES'!AV9+'LUCERO GUEMES 2'!AV9+'LUCERO SAN TELMO 2'!AV9+'LUCERO GUEMES'!AV9</f>
        <v>0</v>
      </c>
      <c r="AN5" s="215">
        <f>'LUCERO RECOLETA'!AY9+RESERVA!AV9+'LUCERO FLORIDA'!AY9+'LUCERO SAN TELMO'!AY9+'LUCERO FRENCH'!AY9+'AS SAN TELMO'!AY9+'AS GUEMES'!AY9+'LUCERO CHACO'!AU9+'LUCERO GUEMES 2'!AY9+'LUCERO SAN TELMO 2'!AY9+'LUCERO GUEMES'!AY9</f>
        <v>0</v>
      </c>
      <c r="AO5" s="215">
        <f>'LUCERO RECOLETA'!AW9+RESERVA!AT9+'LUCERO FLORIDA'!AW9+'LUCERO SAN TELMO'!AW9+'LUCERO FRENCH'!AW9+'AS SAN TELMO'!AW9+'AS GUEMES'!AW9+'LUCERO CHACO'!AS9+'AS SAN TELMO'!AW9+'LUCERO SAN TELMO 2'!AW9+'LUCERO GUEMES'!AW9</f>
        <v>0</v>
      </c>
      <c r="AP5" s="345"/>
      <c r="AQ5" s="346">
        <f>F5*0.07*1.21</f>
        <v>1206159.763</v>
      </c>
      <c r="AR5" s="347" t="s">
        <v>123</v>
      </c>
      <c r="AS5" s="348">
        <v>46022.0</v>
      </c>
      <c r="AT5" s="349"/>
    </row>
    <row r="6" ht="18.0" customHeight="1">
      <c r="A6" s="330" t="s">
        <v>124</v>
      </c>
      <c r="B6" s="331">
        <f>RESERVA!K41</f>
        <v>0</v>
      </c>
      <c r="C6" s="331">
        <f>RESERVA!U41</f>
        <v>0</v>
      </c>
      <c r="D6" s="331">
        <f>RESERVA!P41</f>
        <v>0</v>
      </c>
      <c r="E6" s="331">
        <f>RESERVA!Z41</f>
        <v>0</v>
      </c>
      <c r="F6" s="332">
        <f t="shared" si="1"/>
        <v>0</v>
      </c>
      <c r="G6" s="332">
        <f>+RESERVA!BJ41</f>
        <v>0</v>
      </c>
      <c r="H6" s="333">
        <f>+RESERVA!C41</f>
        <v>0</v>
      </c>
      <c r="I6" s="334">
        <f>+RESERVA!F41</f>
        <v>0</v>
      </c>
      <c r="J6" s="335">
        <f t="shared" si="2"/>
        <v>0</v>
      </c>
      <c r="L6" s="336">
        <f>+RESERVA!BL41</f>
        <v>0</v>
      </c>
      <c r="M6" s="337">
        <f>+RESERVA!BM41</f>
        <v>0</v>
      </c>
      <c r="N6" s="337">
        <f>+RESERVA!BN41</f>
        <v>0</v>
      </c>
      <c r="O6" s="337">
        <f>+RESERVA!BO41</f>
        <v>0</v>
      </c>
      <c r="P6" s="337">
        <f>+RESERVA!BP41</f>
        <v>0</v>
      </c>
      <c r="Q6" s="337">
        <f>+RESERVA!BQ41</f>
        <v>0</v>
      </c>
      <c r="R6" s="337">
        <f>+RESERVA!BR41</f>
        <v>0</v>
      </c>
      <c r="T6" s="350">
        <f>RESERVA!H41-RESERVA!X41+RESERVA!N41+RESERVA!S41</f>
        <v>0</v>
      </c>
      <c r="U6" s="339">
        <f>MIN(RESERVA!B9:B42)</f>
        <v>939</v>
      </c>
      <c r="V6" s="339">
        <f>RESERVA!B41</f>
        <v>970</v>
      </c>
      <c r="W6" s="339">
        <f>RESERVA!D41</f>
        <v>1</v>
      </c>
      <c r="X6" s="339">
        <f>RESERVA!E41</f>
        <v>0</v>
      </c>
      <c r="Y6" s="340">
        <f t="shared" si="3"/>
        <v>-1</v>
      </c>
      <c r="Z6" s="351">
        <f>RESERVA!AQ41</f>
        <v>0</v>
      </c>
      <c r="AA6" s="342">
        <f>RESERVA!AR41</f>
        <v>0</v>
      </c>
      <c r="AB6" s="342">
        <f>RESERVA!AS41</f>
        <v>0</v>
      </c>
      <c r="AC6" s="352" t="s">
        <v>125</v>
      </c>
      <c r="AD6" s="307">
        <f>'LUCERO SAN TELMO'!A10</f>
        <v>46144</v>
      </c>
      <c r="AE6" s="343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6463355.7</v>
      </c>
      <c r="AF6" s="255">
        <f t="shared" si="4"/>
        <v>0.04254187739</v>
      </c>
      <c r="AH6" s="215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480</v>
      </c>
      <c r="AI6" s="215">
        <f>'LUCERO RECOLETA'!AQ10+RESERVA!AN10+'LUCERO FLORIDA'!AQ10+'LUCERO SAN TELMO'!AQ10+'LUCERO FRENCH'!AQ10+'AS SAN TELMO'!AQ10+'AS GUEMES'!AQ10+'LUCERO CHACO'!AM10+'LUCERO GUEMES 2'!AQ10+'LUCERO SAN TELMO 2'!AQ10+'LUCERO GUEMES'!AQ10</f>
        <v>497300</v>
      </c>
      <c r="AJ6" s="215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44">
        <f>'LUCERO RECOLETA'!AT10+RESERVA!AQ10+'LUCERO FLORIDA'!AT10+'LUCERO SAN TELMO'!AT10+'LUCERO FRENCH'!AT10+'AS SAN TELMO'!AT10+'AS GUEMES'!AT10+'LUCERO CHACO'!AP10+'LUCERO GUEMES 2'!AT10+'LUCERO SAN TELMO 2'!AT10+'LUCERO GUEMES'!AT10</f>
        <v>4467980</v>
      </c>
      <c r="AL6" s="215">
        <f>'LUCERO RECOLETA'!AU10+RESERVA!AR10+'LUCERO FLORIDA'!AU10+'LUCERO FRENCH'!AU10+'LUCERO SAN TELMO'!AU10+'AS SAN TELMO'!AU10+'AS GUEMES'!AU10+'LUCERO GUEMES 2'!AU10+'LUCERO SAN TELMO 2'!AU10+'LUCERO GUEMES'!AU10</f>
        <v>415880</v>
      </c>
      <c r="AM6" s="215">
        <f>'LUCERO RECOLETA'!AV10+RESERVA!AS10+'LUCERO FLORIDA'!AV10+'LUCERO FRENCH'!AV10+'LUCERO SAN TELMO'!AV10+'AS SAN TELMO'!AV10+'AS GUEMES'!AV10+'LUCERO GUEMES 2'!AV10+'LUCERO SAN TELMO 2'!AV10+'LUCERO GUEMES'!AV10</f>
        <v>892900</v>
      </c>
      <c r="AN6" s="215">
        <f>'LUCERO RECOLETA'!AY10+RESERVA!AV10+'LUCERO FLORIDA'!AY10+'LUCERO SAN TELMO'!AY10+'LUCERO FRENCH'!AY10+'AS SAN TELMO'!AY10+'AS GUEMES'!AY10+'LUCERO CHACO'!AU10+'LUCERO GUEMES 2'!AY10+'LUCERO SAN TELMO 2'!AY10+'LUCERO GUEMES'!AY10</f>
        <v>0</v>
      </c>
      <c r="AO6" s="215">
        <f>'LUCERO RECOLETA'!AW10+RESERVA!AT10+'LUCERO FLORIDA'!AW10+'LUCERO SAN TELMO'!AW10+'LUCERO FRENCH'!AW10+'AS SAN TELMO'!AW10+'AS GUEMES'!AW10+'LUCERO CHACO'!AS10+'AS SAN TELMO'!AW10+'LUCERO SAN TELMO 2'!AW10+'LUCERO GUEMES'!AW10</f>
        <v>159720</v>
      </c>
      <c r="AP6" s="345"/>
      <c r="AQ6" s="353">
        <f>(T6+T7)*0.08*1.21</f>
        <v>3704916.961</v>
      </c>
      <c r="AR6" s="354" t="s">
        <v>126</v>
      </c>
      <c r="AS6" s="348">
        <v>45747.0</v>
      </c>
      <c r="AT6" s="349"/>
    </row>
    <row r="7" ht="18.0" customHeight="1">
      <c r="A7" s="330" t="s">
        <v>127</v>
      </c>
      <c r="B7" s="331">
        <f>'LUCERO FLORIDA'!K41</f>
        <v>46597442.3</v>
      </c>
      <c r="C7" s="331">
        <f>'LUCERO FLORIDA'!W41</f>
        <v>543950</v>
      </c>
      <c r="D7" s="331">
        <f>'LUCERO FLORIDA'!Q41</f>
        <v>0</v>
      </c>
      <c r="E7" s="331">
        <f>'LUCERO FLORIDA'!AC41</f>
        <v>829930</v>
      </c>
      <c r="F7" s="332">
        <f t="shared" si="1"/>
        <v>46311462.3</v>
      </c>
      <c r="G7" s="332">
        <f>+'LUCERO FLORIDA'!BM41</f>
        <v>103263.7</v>
      </c>
      <c r="H7" s="333">
        <f>+'LUCERO FLORIDA'!C41</f>
        <v>389</v>
      </c>
      <c r="I7" s="334">
        <f>+'LUCERO FLORIDA'!F41</f>
        <v>0</v>
      </c>
      <c r="J7" s="335">
        <f t="shared" si="2"/>
        <v>119052.6023</v>
      </c>
      <c r="L7" s="336">
        <f>+IF('LUCERO FLORIDA'!BO41=0,0,'LUCERO FLORIDA'!BO41)</f>
        <v>0.08818551169</v>
      </c>
      <c r="M7" s="337">
        <f>+'LUCERO FLORIDA'!BP41</f>
        <v>0</v>
      </c>
      <c r="N7" s="337">
        <f>+'LUCERO FLORIDA'!BQ41</f>
        <v>0.8398142505</v>
      </c>
      <c r="O7" s="337">
        <f>+'LUCERO FLORIDA'!BR41</f>
        <v>0</v>
      </c>
      <c r="P7" s="337">
        <f>+'LUCERO FLORIDA'!BS41</f>
        <v>0.0024961423</v>
      </c>
      <c r="Q7" s="337">
        <f>+'LUCERO FLORIDA'!BT41</f>
        <v>0.07173386101</v>
      </c>
      <c r="R7" s="337">
        <f>+'LUCERO FLORIDA'!BU41</f>
        <v>0</v>
      </c>
      <c r="T7" s="350">
        <f>'LUCERO FLORIDA'!H41+-'LUCERO FLORIDA'!Z41+'LUCERO FLORIDA'!N41+'LUCERO FLORIDA'!T41</f>
        <v>38273935.55</v>
      </c>
      <c r="U7" s="339">
        <f>MIN('LUCERO FLORIDA'!B9:B40)</f>
        <v>0</v>
      </c>
      <c r="V7" s="339">
        <f>'LUCERO FLORIDA'!B41</f>
        <v>0</v>
      </c>
      <c r="W7" s="339">
        <f>'LUCERO FLORIDA'!D41</f>
        <v>543</v>
      </c>
      <c r="X7" s="339">
        <f>'LUCERO FLORIDA'!E41</f>
        <v>931</v>
      </c>
      <c r="Y7" s="340">
        <f t="shared" si="3"/>
        <v>-1</v>
      </c>
      <c r="Z7" s="355">
        <f>'LUCERO FLORIDA'!AT41</f>
        <v>38893026</v>
      </c>
      <c r="AA7" s="342">
        <f>'LUCERO FLORIDA'!AU41</f>
        <v>0</v>
      </c>
      <c r="AB7" s="342">
        <f>'LUCERO FLORIDA'!AV41</f>
        <v>0</v>
      </c>
      <c r="AC7" s="303" t="s">
        <v>128</v>
      </c>
      <c r="AD7" s="307">
        <f>'LUCERO SAN TELMO'!A11</f>
        <v>46145</v>
      </c>
      <c r="AE7" s="343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7185749.9</v>
      </c>
      <c r="AF7" s="255">
        <f t="shared" si="4"/>
        <v>0.04729668386</v>
      </c>
      <c r="AH7" s="215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280</v>
      </c>
      <c r="AI7" s="215">
        <f>'LUCERO RECOLETA'!AQ11+RESERVA!AN11+'LUCERO FLORIDA'!AQ11+'LUCERO SAN TELMO'!AQ11+'LUCERO FRENCH'!AQ11+'AS SAN TELMO'!AQ11+'AS GUEMES'!AQ11+'LUCERO CHACO'!AM11+'LUCERO GUEMES 2'!AQ11+'LUCERO SAN TELMO 2'!AQ11+'LUCERO GUEMES'!AQ11</f>
        <v>558000</v>
      </c>
      <c r="AJ7" s="215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44">
        <f>'LUCERO RECOLETA'!AT11+RESERVA!AQ11+'LUCERO FLORIDA'!AT11+'LUCERO SAN TELMO'!AT11+'LUCERO FRENCH'!AT11+'AS SAN TELMO'!AT11+'AS GUEMES'!AT11+'LUCERO CHACO'!AP11+'LUCERO GUEMES 2'!AT11+'LUCERO SAN TELMO 2'!AT11+'LUCERO GUEMES'!AT11</f>
        <v>5674329.99</v>
      </c>
      <c r="AL7" s="215">
        <f>'LUCERO RECOLETA'!AU11+RESERVA!AR11+'LUCERO FLORIDA'!AU11+'LUCERO FRENCH'!AU11+'LUCERO SAN TELMO'!AU11+'AS SAN TELMO'!AU11+'AS GUEMES'!AU11+'LUCERO GUEMES 2'!AU11+'LUCERO SAN TELMO 2'!AU11+'LUCERO GUEMES'!AU11</f>
        <v>79990</v>
      </c>
      <c r="AM7" s="215">
        <f>'LUCERO RECOLETA'!AV11+RESERVA!AS11+'LUCERO FLORIDA'!AV11+'LUCERO FRENCH'!AV11+'LUCERO SAN TELMO'!AV11+'AS SAN TELMO'!AV11+'AS GUEMES'!AV11+'LUCERO GUEMES 2'!AV11+'LUCERO SAN TELMO 2'!AV11+'LUCERO GUEMES'!AV11</f>
        <v>39980</v>
      </c>
      <c r="AN7" s="215">
        <f>'LUCERO RECOLETA'!AY11+RESERVA!AV11+'LUCERO FLORIDA'!AY11+'LUCERO SAN TELMO'!AY11+'LUCERO FRENCH'!AY11+'AS SAN TELMO'!AY11+'AS GUEMES'!AY11+'LUCERO CHACO'!AU11+'LUCERO GUEMES 2'!AY11+'LUCERO SAN TELMO 2'!AY11+'LUCERO GUEMES'!AY11</f>
        <v>0</v>
      </c>
      <c r="AO7" s="215">
        <f>'LUCERO RECOLETA'!AW11+RESERVA!AT11+'LUCERO FLORIDA'!AW11+'LUCERO SAN TELMO'!AW11+'LUCERO FRENCH'!AW11+'AS SAN TELMO'!AW11+'AS GUEMES'!AW11+'LUCERO CHACO'!AS11+'AS SAN TELMO'!AW11+'LUCERO SAN TELMO 2'!AW11+'LUCERO GUEMES'!AW11</f>
        <v>655650</v>
      </c>
      <c r="AP7" s="345"/>
      <c r="AQ7" s="353">
        <v>0.0</v>
      </c>
      <c r="AR7" s="356"/>
      <c r="AS7" s="357"/>
      <c r="AT7" s="307"/>
    </row>
    <row r="8" ht="18.0" customHeight="1">
      <c r="A8" s="330" t="s">
        <v>129</v>
      </c>
      <c r="B8" s="331">
        <f>'LUCERO FRENCH'!K41</f>
        <v>19982040.7</v>
      </c>
      <c r="C8" s="331">
        <f>'LUCERO FRENCH'!W41</f>
        <v>0</v>
      </c>
      <c r="D8" s="331">
        <f>'LUCERO FRENCH'!Q41</f>
        <v>0</v>
      </c>
      <c r="E8" s="331">
        <f>'LUCERO FRENCH'!AC41</f>
        <v>0</v>
      </c>
      <c r="F8" s="332">
        <f t="shared" si="1"/>
        <v>19982040.7</v>
      </c>
      <c r="G8" s="332">
        <f>+'LUCERO FRENCH'!BM41</f>
        <v>4594.3</v>
      </c>
      <c r="H8" s="333">
        <f>+'LUCERO FRENCH'!C41</f>
        <v>172</v>
      </c>
      <c r="I8" s="334">
        <f>+'LUCERO FRENCH'!F41</f>
        <v>0</v>
      </c>
      <c r="J8" s="335">
        <f t="shared" si="2"/>
        <v>116174.6552</v>
      </c>
      <c r="L8" s="336">
        <f>+'LUCERO FRENCH'!BO41</f>
        <v>0.06856156589</v>
      </c>
      <c r="M8" s="337">
        <f>+'LUCERO FRENCH'!BP41</f>
        <v>0</v>
      </c>
      <c r="N8" s="337">
        <f>+'LUCERO FRENCH'!BQ41</f>
        <v>0.849360446</v>
      </c>
      <c r="O8" s="337">
        <f>+'LUCERO FRENCH'!BR41</f>
        <v>0.01536029301</v>
      </c>
      <c r="P8" s="337">
        <f>+'LUCERO FRENCH'!BS41</f>
        <v>0</v>
      </c>
      <c r="Q8" s="337">
        <f>+'LUCERO FRENCH'!BT41</f>
        <v>0.06694761662</v>
      </c>
      <c r="R8" s="337">
        <f>+'LUCERO FRENCH'!BU41</f>
        <v>0</v>
      </c>
      <c r="T8" s="338">
        <f>'LUCERO FRENCH'!H41-'LUCERO FRENCH'!Z41+'LUCERO FRENCH'!N41+'LUCERO FRENCH'!T41</f>
        <v>16514083.14</v>
      </c>
      <c r="U8" s="339">
        <f>MIN('LUCERO FRENCH'!B9:B40)</f>
        <v>0</v>
      </c>
      <c r="V8" s="339">
        <f>'LUCERO FRENCH'!B41</f>
        <v>0</v>
      </c>
      <c r="W8" s="339">
        <f>'LUCERO FRENCH'!D41</f>
        <v>936</v>
      </c>
      <c r="X8" s="339">
        <f>'LUCERO FRENCH'!E41</f>
        <v>1107</v>
      </c>
      <c r="Y8" s="340">
        <f t="shared" si="3"/>
        <v>-1</v>
      </c>
      <c r="Z8" s="351">
        <f>'LUCERO FRENCH'!AT41</f>
        <v>16971955</v>
      </c>
      <c r="AA8" s="342">
        <f>'LUCERO FRENCH'!AU41</f>
        <v>0</v>
      </c>
      <c r="AB8" s="342">
        <f>'LUCERO FRENCH'!AV41</f>
        <v>0</v>
      </c>
      <c r="AC8" s="303" t="s">
        <v>130</v>
      </c>
      <c r="AD8" s="307">
        <f>'LUCERO SAN TELMO'!A12</f>
        <v>46146</v>
      </c>
      <c r="AE8" s="343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4497160</v>
      </c>
      <c r="AF8" s="255">
        <f t="shared" si="4"/>
        <v>0.02960035595</v>
      </c>
      <c r="AH8" s="215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620</v>
      </c>
      <c r="AI8" s="215">
        <f>'LUCERO RECOLETA'!AQ12+RESERVA!AN12+'LUCERO FLORIDA'!AQ12+'LUCERO SAN TELMO'!AQ12+'LUCERO FRENCH'!AQ12+'AS SAN TELMO'!AQ12+'AS GUEMES'!AQ12+'LUCERO CHACO'!AM12+'LUCERO GUEMES 2'!AQ12+'LUCERO SAN TELMO 2'!AQ12+'LUCERO GUEMES'!AQ12</f>
        <v>83900</v>
      </c>
      <c r="AJ8" s="215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44">
        <f>'LUCERO RECOLETA'!AT12+RESERVA!AQ12+'LUCERO FLORIDA'!AT12+'LUCERO SAN TELMO'!AT12+'LUCERO FRENCH'!AT12+'AS SAN TELMO'!AT12+'AS GUEMES'!AT12+'LUCERO CHACO'!AP12+'LUCERO GUEMES 2'!AT12+'LUCERO SAN TELMO 2'!AT12+'LUCERO GUEMES'!AT12</f>
        <v>3499470</v>
      </c>
      <c r="AL8" s="215">
        <f>'LUCERO RECOLETA'!AU12+RESERVA!AR12+'LUCERO FLORIDA'!AU12+'LUCERO FRENCH'!AU12+'LUCERO SAN TELMO'!AU12+'AS SAN TELMO'!AU12+'AS GUEMES'!AU12+'LUCERO GUEMES 2'!AU12+'LUCERO SAN TELMO 2'!AU12+'LUCERO GUEMES'!AU12</f>
        <v>84990</v>
      </c>
      <c r="AM8" s="215">
        <f>'LUCERO RECOLETA'!AV12+RESERVA!AS12+'LUCERO FLORIDA'!AV12+'LUCERO FRENCH'!AV12+'LUCERO SAN TELMO'!AV12+'AS SAN TELMO'!AV12+'AS GUEMES'!AV12+'LUCERO GUEMES 2'!AV12+'LUCERO SAN TELMO 2'!AV12+'LUCERO GUEMES'!AV12</f>
        <v>195970</v>
      </c>
      <c r="AN8" s="215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215">
        <f>'LUCERO RECOLETA'!AW12+RESERVA!AT12+'LUCERO FLORIDA'!AW12+'LUCERO SAN TELMO'!AW12+'LUCERO FRENCH'!AW12+'AS SAN TELMO'!AW12+'AS GUEMES'!AW12+'LUCERO CHACO'!AS12+'AS SAN TELMO'!AW12+'LUCERO SAN TELMO 2'!AW12+'LUCERO GUEMES'!AW12</f>
        <v>87820</v>
      </c>
      <c r="AP8" s="345"/>
      <c r="AQ8" s="358">
        <f>570000*1.21</f>
        <v>689700</v>
      </c>
      <c r="AR8" s="356" t="s">
        <v>131</v>
      </c>
      <c r="AS8" s="348">
        <v>45991.0</v>
      </c>
      <c r="AT8" s="349"/>
    </row>
    <row r="9" ht="18.0" customHeight="1">
      <c r="A9" s="330" t="s">
        <v>132</v>
      </c>
      <c r="B9" s="331">
        <f>'LU MADERO'!J41</f>
        <v>0</v>
      </c>
      <c r="C9" s="331">
        <f>'LU MADERO'!T41</f>
        <v>0</v>
      </c>
      <c r="D9" s="331">
        <f>'LU MADERO'!O41</f>
        <v>0</v>
      </c>
      <c r="E9" s="331">
        <f>'LU MADERO'!Y41</f>
        <v>0</v>
      </c>
      <c r="F9" s="332">
        <f t="shared" si="1"/>
        <v>0</v>
      </c>
      <c r="G9" s="332">
        <f>+'LU MADERO'!BG41</f>
        <v>0</v>
      </c>
      <c r="H9" s="333">
        <f>+'LU MADERO'!C41</f>
        <v>0</v>
      </c>
      <c r="I9" s="334">
        <f>+'LU MADERO'!F41</f>
        <v>0</v>
      </c>
      <c r="J9" s="335">
        <f t="shared" si="2"/>
        <v>0</v>
      </c>
      <c r="L9" s="336" t="str">
        <f>+'LU MADERO'!BI41</f>
        <v/>
      </c>
      <c r="M9" s="337" t="str">
        <f>+'LU MADERO'!BJ41</f>
        <v/>
      </c>
      <c r="N9" s="337" t="str">
        <f>+'LU MADERO'!BK41</f>
        <v/>
      </c>
      <c r="O9" s="337" t="str">
        <f>+'LU MADERO'!BL41</f>
        <v/>
      </c>
      <c r="P9" s="337" t="str">
        <f>+'LU MADERO'!BM41</f>
        <v/>
      </c>
      <c r="Q9" s="337" t="str">
        <f>+'LU MADERO'!BN41</f>
        <v/>
      </c>
      <c r="R9" s="337" t="str">
        <f>+'LU MADERO'!BO41</f>
        <v/>
      </c>
      <c r="T9" s="338"/>
      <c r="U9" s="339"/>
      <c r="V9" s="339"/>
      <c r="W9" s="339"/>
      <c r="X9" s="339"/>
      <c r="Y9" s="340">
        <f t="shared" si="3"/>
        <v>0</v>
      </c>
      <c r="Z9" s="359"/>
      <c r="AA9" s="360"/>
      <c r="AB9" s="360"/>
      <c r="AC9" s="303" t="s">
        <v>133</v>
      </c>
      <c r="AD9" s="307">
        <f>'LUCERO SAN TELMO'!A13</f>
        <v>46147</v>
      </c>
      <c r="AE9" s="343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4081330</v>
      </c>
      <c r="AF9" s="255">
        <f t="shared" si="4"/>
        <v>0.02686335837</v>
      </c>
      <c r="AH9" s="215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140</v>
      </c>
      <c r="AI9" s="215">
        <f>'LUCERO RECOLETA'!AQ13+RESERVA!AN13+'LUCERO FLORIDA'!AQ13+'LUCERO SAN TELMO'!AQ13+'LUCERO FRENCH'!AQ13+'AS SAN TELMO'!AQ13+'AS GUEMES'!AQ13+'LUCERO CHACO'!AM13+'LUCERO GUEMES 2'!AQ13+'LUCERO SAN TELMO 2'!AQ13+'LUCERO GUEMES'!AQ13</f>
        <v>511000</v>
      </c>
      <c r="AJ9" s="215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44">
        <f>'LUCERO RECOLETA'!AT13+RESERVA!AQ13+'LUCERO FLORIDA'!AT13+'LUCERO SAN TELMO'!AT13+'LUCERO FRENCH'!AT13+'AS SAN TELMO'!AT13+'AS GUEMES'!AT13+'LUCERO CHACO'!AP13+'LUCERO GUEMES 2'!AT13+'LUCERO SAN TELMO 2'!AT13+'LUCERO GUEMES'!AT13</f>
        <v>3122830</v>
      </c>
      <c r="AL9" s="215">
        <f>'LUCERO RECOLETA'!AU13+RESERVA!AR13+'LUCERO FLORIDA'!AU13+'LUCERO FRENCH'!AU13+'LUCERO SAN TELMO'!AU13+'AS SAN TELMO'!AU13+'AS GUEMES'!AU13+'LUCERO GUEMES 2'!AU13+'LUCERO SAN TELMO 2'!AU13+'LUCERO GUEMES'!AU13</f>
        <v>147990</v>
      </c>
      <c r="AM9" s="215">
        <f>'LUCERO RECOLETA'!AV13+RESERVA!AS13+'LUCERO FLORIDA'!AV13+'LUCERO FRENCH'!AV13+'LUCERO SAN TELMO'!AV13+'AS SAN TELMO'!AV13+'AS GUEMES'!AV13+'LUCERO GUEMES 2'!AV13+'LUCERO SAN TELMO 2'!AV13+'LUCERO GUEMES'!AV13</f>
        <v>295920</v>
      </c>
      <c r="AN9" s="215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215">
        <f>'LUCERO RECOLETA'!AW13+RESERVA!AT13+'LUCERO FLORIDA'!AW13+'LUCERO SAN TELMO'!AW13+'LUCERO FRENCH'!AW13+'AS SAN TELMO'!AW13+'AS GUEMES'!AW13+'LUCERO CHACO'!AS13+'AS SAN TELMO'!AW13+'LUCERO SAN TELMO 2'!AW13+'LUCERO GUEMES'!AW13</f>
        <v>138060</v>
      </c>
      <c r="AP9" s="345"/>
      <c r="AQ9" s="353">
        <v>0.0</v>
      </c>
      <c r="AR9" s="356">
        <v>0.0</v>
      </c>
      <c r="AS9" s="357"/>
      <c r="AT9" s="307"/>
    </row>
    <row r="10" ht="18.0" customHeight="1">
      <c r="A10" s="330" t="s">
        <v>134</v>
      </c>
      <c r="B10" s="331">
        <f>'LUCERO SAN TELMO'!K41</f>
        <v>33349970</v>
      </c>
      <c r="C10" s="331">
        <f>'LUCERO SAN TELMO'!W41</f>
        <v>0</v>
      </c>
      <c r="D10" s="331">
        <f>'LUCERO SAN TELMO'!Q41</f>
        <v>0</v>
      </c>
      <c r="E10" s="331">
        <f>'LUCERO SAN TELMO'!AC41</f>
        <v>0</v>
      </c>
      <c r="F10" s="332">
        <f t="shared" si="1"/>
        <v>33349970</v>
      </c>
      <c r="G10" s="332">
        <f>+'LUCERO SAN TELMO'!BM41</f>
        <v>5860</v>
      </c>
      <c r="H10" s="333">
        <f>+'LUCERO SAN TELMO'!C41</f>
        <v>337</v>
      </c>
      <c r="I10" s="334">
        <f>+'LUCERO SAN TELMO'!F41</f>
        <v>0</v>
      </c>
      <c r="J10" s="335">
        <f t="shared" si="2"/>
        <v>98961.33531</v>
      </c>
      <c r="L10" s="336">
        <f>+'LUCERO SAN TELMO'!BO41</f>
        <v>0.07679167328</v>
      </c>
      <c r="M10" s="337">
        <f>+'LUCERO SAN TELMO'!BP41</f>
        <v>0</v>
      </c>
      <c r="N10" s="337">
        <f>+'LUCERO SAN TELMO'!BQ41</f>
        <v>0.881831378</v>
      </c>
      <c r="O10" s="337">
        <f>+'LUCERO SAN TELMO'!BR41</f>
        <v>0.01391095704</v>
      </c>
      <c r="P10" s="337">
        <f>+'LUCERO SAN TELMO'!BS41</f>
        <v>0</v>
      </c>
      <c r="Q10" s="337">
        <f>+'LUCERO SAN TELMO'!BT41</f>
        <v>0.02590257203</v>
      </c>
      <c r="R10" s="337">
        <f>+'LUCERO SAN TELMO'!BU41</f>
        <v>0</v>
      </c>
      <c r="T10" s="338">
        <f>'LUCERO SAN TELMO'!H41-'LUCERO SAN TELMO'!Z41+'LUCERO SAN TELMO'!N41+'LUCERO SAN TELMO'!T41</f>
        <v>27561958.39</v>
      </c>
      <c r="U10" s="339">
        <f>MIN('LUCERO SAN TELMO'!B9:B40)</f>
        <v>0</v>
      </c>
      <c r="V10" s="339">
        <f>'LUCERO SAN TELMO'!B41</f>
        <v>0</v>
      </c>
      <c r="W10" s="339">
        <f>'LUCERO SAN TELMO'!D41</f>
        <v>1693</v>
      </c>
      <c r="X10" s="339">
        <f>'LUCERO SAN TELMO'!E41</f>
        <v>2029</v>
      </c>
      <c r="Y10" s="340">
        <f t="shared" si="3"/>
        <v>-1</v>
      </c>
      <c r="Z10" s="341">
        <f>'LUCERO SAN TELMO'!AT41</f>
        <v>29409050</v>
      </c>
      <c r="AA10" s="342">
        <f>'LUCERO SAN TELMO'!AU41</f>
        <v>0</v>
      </c>
      <c r="AB10" s="342">
        <f>'LUCERO SAN TELMO'!AV41</f>
        <v>0</v>
      </c>
      <c r="AC10" s="352" t="s">
        <v>135</v>
      </c>
      <c r="AD10" s="307">
        <f>'LUCERO SAN TELMO'!A14</f>
        <v>46148</v>
      </c>
      <c r="AE10" s="343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3354456</v>
      </c>
      <c r="AF10" s="255">
        <f t="shared" si="4"/>
        <v>0.02207906581</v>
      </c>
      <c r="AH10" s="215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0</v>
      </c>
      <c r="AI10" s="215">
        <f>'LUCERO RECOLETA'!AQ14+RESERVA!AN14+'LUCERO FLORIDA'!AQ14+'LUCERO SAN TELMO'!AQ14+'LUCERO FRENCH'!AQ14+'AS SAN TELMO'!AQ14+'AS GUEMES'!AQ14+'LUCERO CHACO'!AM14+'LUCERO GUEMES 2'!AQ14+'LUCERO SAN TELMO 2'!AQ14+'LUCERO GUEMES'!AQ14</f>
        <v>288000</v>
      </c>
      <c r="AJ10" s="215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44">
        <f>'LUCERO RECOLETA'!AT14+RESERVA!AQ14+'LUCERO FLORIDA'!AT14+'LUCERO SAN TELMO'!AT14+'LUCERO FRENCH'!AT14+'AS SAN TELMO'!AT14+'AS GUEMES'!AT14+'LUCERO CHACO'!AP14+'LUCERO GUEMES 2'!AT14+'LUCERO SAN TELMO 2'!AT14+'LUCERO GUEMES'!AT14</f>
        <v>1962900</v>
      </c>
      <c r="AL10" s="215">
        <f>'LUCERO RECOLETA'!AU14+RESERVA!AR14+'LUCERO FLORIDA'!AU14+'LUCERO FRENCH'!AU14+'LUCERO SAN TELMO'!AU14+'AS SAN TELMO'!AU14+'AS GUEMES'!AU14+'LUCERO GUEMES 2'!AU14+'LUCERO SAN TELMO 2'!AU14+'LUCERO GUEMES'!AU14</f>
        <v>89800</v>
      </c>
      <c r="AM10" s="215">
        <f>'LUCERO RECOLETA'!AV14+RESERVA!AS14+'LUCERO FLORIDA'!AV14+'LUCERO FRENCH'!AV14+'LUCERO SAN TELMO'!AV14+'AS SAN TELMO'!AV14+'AS GUEMES'!AV14+'LUCERO GUEMES 2'!AV14+'LUCERO SAN TELMO 2'!AV14+'LUCERO GUEMES'!AV14</f>
        <v>329950</v>
      </c>
      <c r="AN10" s="215">
        <f>'LUCERO RECOLETA'!AY14+RESERVA!AV14+'LUCERO FLORIDA'!AY14+'LUCERO SAN TELMO'!AY14+'LUCERO FRENCH'!AY14+'AS SAN TELMO'!AY14+'AS GUEMES'!AY14+'LUCERO CHACO'!AU14+'LUCERO GUEMES 2'!AY14+'LUCERO SAN TELMO 2'!AY14+'LUCERO GUEMES'!AY14</f>
        <v>200</v>
      </c>
      <c r="AO10" s="215">
        <f>'LUCERO RECOLETA'!AW14+RESERVA!AT14+'LUCERO FLORIDA'!AW14+'LUCERO SAN TELMO'!AW14+'LUCERO FRENCH'!AW14+'AS SAN TELMO'!AW14+'AS GUEMES'!AW14+'LUCERO CHACO'!AS14+'AS SAN TELMO'!AW14+'LUCERO SAN TELMO 2'!AW14+'LUCERO GUEMES'!AW14</f>
        <v>213700</v>
      </c>
      <c r="AP10" s="345"/>
      <c r="AQ10" s="353">
        <f>T10*0.08*1.21</f>
        <v>2667997.572</v>
      </c>
      <c r="AR10" s="361" t="s">
        <v>136</v>
      </c>
      <c r="AS10" s="362">
        <v>46418.0</v>
      </c>
      <c r="AT10" s="349"/>
    </row>
    <row r="11" ht="18.0" customHeight="1">
      <c r="A11" s="330" t="s">
        <v>137</v>
      </c>
      <c r="B11" s="331">
        <f>'LUCERO CHACO'!J41</f>
        <v>0</v>
      </c>
      <c r="C11" s="331">
        <f>'LUCERO CHACO'!T41</f>
        <v>0</v>
      </c>
      <c r="D11" s="331">
        <f>'LUCERO CHACO'!O41</f>
        <v>0</v>
      </c>
      <c r="E11" s="331">
        <f>'LUCERO CHACO'!Y41</f>
        <v>0</v>
      </c>
      <c r="F11" s="332">
        <f t="shared" si="1"/>
        <v>0</v>
      </c>
      <c r="G11" s="332">
        <f>+'LUCERO CHACO'!BI41</f>
        <v>0</v>
      </c>
      <c r="H11" s="333">
        <f>+'LUCERO CHACO'!C41</f>
        <v>0</v>
      </c>
      <c r="I11" s="334">
        <f>+'LUCERO CHACO'!F41</f>
        <v>0</v>
      </c>
      <c r="J11" s="335">
        <f t="shared" si="2"/>
        <v>0</v>
      </c>
      <c r="L11" s="336"/>
      <c r="M11" s="337"/>
      <c r="N11" s="337"/>
      <c r="O11" s="337"/>
      <c r="P11" s="337"/>
      <c r="Q11" s="337"/>
      <c r="R11" s="337"/>
      <c r="T11" s="338"/>
      <c r="U11" s="339"/>
      <c r="V11" s="339"/>
      <c r="W11" s="339"/>
      <c r="X11" s="339"/>
      <c r="Y11" s="340">
        <f t="shared" si="3"/>
        <v>0</v>
      </c>
      <c r="Z11" s="355"/>
      <c r="AA11" s="342"/>
      <c r="AB11" s="342"/>
      <c r="AC11" s="303" t="s">
        <v>138</v>
      </c>
      <c r="AD11" s="307">
        <f>'LUCERO SAN TELMO'!A15</f>
        <v>46149</v>
      </c>
      <c r="AE11" s="343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5712631.9</v>
      </c>
      <c r="AF11" s="255">
        <f t="shared" si="4"/>
        <v>0.03760060519</v>
      </c>
      <c r="AH11" s="215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200</v>
      </c>
      <c r="AI11" s="215">
        <f>'LUCERO RECOLETA'!AQ15+RESERVA!AN15+'LUCERO FLORIDA'!AQ15+'LUCERO SAN TELMO'!AQ15+'LUCERO FRENCH'!AQ15+'AS SAN TELMO'!AQ15+'AS GUEMES'!AQ15+'LUCERO CHACO'!AM15+'LUCERO GUEMES 2'!AQ15+'LUCERO SAN TELMO 2'!AQ15+'LUCERO GUEMES'!AQ15</f>
        <v>792000</v>
      </c>
      <c r="AJ11" s="215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44">
        <f>'LUCERO RECOLETA'!AT15+RESERVA!AQ15+'LUCERO FLORIDA'!AT15+'LUCERO SAN TELMO'!AT15+'LUCERO FRENCH'!AT15+'AS SAN TELMO'!AT15+'AS GUEMES'!AT15+'LUCERO CHACO'!AP15+'LUCERO GUEMES 2'!AT15+'LUCERO SAN TELMO 2'!AT15+'LUCERO GUEMES'!AT15</f>
        <v>4376970</v>
      </c>
      <c r="AL11" s="215">
        <f>'LUCERO RECOLETA'!AU15+RESERVA!AR15+'LUCERO FLORIDA'!AU15+'LUCERO FRENCH'!AU15+'LUCERO SAN TELMO'!AU15+'AS SAN TELMO'!AU15+'AS GUEMES'!AU15+'LUCERO GUEMES 2'!AU15+'LUCERO SAN TELMO 2'!AU15+'LUCERO GUEMES'!AU15</f>
        <v>327990</v>
      </c>
      <c r="AM11" s="215">
        <f>'LUCERO RECOLETA'!AV15+RESERVA!AS15+'LUCERO FLORIDA'!AV15+'LUCERO FRENCH'!AV15+'LUCERO SAN TELMO'!AV15+'AS SAN TELMO'!AV15+'AS GUEMES'!AV15+'LUCERO GUEMES 2'!AV15+'LUCERO SAN TELMO 2'!AV15+'LUCERO GUEMES'!AV15</f>
        <v>193780</v>
      </c>
      <c r="AN11" s="215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215">
        <f>'LUCERO RECOLETA'!AW15+RESERVA!AT15+'LUCERO FLORIDA'!AW15+'LUCERO SAN TELMO'!AW15+'LUCERO FRENCH'!AW15+'AS SAN TELMO'!AW15+'AS GUEMES'!AW15+'LUCERO CHACO'!AS15+'AS SAN TELMO'!AW15+'LUCERO SAN TELMO 2'!AW15+'LUCERO GUEMES'!AW15</f>
        <v>282390</v>
      </c>
      <c r="AP11" s="345"/>
      <c r="AQ11" s="353"/>
      <c r="AR11" s="356"/>
      <c r="AS11" s="362"/>
      <c r="AT11" s="349"/>
    </row>
    <row r="12" ht="18.0" customHeight="1">
      <c r="A12" s="330" t="s">
        <v>139</v>
      </c>
      <c r="B12" s="331">
        <f>'LUCERO SAN TELMO 2'!K41</f>
        <v>4196030</v>
      </c>
      <c r="C12" s="331">
        <f>'LUCERO SAN TELMO 2'!W41</f>
        <v>0</v>
      </c>
      <c r="D12" s="331">
        <f>'LUCERO SAN TELMO 2'!Q41</f>
        <v>0</v>
      </c>
      <c r="E12" s="331">
        <f>'LUCERO SAN TELMO 2'!AC41</f>
        <v>0</v>
      </c>
      <c r="F12" s="332">
        <f t="shared" si="1"/>
        <v>4196030</v>
      </c>
      <c r="G12" s="332">
        <f>'LUCERO SAN TELMO 2'!BM41</f>
        <v>5690</v>
      </c>
      <c r="H12" s="333">
        <f>'LUCERO SAN TELMO 2'!C41</f>
        <v>42</v>
      </c>
      <c r="I12" s="334">
        <f>'LUCERO SAN TELMO 2'!F41</f>
        <v>0</v>
      </c>
      <c r="J12" s="335">
        <f t="shared" si="2"/>
        <v>99905.47619</v>
      </c>
      <c r="L12" s="336">
        <f>'LUCERO SAN TELMO 2'!BO41</f>
        <v>0.1098657541</v>
      </c>
      <c r="M12" s="336">
        <f>'LUCERO SAN TELMO 2'!BP41</f>
        <v>0</v>
      </c>
      <c r="N12" s="336">
        <f>'LUCERO SAN TELMO 2'!BQ41</f>
        <v>0.7910977758</v>
      </c>
      <c r="O12" s="336">
        <f>'LUCERO SAN TELMO 2'!BR41</f>
        <v>0.009294499801</v>
      </c>
      <c r="P12" s="336">
        <f>'LUCERO SAN TELMO 2'!BS41</f>
        <v>0</v>
      </c>
      <c r="Q12" s="336">
        <f>'LUCERO SAN TELMO 2'!BT41</f>
        <v>0.09109801408</v>
      </c>
      <c r="R12" s="336">
        <f>'LUCERO SAN TELMO 2'!BU41</f>
        <v>0</v>
      </c>
      <c r="T12" s="338">
        <f>'LUCERO SAN TELMO 2'!H41-'LUCERO SAN TELMO 2'!Z41+'LUCERO SAN TELMO 2'!N41+'LUCERO SAN TELMO 2'!T41</f>
        <v>3467793.36</v>
      </c>
      <c r="U12" s="339">
        <f>MIN('LUCERO SAN TELMO 2'!B9:B40)</f>
        <v>0</v>
      </c>
      <c r="V12" s="339">
        <f>'LUCERO SAN TELMO 2'!B41</f>
        <v>0</v>
      </c>
      <c r="W12" s="339">
        <f>'LUCERO SAN TELMO 2'!D41</f>
        <v>633</v>
      </c>
      <c r="X12" s="339">
        <f>'LUCERO SAN TELMO 2'!E41</f>
        <v>674</v>
      </c>
      <c r="Y12" s="340">
        <f t="shared" si="3"/>
        <v>-1</v>
      </c>
      <c r="Z12" s="341">
        <f>'LUCERO SAN TELMO 2'!AT41</f>
        <v>3319470</v>
      </c>
      <c r="AA12" s="342">
        <f>'LUCERO SAN TELMO 2'!AU41</f>
        <v>0</v>
      </c>
      <c r="AB12" s="342">
        <f>'LUCERO SAN TELMO 2'!AV41</f>
        <v>0</v>
      </c>
      <c r="AC12" s="303" t="s">
        <v>122</v>
      </c>
      <c r="AD12" s="307">
        <f>'LUCERO SAN TELMO'!A16</f>
        <v>46150</v>
      </c>
      <c r="AE12" s="343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3555593.8</v>
      </c>
      <c r="AF12" s="255">
        <f t="shared" si="4"/>
        <v>0.023402957</v>
      </c>
      <c r="AH12" s="215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150</v>
      </c>
      <c r="AI12" s="215">
        <f>'LUCERO RECOLETA'!AQ16+RESERVA!AN16+'LUCERO FLORIDA'!AQ16+'LUCERO SAN TELMO'!AQ16+'LUCERO FRENCH'!AQ16+'AS SAN TELMO'!AQ16+'AS GUEMES'!AQ16+'LUCERO CHACO'!AM16+'LUCERO GUEMES 2'!AQ16+'LUCERO SAN TELMO 2'!AQ16+'LUCERO GUEMES'!AQ16</f>
        <v>320100</v>
      </c>
      <c r="AJ12" s="215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44">
        <f>'LUCERO RECOLETA'!AT16+RESERVA!AQ16+'LUCERO FLORIDA'!AT16+'LUCERO SAN TELMO'!AT16+'LUCERO FRENCH'!AT16+'AS SAN TELMO'!AT16+'AS GUEMES'!AT16+'LUCERO CHACO'!AP16+'LUCERO GUEMES 2'!AT16+'LUCERO SAN TELMO 2'!AT16+'LUCERO GUEMES'!AT16</f>
        <v>2709860</v>
      </c>
      <c r="AL12" s="215">
        <f>'LUCERO RECOLETA'!AU16+RESERVA!AR16+'LUCERO FLORIDA'!AU16+'LUCERO FRENCH'!AU16+'LUCERO SAN TELMO'!AU16+'AS SAN TELMO'!AU16+'AS GUEMES'!AU16+'LUCERO GUEMES 2'!AU16+'LUCERO SAN TELMO 2'!AU16+'LUCERO GUEMES'!AU16</f>
        <v>190940</v>
      </c>
      <c r="AM12" s="215">
        <f>'LUCERO RECOLETA'!AV16+RESERVA!AS16+'LUCERO FLORIDA'!AV16+'LUCERO FRENCH'!AV16+'LUCERO SAN TELMO'!AV16+'AS SAN TELMO'!AV16+'AS GUEMES'!AV16+'LUCERO GUEMES 2'!AV16+'LUCERO SAN TELMO 2'!AV16+'LUCERO GUEMES'!AV16</f>
        <v>583880</v>
      </c>
      <c r="AN12" s="215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215">
        <f>'LUCERO RECOLETA'!AW16+RESERVA!AT16+'LUCERO FLORIDA'!AW16+'LUCERO SAN TELMO'!AW16+'LUCERO FRENCH'!AW16+'AS SAN TELMO'!AW16+'AS GUEMES'!AW16+'LUCERO CHACO'!AS16+'AS SAN TELMO'!AW16+'LUCERO SAN TELMO 2'!AW16+'LUCERO GUEMES'!AW16</f>
        <v>351370</v>
      </c>
      <c r="AP12" s="305"/>
      <c r="AQ12" s="353">
        <f>IF(T12*0.1*1.21&lt;825000,825000*1.21,T12*0.1*1.21)</f>
        <v>998250</v>
      </c>
      <c r="AR12" s="356" t="str">
        <f>AR10</f>
        <v>348.227.22</v>
      </c>
      <c r="AS12" s="362">
        <v>46538.0</v>
      </c>
      <c r="AT12" s="307"/>
    </row>
    <row r="13" ht="18.0" customHeight="1">
      <c r="A13" s="186" t="s">
        <v>140</v>
      </c>
      <c r="B13" s="331">
        <f>'LUCERO GUEMES'!K41</f>
        <v>1907164.5</v>
      </c>
      <c r="C13" s="331">
        <f>'LUCERO GUEMES'!W41</f>
        <v>59981.9</v>
      </c>
      <c r="D13" s="331">
        <f>'LUCERO GUEMES'!Q41</f>
        <v>0</v>
      </c>
      <c r="E13" s="331">
        <f>'LUCERO GUEMES'!AC41</f>
        <v>0</v>
      </c>
      <c r="F13" s="332">
        <f t="shared" si="1"/>
        <v>1967146.4</v>
      </c>
      <c r="G13" s="332">
        <f>'LUCERO GUEMES'!BM41</f>
        <v>-9926.4</v>
      </c>
      <c r="H13" s="333">
        <f>'LUCERO GUEMES'!C41</f>
        <v>20</v>
      </c>
      <c r="I13" s="334">
        <f>'LUCERO GUEMES'!F41</f>
        <v>0</v>
      </c>
      <c r="J13" s="335">
        <f t="shared" si="2"/>
        <v>98357.32</v>
      </c>
      <c r="L13" s="336">
        <f>'LUCERO GUEMES'!BO41</f>
        <v>0.1098037238</v>
      </c>
      <c r="M13" s="336">
        <f>'LUCERO GUEMES'!BP41</f>
        <v>0</v>
      </c>
      <c r="N13" s="336">
        <f>'LUCERO GUEMES'!BQ41</f>
        <v>0.8851501851</v>
      </c>
      <c r="O13" s="336">
        <f>'LUCERO GUEMES'!BR41</f>
        <v>0</v>
      </c>
      <c r="P13" s="336">
        <f>'LUCERO GUEMES'!BS41</f>
        <v>0</v>
      </c>
      <c r="Q13" s="336">
        <f>'LUCERO GUEMES'!BT41</f>
        <v>0</v>
      </c>
      <c r="R13" s="336">
        <f>'LUCERO GUEMES'!BU41</f>
        <v>0</v>
      </c>
      <c r="T13" s="338">
        <f>'LUCERO GUEMES'!H41-'LUCERO GUEMES'!Z41+'LUCERO GUEMES'!N41+'LUCERO GUEMES'!T41</f>
        <v>1625740.82</v>
      </c>
      <c r="U13" s="339">
        <f>MIN('LUCERO GUEMES'!B9:B40)</f>
        <v>0</v>
      </c>
      <c r="V13" s="339">
        <f>'LUCERO GUEMES'!B41</f>
        <v>0</v>
      </c>
      <c r="W13" s="339">
        <f>'LUCERO GUEMES'!D41</f>
        <v>226</v>
      </c>
      <c r="X13" s="339">
        <f>'LUCERO GUEMES'!E41</f>
        <v>242</v>
      </c>
      <c r="Y13" s="340">
        <f t="shared" si="3"/>
        <v>-4</v>
      </c>
      <c r="Z13" s="341">
        <f>'LUCERO GUEMES'!AT41</f>
        <v>1741220</v>
      </c>
      <c r="AA13" s="342">
        <f>'LUCERO GUEMES'!AU41</f>
        <v>0</v>
      </c>
      <c r="AB13" s="342">
        <f>'LUCERO GUEMES'!AV41</f>
        <v>0</v>
      </c>
      <c r="AC13" s="352" t="s">
        <v>125</v>
      </c>
      <c r="AD13" s="307">
        <f>'LUCERO SAN TELMO'!A17</f>
        <v>46151</v>
      </c>
      <c r="AE13" s="343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6258543.6</v>
      </c>
      <c r="AF13" s="255">
        <f t="shared" si="4"/>
        <v>0.04119380192</v>
      </c>
      <c r="AH13" s="215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90</v>
      </c>
      <c r="AI13" s="215">
        <f>'LUCERO RECOLETA'!AQ17+RESERVA!AN17+'LUCERO FLORIDA'!AQ17+'LUCERO SAN TELMO'!AQ17+'LUCERO FRENCH'!AQ17+'AS SAN TELMO'!AQ17+'AS GUEMES'!AQ17+'LUCERO CHACO'!AM17+'LUCERO GUEMES 2'!AQ17+'LUCERO SAN TELMO 2'!AQ17+'LUCERO GUEMES'!AQ17</f>
        <v>621900</v>
      </c>
      <c r="AJ13" s="215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44">
        <f>'LUCERO RECOLETA'!AT17+RESERVA!AQ17+'LUCERO FLORIDA'!AT17+'LUCERO SAN TELMO'!AT17+'LUCERO FRENCH'!AT17+'AS SAN TELMO'!AT17+'AS GUEMES'!AT17+'LUCERO CHACO'!AP17+'LUCERO GUEMES 2'!AT17+'LUCERO SAN TELMO 2'!AT17+'LUCERO GUEMES'!AT17</f>
        <v>4419210</v>
      </c>
      <c r="AL13" s="215">
        <f>'LUCERO RECOLETA'!AU17+RESERVA!AR17+'LUCERO FLORIDA'!AU17+'LUCERO FRENCH'!AU17+'LUCERO SAN TELMO'!AU17+'AS SAN TELMO'!AU17+'AS GUEMES'!AU17+'LUCERO GUEMES 2'!AU17+'LUCERO SAN TELMO 2'!AU17+'LUCERO GUEMES'!AU17</f>
        <v>289950</v>
      </c>
      <c r="AM13" s="215">
        <f>'LUCERO RECOLETA'!AV17+RESERVA!AS17+'LUCERO FLORIDA'!AV17+'LUCERO FRENCH'!AV17+'LUCERO SAN TELMO'!AV17+'AS SAN TELMO'!AV17+'AS GUEMES'!AV17+'LUCERO GUEMES 2'!AV17+'LUCERO SAN TELMO 2'!AV17+'LUCERO GUEMES'!AV17</f>
        <v>557330</v>
      </c>
      <c r="AN13" s="215">
        <f>'LUCERO RECOLETA'!AY17+RESERVA!AV17+'LUCERO FLORIDA'!AY17+'LUCERO SAN TELMO'!AY17+'LUCERO FRENCH'!AY17+'AS SAN TELMO'!AY17+'AS GUEMES'!AY17+'LUCERO CHACO'!AU17+'LUCERO GUEMES 2'!AY17+'LUCERO SAN TELMO 2'!AY17+'LUCERO GUEMES'!AY17</f>
        <v>60</v>
      </c>
      <c r="AO13" s="215">
        <f>'LUCERO RECOLETA'!AW17+RESERVA!AT17+'LUCERO FLORIDA'!AW17+'LUCERO SAN TELMO'!AW17+'LUCERO FRENCH'!AW17+'AS SAN TELMO'!AW17+'AS GUEMES'!AW17+'LUCERO CHACO'!AS17+'AS SAN TELMO'!AW17+'LUCERO SAN TELMO 2'!AW17+'LUCERO GUEMES'!AW17</f>
        <v>1210440</v>
      </c>
      <c r="AP13" s="345"/>
      <c r="AQ13" s="363">
        <f>(490000+50862)*1.21</f>
        <v>654443.02</v>
      </c>
      <c r="AR13" s="364" t="s">
        <v>141</v>
      </c>
      <c r="AS13" s="365">
        <v>46295.0</v>
      </c>
      <c r="AT13" s="307"/>
    </row>
    <row r="14" ht="18.0" customHeight="1">
      <c r="A14" s="186" t="s">
        <v>142</v>
      </c>
      <c r="B14" s="331">
        <f>'LUCERO EL SOLAR'!K41</f>
        <v>8578570</v>
      </c>
      <c r="C14" s="331">
        <f>'LUCERO EL SOLAR'!W41</f>
        <v>89000</v>
      </c>
      <c r="D14" s="331">
        <f>'LUCERO EL SOLAR'!Q41</f>
        <v>0</v>
      </c>
      <c r="E14" s="331">
        <f>'LUCERO EL SOLAR'!AC41</f>
        <v>613800</v>
      </c>
      <c r="F14" s="332">
        <f t="shared" si="1"/>
        <v>8053770</v>
      </c>
      <c r="G14" s="332">
        <f>'LUCERO EL SOLAR'!BM41</f>
        <v>-160</v>
      </c>
      <c r="H14" s="333">
        <f>'LUCERO EL SOLAR'!C41</f>
        <v>90</v>
      </c>
      <c r="I14" s="334">
        <f>'LUCERO EL SOLAR'!F41</f>
        <v>0</v>
      </c>
      <c r="J14" s="335">
        <f t="shared" si="2"/>
        <v>89486.33333</v>
      </c>
      <c r="L14" s="336">
        <f>'LUCERO EL SOLAR'!BO41</f>
        <v>0.0862949898</v>
      </c>
      <c r="M14" s="337"/>
      <c r="N14" s="337"/>
      <c r="O14" s="337"/>
      <c r="P14" s="337"/>
      <c r="Q14" s="337"/>
      <c r="R14" s="337"/>
      <c r="T14" s="338"/>
      <c r="U14" s="339" t="s">
        <v>143</v>
      </c>
      <c r="V14" s="339">
        <f>'LUCERO EL SOLAR'!B41</f>
        <v>0</v>
      </c>
      <c r="W14" s="339">
        <f>'LUCERO EL SOLAR'!D41</f>
        <v>564</v>
      </c>
      <c r="X14" s="339">
        <f>'LUCERO EL SOLAR'!E41</f>
        <v>653</v>
      </c>
      <c r="Y14" s="340">
        <f t="shared" si="3"/>
        <v>-1</v>
      </c>
      <c r="Z14" s="355"/>
      <c r="AA14" s="342"/>
      <c r="AB14" s="342"/>
      <c r="AC14" s="303" t="s">
        <v>128</v>
      </c>
      <c r="AD14" s="307">
        <f>'LUCERO SAN TELMO'!A18</f>
        <v>46152</v>
      </c>
      <c r="AE14" s="343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8227978.8</v>
      </c>
      <c r="AF14" s="255">
        <f t="shared" si="4"/>
        <v>0.05415664579</v>
      </c>
      <c r="AH14" s="215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100</v>
      </c>
      <c r="AI14" s="215">
        <f>'LUCERO RECOLETA'!AQ18+RESERVA!AN18+'LUCERO FLORIDA'!AQ18+'LUCERO SAN TELMO'!AQ18+'LUCERO FRENCH'!AQ18+'AS SAN TELMO'!AQ18+'AS GUEMES'!AQ18+'LUCERO CHACO'!AM18+'LUCERO GUEMES 2'!AQ18+'LUCERO SAN TELMO 2'!AQ18+'LUCERO GUEMES'!AQ18</f>
        <v>1309800</v>
      </c>
      <c r="AJ14" s="215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44">
        <f>'LUCERO RECOLETA'!AT18+RESERVA!AQ18+'LUCERO FLORIDA'!AT18+'LUCERO SAN TELMO'!AT18+'LUCERO FRENCH'!AT18+'AS SAN TELMO'!AT18+'AS GUEMES'!AT18+'LUCERO CHACO'!AP18+'LUCERO GUEMES 2'!AT18+'LUCERO SAN TELMO 2'!AT18+'LUCERO GUEMES'!AT18</f>
        <v>6540245</v>
      </c>
      <c r="AL14" s="215">
        <f>'LUCERO RECOLETA'!AU18+RESERVA!AR18+'LUCERO FLORIDA'!AU18+'LUCERO FRENCH'!AU18+'LUCERO SAN TELMO'!AU18+'AS SAN TELMO'!AU18+'AS GUEMES'!AU18+'LUCERO GUEMES 2'!AU18+'LUCERO SAN TELMO 2'!AU18+'LUCERO GUEMES'!AU18</f>
        <v>84990</v>
      </c>
      <c r="AM14" s="215">
        <f>'LUCERO RECOLETA'!AV18+RESERVA!AS18+'LUCERO FLORIDA'!AV18+'LUCERO FRENCH'!AV18+'LUCERO SAN TELMO'!AV18+'AS SAN TELMO'!AV18+'AS GUEMES'!AV18+'LUCERO GUEMES 2'!AV18+'LUCERO SAN TELMO 2'!AV18+'LUCERO GUEMES'!AV18</f>
        <v>411910</v>
      </c>
      <c r="AN14" s="215">
        <f>'LUCERO RECOLETA'!AY18+RESERVA!AV18+'LUCERO FLORIDA'!AY18+'LUCERO SAN TELMO'!AY18+'LUCERO FRENCH'!AY18+'AS SAN TELMO'!AY18+'AS GUEMES'!AY18+'LUCERO CHACO'!AU18+'LUCERO GUEMES 2'!AY18+'LUCERO SAN TELMO 2'!AY18+'LUCERO GUEMES'!AY18</f>
        <v>0</v>
      </c>
      <c r="AO14" s="215">
        <f>'LUCERO RECOLETA'!AW18+RESERVA!AT18+'LUCERO FLORIDA'!AW18+'LUCERO SAN TELMO'!AW18+'LUCERO FRENCH'!AW18+'AS SAN TELMO'!AW18+'AS GUEMES'!AW18+'LUCERO CHACO'!AS18+'AS SAN TELMO'!AW18+'LUCERO SAN TELMO 2'!AW18+'LUCERO GUEMES'!AW18</f>
        <v>469680</v>
      </c>
      <c r="AP14" s="345"/>
      <c r="AQ14" s="366"/>
      <c r="AR14" s="366"/>
      <c r="AS14" s="367"/>
      <c r="AT14" s="307"/>
    </row>
    <row r="15" ht="18.0" customHeight="1">
      <c r="A15" s="186" t="s">
        <v>144</v>
      </c>
      <c r="B15" s="331">
        <f>'LUCERO GUEMES 2'!K41</f>
        <v>7772640</v>
      </c>
      <c r="C15" s="331">
        <f>'LUCERO GUEMES 2'!W41</f>
        <v>0</v>
      </c>
      <c r="D15" s="331">
        <f>'LUCERO GUEMES 2'!Q41</f>
        <v>0</v>
      </c>
      <c r="E15" s="331">
        <f>'LUCERO GUEMES 2'!AC41</f>
        <v>640900</v>
      </c>
      <c r="F15" s="332">
        <f t="shared" si="1"/>
        <v>7131740</v>
      </c>
      <c r="G15" s="368">
        <f>'LUCERO GUEMES 2'!BM41</f>
        <v>-4980</v>
      </c>
      <c r="H15" s="333">
        <f>'LUCERO GUEMES 2'!C41</f>
        <v>76</v>
      </c>
      <c r="I15" s="334">
        <f>'LUCERO GUEMES 2'!F41</f>
        <v>0</v>
      </c>
      <c r="J15" s="335">
        <f t="shared" si="2"/>
        <v>93838.68421</v>
      </c>
      <c r="L15" s="336">
        <f>'LUCERO GUEMES 2'!BP41</f>
        <v>0.2930140471</v>
      </c>
      <c r="M15" s="336">
        <f>'LUCERO GUEMES 2'!BQ41</f>
        <v>0.5062803748</v>
      </c>
      <c r="N15" s="336">
        <f>'LUCERO GUEMES 2'!BR41</f>
        <v>0.008132657668</v>
      </c>
      <c r="O15" s="336">
        <f>'LUCERO GUEMES 2'!BS41</f>
        <v>0</v>
      </c>
      <c r="P15" s="336">
        <f>'LUCERO GUEMES 2'!BT41</f>
        <v>0</v>
      </c>
      <c r="Q15" s="336">
        <f>'LUCERO GUEMES 2'!BU41</f>
        <v>0</v>
      </c>
      <c r="R15" s="336">
        <f>'LUCERO GUEMES 2'!BV41</f>
        <v>0.8699644126</v>
      </c>
      <c r="T15" s="369">
        <f>'LUCERO GUEMES 2'!H41+'LUCERO GUEMES 2'!N41+'LUCERO GUEMES 2'!T41-'LUCERO GUEMES 2'!Z41</f>
        <v>5894000.03</v>
      </c>
      <c r="U15" s="216"/>
      <c r="V15" s="222"/>
      <c r="W15" s="222"/>
      <c r="X15" s="222"/>
      <c r="Y15" s="340">
        <f t="shared" si="3"/>
        <v>-76</v>
      </c>
      <c r="Z15" s="355"/>
      <c r="AA15" s="342"/>
      <c r="AB15" s="342"/>
      <c r="AC15" s="303" t="s">
        <v>130</v>
      </c>
      <c r="AD15" s="307">
        <f>'LUCERO SAN TELMO'!A19</f>
        <v>46153</v>
      </c>
      <c r="AE15" s="343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2397420</v>
      </c>
      <c r="AF15" s="255">
        <f t="shared" si="4"/>
        <v>0.01577984447</v>
      </c>
      <c r="AH15" s="215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0</v>
      </c>
      <c r="AI15" s="215">
        <f>'LUCERO RECOLETA'!AQ19+RESERVA!AN19+'LUCERO FLORIDA'!AQ19+'LUCERO SAN TELMO'!AQ19+'LUCERO FRENCH'!AQ19+'AS SAN TELMO'!AQ19+'AS GUEMES'!AQ19+'LUCERO CHACO'!AM19+'LUCERO GUEMES 2'!AQ19+'LUCERO SAN TELMO 2'!AQ19+'LUCERO GUEMES'!AQ19</f>
        <v>103900</v>
      </c>
      <c r="AJ15" s="215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44">
        <f>'LUCERO RECOLETA'!AT19+RESERVA!AQ19+'LUCERO FLORIDA'!AT19+'LUCERO SAN TELMO'!AT19+'LUCERO FRENCH'!AT19+'AS SAN TELMO'!AT19+'AS GUEMES'!AT19+'LUCERO CHACO'!AP19+'LUCERO GUEMES 2'!AT19+'LUCERO SAN TELMO 2'!AT19+'LUCERO GUEMES'!AT19</f>
        <v>2080350</v>
      </c>
      <c r="AL15" s="215">
        <f>'LUCERO RECOLETA'!AU19+RESERVA!AR19+'LUCERO FLORIDA'!AU19+'LUCERO FRENCH'!AU19+'LUCERO SAN TELMO'!AU19+'AS SAN TELMO'!AU19+'AS GUEMES'!AU19+'LUCERO GUEMES 2'!AU19+'LUCERO SAN TELMO 2'!AU19+'LUCERO GUEMES'!AU19</f>
        <v>198600</v>
      </c>
      <c r="AM15" s="215">
        <f>'LUCERO RECOLETA'!AV19+RESERVA!AS19+'LUCERO FLORIDA'!AV19+'LUCERO FRENCH'!AV19+'LUCERO SAN TELMO'!AV19+'AS SAN TELMO'!AV19+'AS GUEMES'!AV19+'LUCERO GUEMES 2'!AV19+'LUCERO SAN TELMO 2'!AV19+'LUCERO GUEMES'!AV19</f>
        <v>387950</v>
      </c>
      <c r="AN15" s="215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215">
        <f>'LUCERO RECOLETA'!AW19+RESERVA!AT19+'LUCERO FLORIDA'!AW19+'LUCERO SAN TELMO'!AW19+'LUCERO FRENCH'!AW19+'AS SAN TELMO'!AW19+'AS GUEMES'!AW19+'LUCERO CHACO'!AS19+'AS SAN TELMO'!AW19+'LUCERO SAN TELMO 2'!AW19+'LUCERO GUEMES'!AW19</f>
        <v>336480</v>
      </c>
      <c r="AP15" s="370"/>
      <c r="AQ15" s="371">
        <f t="shared" ref="AQ15:AR15" si="5">SUM(AQ5:AQ12)</f>
        <v>9267024.296</v>
      </c>
      <c r="AR15" s="371">
        <f t="shared" si="5"/>
        <v>0</v>
      </c>
      <c r="AS15" s="367"/>
      <c r="AT15" s="307"/>
    </row>
    <row r="16" ht="18.0" customHeight="1">
      <c r="A16" s="186" t="s">
        <v>145</v>
      </c>
      <c r="B16" s="331"/>
      <c r="C16" s="331"/>
      <c r="D16" s="331">
        <f>'SD 2468'!P41</f>
        <v>0</v>
      </c>
      <c r="E16" s="331"/>
      <c r="F16" s="332">
        <f t="shared" si="1"/>
        <v>0</v>
      </c>
      <c r="G16" s="332"/>
      <c r="H16" s="333"/>
      <c r="I16" s="334"/>
      <c r="J16" s="335"/>
      <c r="L16" s="336"/>
      <c r="M16" s="337"/>
      <c r="N16" s="337"/>
      <c r="O16" s="337"/>
      <c r="P16" s="337"/>
      <c r="Q16" s="337"/>
      <c r="R16" s="337"/>
      <c r="T16" s="369"/>
      <c r="U16" s="216"/>
      <c r="V16" s="222"/>
      <c r="W16" s="222"/>
      <c r="X16" s="222"/>
      <c r="Y16" s="340">
        <f t="shared" si="3"/>
        <v>0</v>
      </c>
      <c r="Z16" s="355"/>
      <c r="AA16" s="342"/>
      <c r="AB16" s="342"/>
      <c r="AC16" s="303" t="s">
        <v>133</v>
      </c>
      <c r="AD16" s="307">
        <f>'LUCERO SAN TELMO'!A20</f>
        <v>46154</v>
      </c>
      <c r="AE16" s="343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2507606</v>
      </c>
      <c r="AF16" s="255">
        <f t="shared" si="4"/>
        <v>0.01650508992</v>
      </c>
      <c r="AG16" s="372"/>
      <c r="AH16" s="215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0</v>
      </c>
      <c r="AI16" s="215">
        <f>'LUCERO RECOLETA'!AQ20+RESERVA!AN20+'LUCERO FLORIDA'!AQ20+'LUCERO SAN TELMO'!AQ20+'LUCERO FRENCH'!AQ20+'AS SAN TELMO'!AQ20+'AS GUEMES'!AQ20+'LUCERO CHACO'!AM20+'LUCERO GUEMES 2'!AQ20+'LUCERO SAN TELMO 2'!AQ20+'LUCERO GUEMES'!AQ20</f>
        <v>257900</v>
      </c>
      <c r="AJ16" s="215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44">
        <f>'LUCERO RECOLETA'!AT20+RESERVA!AQ20+'LUCERO FLORIDA'!AT20+'LUCERO SAN TELMO'!AT20+'LUCERO FRENCH'!AT20+'AS SAN TELMO'!AT20+'AS GUEMES'!AT20+'LUCERO CHACO'!AP20+'LUCERO GUEMES 2'!AT20+'LUCERO SAN TELMO 2'!AT20+'LUCERO GUEMES'!AT20</f>
        <v>1991600</v>
      </c>
      <c r="AL16" s="215">
        <f>'LUCERO RECOLETA'!AU20+RESERVA!AR20+'LUCERO FLORIDA'!AU20+'LUCERO FRENCH'!AU20+'LUCERO SAN TELMO'!AU20+'AS SAN TELMO'!AU20+'AS GUEMES'!AU20+'LUCERO GUEMES 2'!AU20+'LUCERO SAN TELMO 2'!AU20+'LUCERO GUEMES'!AU20</f>
        <v>34900</v>
      </c>
      <c r="AM16" s="215">
        <f>'LUCERO RECOLETA'!AV20+RESERVA!AS20+'LUCERO FLORIDA'!AV20+'LUCERO FRENCH'!AV20+'LUCERO SAN TELMO'!AV20+'AS SAN TELMO'!AV20+'AS GUEMES'!AV20+'LUCERO GUEMES 2'!AV20+'LUCERO SAN TELMO 2'!AV20+'LUCERO GUEMES'!AV20</f>
        <v>167990</v>
      </c>
      <c r="AN16" s="215">
        <f>'LUCERO RECOLETA'!AY20+RESERVA!AV20+'LUCERO FLORIDA'!AY20+'LUCERO SAN TELMO'!AY20+'LUCERO FRENCH'!AY20+'AS SAN TELMO'!AY20+'AS GUEMES'!AY20+'LUCERO CHACO'!AU20+'LUCERO GUEMES 2'!AY20+'LUCERO SAN TELMO 2'!AY20+'LUCERO GUEMES'!AY20</f>
        <v>0</v>
      </c>
      <c r="AO16" s="215">
        <f>'LUCERO RECOLETA'!AW20+RESERVA!AT20+'LUCERO FLORIDA'!AW20+'LUCERO SAN TELMO'!AW20+'LUCERO FRENCH'!AW20+'AS SAN TELMO'!AW20+'AS GUEMES'!AW20+'LUCERO CHACO'!AS20+'AS SAN TELMO'!AW20+'LUCERO SAN TELMO 2'!AW20+'LUCERO GUEMES'!AW20</f>
        <v>40860</v>
      </c>
      <c r="AP16" s="305"/>
      <c r="AQ16" s="305"/>
      <c r="AR16" s="305"/>
      <c r="AS16" s="306"/>
      <c r="AT16" s="307"/>
    </row>
    <row r="17" ht="18.0" customHeight="1">
      <c r="A17" s="332" t="s">
        <v>146</v>
      </c>
      <c r="B17" s="334">
        <f t="shared" ref="B17:I17" si="6">SUM(B5:B16)</f>
        <v>136650268.7</v>
      </c>
      <c r="C17" s="334">
        <f t="shared" si="6"/>
        <v>1136845.7</v>
      </c>
      <c r="D17" s="334">
        <f t="shared" si="6"/>
        <v>0</v>
      </c>
      <c r="E17" s="334">
        <f t="shared" si="6"/>
        <v>2554580</v>
      </c>
      <c r="F17" s="373">
        <f t="shared" si="6"/>
        <v>135232534.4</v>
      </c>
      <c r="G17" s="373">
        <f t="shared" si="6"/>
        <v>127559.6</v>
      </c>
      <c r="H17" s="334">
        <f t="shared" si="6"/>
        <v>1298</v>
      </c>
      <c r="I17" s="334">
        <f t="shared" si="6"/>
        <v>0</v>
      </c>
      <c r="J17" s="335">
        <f>AVERAGE(J5:J16)</f>
        <v>72597.20768</v>
      </c>
      <c r="L17" s="374">
        <f>(F5*L5+F6*L6+F7*L7+F8*L8+F10*L10+F11*L11+F12*L12)/F17</f>
        <v>0.0707595997</v>
      </c>
      <c r="M17" s="375">
        <f>(F5*M5+F6*M6+F7*M7+F8*M8+F10*M10+F11*M11+F12*M12)/F17</f>
        <v>0.0223494887</v>
      </c>
      <c r="N17" s="375">
        <f>(F5*N5+F6*N6+F7*N7+F8*N8+F10*N10+F11*N11+F12*N12)/F17</f>
        <v>0.7202059507</v>
      </c>
      <c r="O17" s="375">
        <f>(F5*O5+F6*O6+F7*O7+F8*O8+F10*O10+F11*O11+F12*O12)/F17</f>
        <v>0.005988647655</v>
      </c>
      <c r="P17" s="375">
        <f>(F5*P5+F6*P6+F7*P7+F8*P8+F10*P10+F11*P11+F12*P12)/F17</f>
        <v>0.0009852658651</v>
      </c>
      <c r="Q17" s="375">
        <f>(F5*Q5+F6*Q6+F7*Q7+F8*Q8+F10*Q10+F11*Q11+F12*Q12)/F17</f>
        <v>0.05349859065</v>
      </c>
      <c r="R17" s="375">
        <f>(F5*R5+F6*R6+F7*R7+F8*R8+F10*R10+F11*R11+F12*R12)/F17</f>
        <v>0</v>
      </c>
      <c r="T17" s="376">
        <f>SUM(T5:T12)</f>
        <v>97586675.25</v>
      </c>
      <c r="U17" s="216"/>
      <c r="V17" s="222"/>
      <c r="W17" s="222"/>
      <c r="X17" s="222"/>
      <c r="Y17" s="303"/>
      <c r="Z17" s="377">
        <f t="shared" ref="Z17:AB17" si="7">SUM(Z5:Z11)</f>
        <v>97098184</v>
      </c>
      <c r="AA17" s="335">
        <f t="shared" si="7"/>
        <v>3022378</v>
      </c>
      <c r="AB17" s="335">
        <f t="shared" si="7"/>
        <v>8801775</v>
      </c>
      <c r="AC17" s="352" t="s">
        <v>135</v>
      </c>
      <c r="AD17" s="307">
        <f>'LUCERO SAN TELMO'!A21</f>
        <v>46155</v>
      </c>
      <c r="AE17" s="343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3763580</v>
      </c>
      <c r="AF17" s="255">
        <f t="shared" si="4"/>
        <v>0.02477192442</v>
      </c>
      <c r="AH17" s="215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0</v>
      </c>
      <c r="AI17" s="215">
        <f>'LUCERO RECOLETA'!AQ21+RESERVA!AN21+'LUCERO FLORIDA'!AQ21+'LUCERO SAN TELMO'!AQ21+'LUCERO FRENCH'!AQ21+'AS SAN TELMO'!AQ21+'AS GUEMES'!AQ21+'LUCERO CHACO'!AM21+'LUCERO GUEMES 2'!AQ21+'LUCERO SAN TELMO 2'!AQ21+'LUCERO GUEMES'!AQ21</f>
        <v>353500</v>
      </c>
      <c r="AJ17" s="215">
        <f>'LUCERO RECOLETA'!AR21+RESERVA!AO21+'LUCERO FLORIDA'!AR21+'LUCERO SAN TELMO'!AR21+'LUCERO FRENCH'!AR21+'AS SAN TELMO'!AQ22+'AS GUEMES'!AR21+'LUCERO CHACO'!AN21+'LUCERO GUEMES 2'!AR21+'LUCERO SAN TELMO 2'!AR21+'LUCERO GUEMES'!AR21</f>
        <v>32500</v>
      </c>
      <c r="AK17" s="344">
        <f>'LUCERO RECOLETA'!AT21+RESERVA!AQ21+'LUCERO FLORIDA'!AT21+'LUCERO SAN TELMO'!AT21+'LUCERO FRENCH'!AT21+'AS SAN TELMO'!AT21+'AS GUEMES'!AT21+'LUCERO CHACO'!AP21+'LUCERO GUEMES 2'!AT21+'LUCERO SAN TELMO 2'!AT21+'LUCERO GUEMES'!AT21</f>
        <v>3217210</v>
      </c>
      <c r="AL17" s="215">
        <f>'LUCERO RECOLETA'!AU21+RESERVA!AR21+'LUCERO FLORIDA'!AU21+'LUCERO FRENCH'!AU21+'LUCERO SAN TELMO'!AU21+'AS SAN TELMO'!AU21+'AS GUEMES'!AU21+'LUCERO GUEMES 2'!AU21+'LUCERO SAN TELMO 2'!AU21+'LUCERO GUEMES'!AU21</f>
        <v>478700</v>
      </c>
      <c r="AM17" s="215">
        <f>'LUCERO RECOLETA'!AV21+RESERVA!AS21+'LUCERO FLORIDA'!AV21+'LUCERO FRENCH'!AV21+'LUCERO SAN TELMO'!AV21+'AS SAN TELMO'!AV21+'AS GUEMES'!AV21+'LUCERO GUEMES 2'!AV21+'LUCERO SAN TELMO 2'!AV21+'LUCERO GUEMES'!AV21</f>
        <v>393980</v>
      </c>
      <c r="AN17" s="215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215">
        <f>'LUCERO RECOLETA'!AW21+RESERVA!AT21+'LUCERO FLORIDA'!AW21+'LUCERO SAN TELMO'!AW21+'LUCERO FRENCH'!AW21+'AS SAN TELMO'!AW21+'AS GUEMES'!AW21+'LUCERO CHACO'!AS21+'AS SAN TELMO'!AW21+'LUCERO SAN TELMO 2'!AW21+'LUCERO GUEMES'!AW21</f>
        <v>326600</v>
      </c>
      <c r="AP17" s="305"/>
      <c r="AQ17" s="311"/>
      <c r="AR17" s="305"/>
      <c r="AS17" s="312"/>
      <c r="AT17" s="307"/>
    </row>
    <row r="18" ht="18.0" customHeight="1">
      <c r="B18" s="304"/>
      <c r="C18" s="304"/>
      <c r="D18" s="304"/>
      <c r="E18" s="304"/>
      <c r="F18" s="215"/>
      <c r="G18" s="215"/>
      <c r="H18" s="378"/>
      <c r="I18" s="378"/>
      <c r="J18" s="304"/>
      <c r="L18" s="222"/>
      <c r="M18" s="222"/>
      <c r="N18" s="222"/>
      <c r="O18" s="222"/>
      <c r="P18" s="222"/>
      <c r="Q18" s="222"/>
      <c r="R18" s="222"/>
      <c r="T18" s="222"/>
      <c r="U18" s="216"/>
      <c r="V18" s="222"/>
      <c r="W18" s="222"/>
      <c r="X18" s="222"/>
      <c r="Y18" s="303"/>
      <c r="Z18" s="304"/>
      <c r="AA18" s="304"/>
      <c r="AB18" s="304"/>
      <c r="AC18" s="303" t="s">
        <v>138</v>
      </c>
      <c r="AD18" s="307">
        <f>'LUCERO SAN TELMO'!A22</f>
        <v>46156</v>
      </c>
      <c r="AE18" s="343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5473710</v>
      </c>
      <c r="AF18" s="255">
        <f t="shared" si="4"/>
        <v>0.03602801865</v>
      </c>
      <c r="AH18" s="215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0</v>
      </c>
      <c r="AI18" s="215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215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44">
        <f>'LUCERO RECOLETA'!AT22+RESERVA!AQ22+'LUCERO FLORIDA'!AT22+'LUCERO SAN TELMO'!AT22+'LUCERO FRENCH'!AT22+'AS SAN TELMO'!AT22+'AS GUEMES'!AT22+'LUCERO CHACO'!AP22+'LUCERO GUEMES 2'!AT22+'LUCERO SAN TELMO 2'!AT22+'LUCERO GUEMES'!AT22</f>
        <v>4183020</v>
      </c>
      <c r="AL18" s="215">
        <f>'LUCERO RECOLETA'!AU22+RESERVA!AR22+'LUCERO FLORIDA'!AU22+'LUCERO FRENCH'!AU22+'LUCERO SAN TELMO'!AU22+'AS SAN TELMO'!AU22+'AS GUEMES'!AU22+'LUCERO GUEMES 2'!AU22+'LUCERO SAN TELMO 2'!AU22+'LUCERO GUEMES'!AU22</f>
        <v>274730</v>
      </c>
      <c r="AM18" s="215">
        <f>'LUCERO RECOLETA'!AV22+RESERVA!AS22+'LUCERO FLORIDA'!AV22+'LUCERO FRENCH'!AV22+'LUCERO SAN TELMO'!AV22+'AS SAN TELMO'!AV22+'AS GUEMES'!AV22+'LUCERO GUEMES 2'!AV22+'LUCERO SAN TELMO 2'!AV22+'LUCERO GUEMES'!AV22</f>
        <v>227920</v>
      </c>
      <c r="AN18" s="215">
        <f>'LUCERO RECOLETA'!AY22+RESERVA!AV22+'LUCERO FLORIDA'!AY22+'LUCERO SAN TELMO'!AY22+'LUCERO FRENCH'!AY22+'AS SAN TELMO'!AY22+'AS GUEMES'!AY22+'LUCERO CHACO'!AU22+'LUCERO GUEMES 2'!AY22+'LUCERO SAN TELMO 2'!AY22+'LUCERO GUEMES'!AY22</f>
        <v>0</v>
      </c>
      <c r="AO18" s="215">
        <f>'LUCERO RECOLETA'!AW22+RESERVA!AT22+'LUCERO FLORIDA'!AW22+'LUCERO SAN TELMO'!AW22+'LUCERO FRENCH'!AW22+'AS SAN TELMO'!AW22+'AS GUEMES'!AW22+'LUCERO CHACO'!AS22+'AS SAN TELMO'!AW22+'LUCERO SAN TELMO 2'!AW22+'LUCERO GUEMES'!AW22</f>
        <v>242780</v>
      </c>
      <c r="AP18" s="326"/>
      <c r="AQ18" s="379" t="s">
        <v>118</v>
      </c>
      <c r="AR18" s="327" t="s">
        <v>119</v>
      </c>
      <c r="AS18" s="380" t="s">
        <v>120</v>
      </c>
      <c r="AT18" s="329"/>
    </row>
    <row r="19" ht="18.0" customHeight="1">
      <c r="B19" s="304"/>
      <c r="C19" s="304"/>
      <c r="D19" s="304"/>
      <c r="E19" s="304"/>
      <c r="F19" s="215"/>
      <c r="G19" s="215"/>
      <c r="H19" s="381"/>
      <c r="I19" s="381"/>
      <c r="J19" s="310"/>
      <c r="L19" s="309"/>
      <c r="M19" s="309"/>
      <c r="N19" s="309"/>
      <c r="O19" s="309"/>
      <c r="P19" s="309"/>
      <c r="Q19" s="309"/>
      <c r="R19" s="309"/>
      <c r="T19" s="309"/>
      <c r="U19" s="382"/>
      <c r="V19" s="309"/>
      <c r="W19" s="309"/>
      <c r="X19" s="309"/>
      <c r="Y19" s="303"/>
      <c r="Z19" s="310"/>
      <c r="AA19" s="310"/>
      <c r="AB19" s="310"/>
      <c r="AC19" s="303" t="s">
        <v>122</v>
      </c>
      <c r="AD19" s="307">
        <f>'LUCERO SAN TELMO'!A23</f>
        <v>46157</v>
      </c>
      <c r="AE19" s="343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5622040</v>
      </c>
      <c r="AF19" s="255">
        <f t="shared" si="4"/>
        <v>0.03700432832</v>
      </c>
      <c r="AH19" s="215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0</v>
      </c>
      <c r="AI19" s="215">
        <f>'LUCERO RECOLETA'!AQ23+RESERVA!AN23+'LUCERO FLORIDA'!AQ23+'LUCERO SAN TELMO'!AQ23+'LUCERO FRENCH'!AQ23+'AS SAN TELMO'!AQ23+'AS GUEMES'!AQ23+'LUCERO CHACO'!AM23+'LUCERO GUEMES 2'!AQ23+'LUCERO SAN TELMO 2'!AQ23+'LUCERO GUEMES'!AQ23</f>
        <v>563000</v>
      </c>
      <c r="AJ19" s="215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44">
        <f>'LUCERO RECOLETA'!AT23+RESERVA!AQ23+'LUCERO FLORIDA'!AT23+'LUCERO SAN TELMO'!AT23+'LUCERO FRENCH'!AT23+'AS SAN TELMO'!AT23+'AS GUEMES'!AT23+'LUCERO CHACO'!AP23+'LUCERO GUEMES 2'!AT23+'LUCERO SAN TELMO 2'!AT23+'LUCERO GUEMES'!AT23</f>
        <v>4207650</v>
      </c>
      <c r="AL19" s="215">
        <f>'LUCERO RECOLETA'!AU23+RESERVA!AR23+'LUCERO FLORIDA'!AU23+'LUCERO FRENCH'!AU23+'LUCERO SAN TELMO'!AU23+'AS SAN TELMO'!AU23+'AS GUEMES'!AU23+'LUCERO GUEMES 2'!AU23+'LUCERO SAN TELMO 2'!AU23+'LUCERO GUEMES'!AU23</f>
        <v>49990</v>
      </c>
      <c r="AM19" s="215">
        <f>'LUCERO RECOLETA'!AV23+RESERVA!AS23+'LUCERO FLORIDA'!AV23+'LUCERO FRENCH'!AV23+'LUCERO SAN TELMO'!AV23+'AS SAN TELMO'!AV23+'AS GUEMES'!AV23+'LUCERO GUEMES 2'!AV23+'LUCERO SAN TELMO 2'!AV23+'LUCERO GUEMES'!AV23</f>
        <v>588830</v>
      </c>
      <c r="AN19" s="215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215">
        <f>'LUCERO RECOLETA'!AW23+RESERVA!AT23+'LUCERO FLORIDA'!AW23+'LUCERO SAN TELMO'!AW23+'LUCERO FRENCH'!AW23+'AS SAN TELMO'!AW23+'AS GUEMES'!AW23+'LUCERO CHACO'!AS23+'AS SAN TELMO'!AW23+'LUCERO SAN TELMO 2'!AW23+'LUCERO GUEMES'!AW23</f>
        <v>199590</v>
      </c>
      <c r="AP19" s="345"/>
      <c r="AQ19" s="366">
        <f>T21*0.09*1.21</f>
        <v>1502704.995</v>
      </c>
      <c r="AR19" s="353" t="str">
        <f>AR12*2</f>
        <v>#VALUE!</v>
      </c>
      <c r="AS19" s="383">
        <v>46252.0</v>
      </c>
      <c r="AT19" s="349"/>
    </row>
    <row r="20" ht="17.25" customHeight="1">
      <c r="A20" s="384" t="s">
        <v>147</v>
      </c>
      <c r="B20" s="385" t="s">
        <v>148</v>
      </c>
      <c r="C20" s="385" t="s">
        <v>149</v>
      </c>
      <c r="D20" s="385" t="s">
        <v>150</v>
      </c>
      <c r="E20" s="385" t="s">
        <v>151</v>
      </c>
      <c r="F20" s="386" t="s">
        <v>99</v>
      </c>
      <c r="G20" s="386" t="s">
        <v>100</v>
      </c>
      <c r="H20" s="387" t="s">
        <v>101</v>
      </c>
      <c r="I20" s="388" t="s">
        <v>102</v>
      </c>
      <c r="J20" s="388" t="s">
        <v>103</v>
      </c>
      <c r="K20" s="372"/>
      <c r="L20" s="318" t="s">
        <v>37</v>
      </c>
      <c r="M20" s="319" t="s">
        <v>41</v>
      </c>
      <c r="N20" s="319" t="s">
        <v>42</v>
      </c>
      <c r="O20" s="319" t="s">
        <v>104</v>
      </c>
      <c r="P20" s="319" t="s">
        <v>33</v>
      </c>
      <c r="Q20" s="319" t="s">
        <v>51</v>
      </c>
      <c r="R20" s="319" t="s">
        <v>52</v>
      </c>
      <c r="S20" s="372"/>
      <c r="T20" s="384" t="s">
        <v>105</v>
      </c>
      <c r="U20" s="313" t="s">
        <v>106</v>
      </c>
      <c r="V20" s="313" t="s">
        <v>107</v>
      </c>
      <c r="W20" s="313" t="s">
        <v>108</v>
      </c>
      <c r="X20" s="313" t="s">
        <v>109</v>
      </c>
      <c r="Y20" s="389"/>
      <c r="Z20" s="321" t="s">
        <v>110</v>
      </c>
      <c r="AA20" s="322" t="s">
        <v>41</v>
      </c>
      <c r="AB20" s="322" t="s">
        <v>42</v>
      </c>
      <c r="AC20" s="352" t="s">
        <v>125</v>
      </c>
      <c r="AD20" s="307">
        <f>'LUCERO SAN TELMO'!A24</f>
        <v>46158</v>
      </c>
      <c r="AE20" s="343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6688653.8</v>
      </c>
      <c r="AF20" s="255">
        <f t="shared" si="4"/>
        <v>0.04402479193</v>
      </c>
      <c r="AH20" s="215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320</v>
      </c>
      <c r="AI20" s="215">
        <f>'LUCERO RECOLETA'!AQ24+RESERVA!AN24+'LUCERO FLORIDA'!AQ24+'LUCERO SAN TELMO'!AQ24+'LUCERO FRENCH'!AQ24+'AS SAN TELMO'!AQ24+'AS GUEMES'!AQ24+'LUCERO CHACO'!AM24+'LUCERO GUEMES 2'!AQ24+'LUCERO SAN TELMO 2'!AQ24+'LUCERO GUEMES'!AQ24</f>
        <v>1442600</v>
      </c>
      <c r="AJ20" s="215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44">
        <f>'LUCERO RECOLETA'!AT24+RESERVA!AQ24+'LUCERO FLORIDA'!AT24+'LUCERO SAN TELMO'!AT24+'LUCERO FRENCH'!AT24+'AS SAN TELMO'!AT24+'AS GUEMES'!AT24+'LUCERO CHACO'!AP24+'LUCERO GUEMES 2'!AT24+'LUCERO SAN TELMO 2'!AT24+'LUCERO GUEMES'!AT24</f>
        <v>4180640</v>
      </c>
      <c r="AL20" s="215">
        <f>'LUCERO RECOLETA'!AU24+RESERVA!AR24+'LUCERO FLORIDA'!AU24+'LUCERO FRENCH'!AU24+'LUCERO SAN TELMO'!AU24+'AS SAN TELMO'!AU24+'AS GUEMES'!AU24+'LUCERO GUEMES 2'!AU24+'LUCERO SAN TELMO 2'!AU24+'LUCERO GUEMES'!AU24</f>
        <v>0</v>
      </c>
      <c r="AM20" s="215">
        <f>'LUCERO RECOLETA'!AV24+RESERVA!AS24+'LUCERO FLORIDA'!AV24+'LUCERO FRENCH'!AV24+'LUCERO SAN TELMO'!AV24+'AS SAN TELMO'!AV24+'AS GUEMES'!AV24+'LUCERO GUEMES 2'!AV24+'LUCERO SAN TELMO 2'!AV24+'LUCERO GUEMES'!AV24</f>
        <v>345960</v>
      </c>
      <c r="AN20" s="215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215">
        <f>'LUCERO RECOLETA'!AW24+RESERVA!AT24+'LUCERO FLORIDA'!AW24+'LUCERO SAN TELMO'!AW24+'LUCERO FRENCH'!AW24+'AS SAN TELMO'!AW24+'AS GUEMES'!AW24+'LUCERO CHACO'!AS24+'AS SAN TELMO'!AW24+'LUCERO SAN TELMO 2'!AW24+'LUCERO GUEMES'!AW24</f>
        <v>515290</v>
      </c>
      <c r="AP20" s="345"/>
      <c r="AQ20" s="366"/>
      <c r="AR20" s="353"/>
      <c r="AS20" s="390">
        <v>45747.0</v>
      </c>
      <c r="AT20" s="349"/>
    </row>
    <row r="21" ht="18.0" customHeight="1">
      <c r="A21" s="330" t="s">
        <v>152</v>
      </c>
      <c r="B21" s="331">
        <f>'AS SAN TELMO'!K41</f>
        <v>16696719.7</v>
      </c>
      <c r="C21" s="331">
        <f>'AS SAN TELMO'!W41</f>
        <v>0</v>
      </c>
      <c r="D21" s="331">
        <f>'AS SAN TELMO'!Q41</f>
        <v>0</v>
      </c>
      <c r="E21" s="331">
        <f>'AS SAN TELMO'!AC41</f>
        <v>0</v>
      </c>
      <c r="F21" s="332">
        <f t="shared" ref="F21:F22" si="8">SUM(B21+C21+D21-E21)</f>
        <v>16696719.7</v>
      </c>
      <c r="G21" s="332">
        <f>+'AS SAN TELMO'!BM41</f>
        <v>6400.29</v>
      </c>
      <c r="H21" s="333">
        <f>+'AS SAN TELMO'!C41</f>
        <v>1538</v>
      </c>
      <c r="I21" s="334">
        <f>+'AS SAN TELMO'!F41</f>
        <v>0</v>
      </c>
      <c r="J21" s="335">
        <f>F21/(H21-I21)</f>
        <v>10856.12464</v>
      </c>
      <c r="L21" s="336">
        <f>+'AS SAN TELMO'!BO41</f>
        <v>0.3501346435</v>
      </c>
      <c r="M21" s="337">
        <f>+'AS SAN TELMO'!BP41</f>
        <v>0</v>
      </c>
      <c r="N21" s="337">
        <f>+'AS SAN TELMO'!BQ41</f>
        <v>0.3282447144</v>
      </c>
      <c r="O21" s="337">
        <f>+'AS SAN TELMO'!BR41</f>
        <v>0.3220039682</v>
      </c>
      <c r="P21" s="337">
        <f>+'AS SAN TELMO'!BS41</f>
        <v>0</v>
      </c>
      <c r="Q21" s="337">
        <f>+'AS SAN TELMO'!BT41</f>
        <v>0</v>
      </c>
      <c r="R21" s="337">
        <f>+'AS SAN TELMO'!BU41</f>
        <v>0</v>
      </c>
      <c r="T21" s="338">
        <f>'AS SAN TELMO'!H41-'AS SAN TELMO'!Z41+'AS SAN TELMO'!N41+'AS SAN TELMO'!T41</f>
        <v>13798943.94</v>
      </c>
      <c r="U21" s="339">
        <f>MIN('AS SAN TELMO'!B9:B40)</f>
        <v>0</v>
      </c>
      <c r="V21" s="339">
        <f>'AS SAN TELMO'!B41</f>
        <v>0</v>
      </c>
      <c r="W21" s="339">
        <f>'AS SAN TELMO'!D41</f>
        <v>6547</v>
      </c>
      <c r="X21" s="339">
        <f>'AS SAN TELMO'!E41</f>
        <v>8084</v>
      </c>
      <c r="Y21" s="340">
        <f t="shared" ref="Y21:Y22" si="9">X21-W21-H21</f>
        <v>-1</v>
      </c>
      <c r="Z21" s="391">
        <f>'AS SAN TELMO'!AT41</f>
        <v>5480609.99</v>
      </c>
      <c r="AA21" s="342">
        <f>'AS SAN TELMO'!AU41</f>
        <v>0</v>
      </c>
      <c r="AB21" s="342">
        <f>'AS SAN TELMO'!AV41</f>
        <v>0</v>
      </c>
      <c r="AC21" s="303" t="s">
        <v>128</v>
      </c>
      <c r="AD21" s="307">
        <f>'LUCERO SAN TELMO'!A25</f>
        <v>46159</v>
      </c>
      <c r="AE21" s="343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7540470</v>
      </c>
      <c r="AF21" s="255">
        <f t="shared" si="4"/>
        <v>0.04963145541</v>
      </c>
      <c r="AH21" s="215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240</v>
      </c>
      <c r="AI21" s="215">
        <f>'LUCERO RECOLETA'!AQ25+RESERVA!AN25+'LUCERO FLORIDA'!AQ25+'LUCERO SAN TELMO'!AQ25+'LUCERO FRENCH'!AQ25+'AS SAN TELMO'!AQ25+'AS GUEMES'!AQ25+'LUCERO CHACO'!AM25+'LUCERO GUEMES 2'!AQ25+'LUCERO SAN TELMO 2'!AQ25+'LUCERO GUEMES'!AQ25</f>
        <v>1135300</v>
      </c>
      <c r="AJ21" s="215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44">
        <f>'LUCERO RECOLETA'!AT25+RESERVA!AQ25+'LUCERO FLORIDA'!AT25+'LUCERO SAN TELMO'!AT25+'LUCERO FRENCH'!AT25+'AS SAN TELMO'!AT25+'AS GUEMES'!AT25+'LUCERO CHACO'!AP25+'LUCERO GUEMES 2'!AT25+'LUCERO SAN TELMO 2'!AT25+'LUCERO GUEMES'!AT25</f>
        <v>5358550</v>
      </c>
      <c r="AL21" s="215">
        <f>'LUCERO RECOLETA'!AU25+RESERVA!AR25+'LUCERO FLORIDA'!AU25+'LUCERO FRENCH'!AU25+'LUCERO SAN TELMO'!AU25+'AS SAN TELMO'!AU25+'AS GUEMES'!AU25+'LUCERO GUEMES 2'!AU25+'LUCERO SAN TELMO 2'!AU25+'LUCERO GUEMES'!AU25</f>
        <v>59980</v>
      </c>
      <c r="AM21" s="215">
        <f>'LUCERO RECOLETA'!AV25+RESERVA!AS25+'LUCERO FLORIDA'!AV25+'LUCERO FRENCH'!AV25+'LUCERO SAN TELMO'!AV25+'AS SAN TELMO'!AV25+'AS GUEMES'!AV25+'LUCERO GUEMES 2'!AV25+'LUCERO SAN TELMO 2'!AV25+'LUCERO GUEMES'!AV25</f>
        <v>396900</v>
      </c>
      <c r="AN21" s="215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215">
        <f>'LUCERO RECOLETA'!AW25+RESERVA!AT25+'LUCERO FLORIDA'!AW25+'LUCERO SAN TELMO'!AW25+'LUCERO FRENCH'!AW25+'AS SAN TELMO'!AW25+'AS GUEMES'!AW25+'LUCERO CHACO'!AS25+'AS SAN TELMO'!AW25+'LUCERO SAN TELMO 2'!AW25+'LUCERO GUEMES'!AW25</f>
        <v>1343160</v>
      </c>
      <c r="AP21" s="305"/>
      <c r="AQ21" s="311"/>
      <c r="AR21" s="305"/>
      <c r="AS21" s="306"/>
      <c r="AT21" s="307"/>
    </row>
    <row r="22" ht="18.0" customHeight="1">
      <c r="A22" s="330" t="s">
        <v>153</v>
      </c>
      <c r="B22" s="331">
        <f>'AS GUEMES'!K41</f>
        <v>0</v>
      </c>
      <c r="C22" s="331">
        <f>'AS GUEMES'!W41</f>
        <v>0</v>
      </c>
      <c r="D22" s="331">
        <f>'AS GUEMES'!Q41</f>
        <v>0</v>
      </c>
      <c r="E22" s="331">
        <f>'AS GUEMES'!AC41</f>
        <v>0</v>
      </c>
      <c r="F22" s="332">
        <f t="shared" si="8"/>
        <v>0</v>
      </c>
      <c r="G22" s="332">
        <f>+'AS GUEMES'!BM41</f>
        <v>0</v>
      </c>
      <c r="H22" s="333">
        <f>+'AS GUEMES'!C41</f>
        <v>0</v>
      </c>
      <c r="I22" s="334">
        <f>+'AS GUEMES'!F41</f>
        <v>0</v>
      </c>
      <c r="J22" s="335"/>
      <c r="L22" s="336">
        <f>+IF('AS GUEMES'!BO41=0,0,'AS GUEMES'!BO41)</f>
        <v>0</v>
      </c>
      <c r="M22" s="337">
        <f>+'AS GUEMES'!BP41</f>
        <v>0</v>
      </c>
      <c r="N22" s="337">
        <f>+'AS GUEMES'!BQ41</f>
        <v>0</v>
      </c>
      <c r="O22" s="337">
        <f>+'AS GUEMES'!BR41</f>
        <v>0</v>
      </c>
      <c r="P22" s="337">
        <f>+'AS GUEMES'!BS41</f>
        <v>0</v>
      </c>
      <c r="Q22" s="337">
        <f>+'AS GUEMES'!BT41</f>
        <v>0</v>
      </c>
      <c r="R22" s="337">
        <f>+'AS GUEMES'!BU41</f>
        <v>0</v>
      </c>
      <c r="T22" s="338">
        <f>'AS GUEMES'!H41-'AS GUEMES'!Z41+'AS GUEMES'!N41+'AS GUEMES'!T41</f>
        <v>0</v>
      </c>
      <c r="U22" s="339">
        <f>MIN('AS GUEMES'!B9:B40)</f>
        <v>0</v>
      </c>
      <c r="V22" s="339">
        <f>'AS GUEMES'!B41</f>
        <v>0</v>
      </c>
      <c r="W22" s="339">
        <f>'AS GUEMES'!D41</f>
        <v>1</v>
      </c>
      <c r="X22" s="339">
        <f>'AS GUEMES'!E41</f>
        <v>0</v>
      </c>
      <c r="Y22" s="340">
        <f t="shared" si="9"/>
        <v>-1</v>
      </c>
      <c r="Z22" s="355">
        <f>'AS GUEMES'!AT41</f>
        <v>0</v>
      </c>
      <c r="AA22" s="342">
        <f>'AS GUEMES'!AU41</f>
        <v>0</v>
      </c>
      <c r="AB22" s="342">
        <f>'AS GUEMES'!AV41</f>
        <v>0</v>
      </c>
      <c r="AC22" s="303" t="s">
        <v>130</v>
      </c>
      <c r="AD22" s="307">
        <f>'LUCERO SAN TELMO'!A26</f>
        <v>46160</v>
      </c>
      <c r="AE22" s="343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4572280</v>
      </c>
      <c r="AF22" s="255">
        <f t="shared" si="4"/>
        <v>0.0300947966</v>
      </c>
      <c r="AH22" s="215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300</v>
      </c>
      <c r="AI22" s="215">
        <f>'LUCERO RECOLETA'!AQ26+RESERVA!AN26+'LUCERO FLORIDA'!AQ26+'LUCERO SAN TELMO'!AQ26+'LUCERO FRENCH'!AQ26+'AS SAN TELMO'!AQ26+'AS GUEMES'!AQ26+'LUCERO CHACO'!AM26+'LUCERO GUEMES 2'!AQ26+'LUCERO SAN TELMO 2'!AQ26+'LUCERO GUEMES'!AQ26</f>
        <v>890000</v>
      </c>
      <c r="AJ22" s="215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44">
        <f>'LUCERO RECOLETA'!AT26+RESERVA!AQ26+'LUCERO FLORIDA'!AT26+'LUCERO SAN TELMO'!AT26+'LUCERO FRENCH'!AT26+'AS SAN TELMO'!AT26+'AS GUEMES'!AT26+'LUCERO CHACO'!AP26+'LUCERO GUEMES 2'!AT26+'LUCERO SAN TELMO 2'!AT26+'LUCERO GUEMES'!AT26</f>
        <v>3107280</v>
      </c>
      <c r="AL22" s="215">
        <f>'LUCERO RECOLETA'!AU26+RESERVA!AR26+'LUCERO FLORIDA'!AU26+'LUCERO FRENCH'!AU26+'LUCERO SAN TELMO'!AU26+'AS SAN TELMO'!AU26+'AS GUEMES'!AU26+'LUCERO GUEMES 2'!AU26+'LUCERO SAN TELMO 2'!AU26+'LUCERO GUEMES'!AU26</f>
        <v>149000</v>
      </c>
      <c r="AM22" s="215">
        <f>'LUCERO RECOLETA'!AV26+RESERVA!AS26+'LUCERO FLORIDA'!AV26+'LUCERO FRENCH'!AV26+'LUCERO SAN TELMO'!AV26+'AS SAN TELMO'!AV26+'AS GUEMES'!AV26+'LUCERO GUEMES 2'!AV26+'LUCERO SAN TELMO 2'!AV26+'LUCERO GUEMES'!AV26</f>
        <v>840740</v>
      </c>
      <c r="AN22" s="215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215">
        <f>'LUCERO RECOLETA'!AW26+RESERVA!AT26+'LUCERO FLORIDA'!AW26+'LUCERO SAN TELMO'!AW26+'LUCERO FRENCH'!AW26+'AS SAN TELMO'!AW26+'AS GUEMES'!AW26+'LUCERO CHACO'!AS26+'AS SAN TELMO'!AW26+'LUCERO SAN TELMO 2'!AW26+'LUCERO GUEMES'!AW26</f>
        <v>186680</v>
      </c>
      <c r="AP22" s="370"/>
      <c r="AQ22" s="392">
        <f>SUM(AQ19:AQ20)</f>
        <v>1502704.995</v>
      </c>
      <c r="AR22" s="392" t="str">
        <f>SUM(AR18:AR21)</f>
        <v>#VALUE!</v>
      </c>
      <c r="AS22" s="367"/>
      <c r="AT22" s="307"/>
    </row>
    <row r="23" ht="18.0" customHeight="1">
      <c r="A23" s="222"/>
      <c r="B23" s="304"/>
      <c r="C23" s="304"/>
      <c r="D23" s="304"/>
      <c r="E23" s="304"/>
      <c r="F23" s="393"/>
      <c r="G23" s="215"/>
      <c r="H23" s="378"/>
      <c r="I23" s="378"/>
      <c r="J23" s="304"/>
      <c r="L23" s="394"/>
      <c r="M23" s="394"/>
      <c r="N23" s="394"/>
      <c r="O23" s="394"/>
      <c r="P23" s="394"/>
      <c r="Q23" s="394"/>
      <c r="R23" s="394"/>
      <c r="Y23" s="303"/>
      <c r="Z23" s="310"/>
      <c r="AA23" s="310"/>
      <c r="AB23" s="310"/>
      <c r="AC23" s="303" t="s">
        <v>133</v>
      </c>
      <c r="AD23" s="307">
        <f>'LUCERO SAN TELMO'!A27</f>
        <v>46161</v>
      </c>
      <c r="AE23" s="343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3898841.9</v>
      </c>
      <c r="AF23" s="255">
        <f t="shared" si="4"/>
        <v>0.02566221972</v>
      </c>
      <c r="AG23" s="372"/>
      <c r="AH23" s="215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40</v>
      </c>
      <c r="AI23" s="215">
        <f>'LUCERO RECOLETA'!AQ27+RESERVA!AN27+'LUCERO FLORIDA'!AQ27+'LUCERO SAN TELMO'!AQ27+'LUCERO FRENCH'!AQ27+'AS SAN TELMO'!AQ27+'AS GUEMES'!AQ27+'LUCERO CHACO'!AM27+'LUCERO GUEMES 2'!AQ27+'LUCERO SAN TELMO 2'!AQ27+'LUCERO GUEMES'!AQ27</f>
        <v>326300</v>
      </c>
      <c r="AJ23" s="215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44">
        <f>'LUCERO RECOLETA'!AT27+RESERVA!AQ27+'LUCERO FLORIDA'!AT27+'LUCERO SAN TELMO'!AT27+'LUCERO FRENCH'!AT27+'AS SAN TELMO'!AT27+'AS GUEMES'!AT27+'LUCERO CHACO'!AP27+'LUCERO GUEMES 2'!AT27+'LUCERO SAN TELMO 2'!AT27+'LUCERO GUEMES'!AT27</f>
        <v>3135260</v>
      </c>
      <c r="AL23" s="215">
        <f>'LUCERO RECOLETA'!AU27+RESERVA!AR27+'LUCERO FLORIDA'!AU27+'LUCERO FRENCH'!AU27+'LUCERO SAN TELMO'!AU27+'AS SAN TELMO'!AU27+'AS GUEMES'!AU27+'LUCERO GUEMES 2'!AU27+'LUCERO SAN TELMO 2'!AU27+'LUCERO GUEMES'!AU27</f>
        <v>92950</v>
      </c>
      <c r="AM23" s="215">
        <f>'LUCERO RECOLETA'!AV27+RESERVA!AS27+'LUCERO FLORIDA'!AV27+'LUCERO FRENCH'!AV27+'LUCERO SAN TELMO'!AV27+'AS SAN TELMO'!AV27+'AS GUEMES'!AV27+'LUCERO GUEMES 2'!AV27+'LUCERO SAN TELMO 2'!AV27+'LUCERO GUEMES'!AV27</f>
        <v>292980</v>
      </c>
      <c r="AN23" s="215">
        <f>'LUCERO RECOLETA'!AY27+RESERVA!AV27+'LUCERO FLORIDA'!AY27+'LUCERO SAN TELMO'!AY27+'LUCERO FRENCH'!AY27+'AS SAN TELMO'!AY27+'AS GUEMES'!AY27+'LUCERO CHACO'!AU27+'LUCERO GUEMES 2'!AY27+'LUCERO SAN TELMO 2'!AY27+'LUCERO GUEMES'!AY27</f>
        <v>0</v>
      </c>
      <c r="AO23" s="215">
        <f>'LUCERO RECOLETA'!AW27+RESERVA!AT27+'LUCERO FLORIDA'!AW27+'LUCERO SAN TELMO'!AW27+'LUCERO FRENCH'!AW27+'AS SAN TELMO'!AW27+'AS GUEMES'!AW27+'LUCERO CHACO'!AS27+'AS SAN TELMO'!AW27+'LUCERO SAN TELMO 2'!AW27+'LUCERO GUEMES'!AW27</f>
        <v>276890</v>
      </c>
      <c r="AP23" s="305"/>
      <c r="AQ23" s="305"/>
      <c r="AR23" s="305"/>
      <c r="AS23" s="306"/>
      <c r="AT23" s="307"/>
    </row>
    <row r="24" ht="18.0" customHeight="1">
      <c r="A24" s="332" t="s">
        <v>154</v>
      </c>
      <c r="B24" s="395">
        <f t="shared" ref="B24:C24" si="10">SUM(B21:B22)</f>
        <v>16696719.7</v>
      </c>
      <c r="C24" s="395">
        <f t="shared" si="10"/>
        <v>0</v>
      </c>
      <c r="D24" s="395">
        <v>0.0</v>
      </c>
      <c r="E24" s="395">
        <f t="shared" ref="E24:I24" si="11">SUM(E21:E22)</f>
        <v>0</v>
      </c>
      <c r="F24" s="332">
        <f t="shared" si="11"/>
        <v>16696719.7</v>
      </c>
      <c r="G24" s="332">
        <f t="shared" si="11"/>
        <v>6400.29</v>
      </c>
      <c r="H24" s="376">
        <f t="shared" si="11"/>
        <v>1538</v>
      </c>
      <c r="I24" s="396">
        <f t="shared" si="11"/>
        <v>0</v>
      </c>
      <c r="J24" s="397">
        <f>AVERAGE(J21:J22)</f>
        <v>10856.12464</v>
      </c>
      <c r="L24" s="374">
        <f>(F21*L21+F22*L22)/F24</f>
        <v>0.3501346435</v>
      </c>
      <c r="M24" s="375">
        <f>(F21*M21+F22*M22)/F24</f>
        <v>0</v>
      </c>
      <c r="N24" s="375">
        <f>(F21*N21+F22*N22)/F24</f>
        <v>0.3282447144</v>
      </c>
      <c r="O24" s="375">
        <f>(F21*O21+F22*O22)/F24</f>
        <v>0.3220039682</v>
      </c>
      <c r="P24" s="375">
        <f>(F21*P21+F22*P22)/F24</f>
        <v>0</v>
      </c>
      <c r="Q24" s="375">
        <f>(F21*Q21+F22*Q22)/F24</f>
        <v>0</v>
      </c>
      <c r="R24" s="375">
        <f>(F21*R21+F22*R22)/F24</f>
        <v>0</v>
      </c>
      <c r="T24" s="398">
        <f>SUM(T21:T22)</f>
        <v>13798943.94</v>
      </c>
      <c r="Y24" s="303"/>
      <c r="Z24" s="377">
        <f t="shared" ref="Z24:AB24" si="12">SUM(Z21:Z22)</f>
        <v>5480609.99</v>
      </c>
      <c r="AA24" s="335">
        <f t="shared" si="12"/>
        <v>0</v>
      </c>
      <c r="AB24" s="335">
        <f t="shared" si="12"/>
        <v>0</v>
      </c>
      <c r="AC24" s="352" t="s">
        <v>135</v>
      </c>
      <c r="AD24" s="307">
        <f>'LUCERO SAN TELMO'!A28</f>
        <v>46162</v>
      </c>
      <c r="AE24" s="343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2926414.5</v>
      </c>
      <c r="AF24" s="255">
        <f t="shared" si="4"/>
        <v>0.01926169201</v>
      </c>
      <c r="AH24" s="215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140</v>
      </c>
      <c r="AI24" s="215">
        <f>'LUCERO RECOLETA'!AQ28+RESERVA!AN28+'LUCERO FLORIDA'!AQ28+'LUCERO SAN TELMO'!AQ28+'LUCERO FRENCH'!AQ28+'AS SAN TELMO'!AQ28+'AS GUEMES'!AQ28+'LUCERO CHACO'!AM28+'LUCERO GUEMES 2'!AQ28+'LUCERO SAN TELMO 2'!AQ28+'LUCERO GUEMES'!AQ28</f>
        <v>238400</v>
      </c>
      <c r="AJ24" s="215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44">
        <f>'LUCERO RECOLETA'!AT28+RESERVA!AQ28+'LUCERO FLORIDA'!AT28+'LUCERO SAN TELMO'!AT28+'LUCERO FRENCH'!AT28+'AS SAN TELMO'!AT28+'AS GUEMES'!AT28+'LUCERO CHACO'!AP28+'LUCERO GUEMES 2'!AT28+'LUCERO SAN TELMO 2'!AT28+'LUCERO GUEMES'!AT28</f>
        <v>2291710</v>
      </c>
      <c r="AL24" s="215">
        <f>'LUCERO RECOLETA'!AU28+RESERVA!AR28+'LUCERO FLORIDA'!AU28+'LUCERO FRENCH'!AU28+'LUCERO SAN TELMO'!AU28+'AS SAN TELMO'!AU28+'AS GUEMES'!AU28+'LUCERO GUEMES 2'!AU28+'LUCERO SAN TELMO 2'!AU28+'LUCERO GUEMES'!AU28</f>
        <v>733760</v>
      </c>
      <c r="AM24" s="215">
        <f>'LUCERO RECOLETA'!AV28+RESERVA!AS28+'LUCERO FLORIDA'!AV28+'LUCERO FRENCH'!AV28+'LUCERO SAN TELMO'!AV28+'AS SAN TELMO'!AV28+'AS GUEMES'!AV28+'LUCERO GUEMES 2'!AV28+'LUCERO SAN TELMO 2'!AV28+'LUCERO GUEMES'!AV28</f>
        <v>182970</v>
      </c>
      <c r="AN24" s="215">
        <f>'LUCERO RECOLETA'!AY28+RESERVA!AV28+'LUCERO FLORIDA'!AY28+'LUCERO SAN TELMO'!AY28+'LUCERO FRENCH'!AY28+'AS SAN TELMO'!AY28+'AS GUEMES'!AY28+'LUCERO CHACO'!AU28+'LUCERO GUEMES 2'!AY28+'LUCERO SAN TELMO 2'!AY28+'LUCERO GUEMES'!AY28</f>
        <v>0</v>
      </c>
      <c r="AO24" s="215">
        <f>'LUCERO RECOLETA'!AW28+RESERVA!AT28+'LUCERO FLORIDA'!AW28+'LUCERO SAN TELMO'!AW28+'LUCERO FRENCH'!AW28+'AS SAN TELMO'!AW28+'AS GUEMES'!AW28+'LUCERO CHACO'!AS28+'AS SAN TELMO'!AW28+'LUCERO SAN TELMO 2'!AW28+'LUCERO GUEMES'!AW28</f>
        <v>215720</v>
      </c>
      <c r="AP24" s="305"/>
      <c r="AQ24" s="311"/>
      <c r="AR24" s="305"/>
      <c r="AS24" s="312"/>
      <c r="AT24" s="307"/>
    </row>
    <row r="25" ht="18.0" customHeight="1">
      <c r="B25" s="304"/>
      <c r="C25" s="304"/>
      <c r="D25" s="304"/>
      <c r="E25" s="304"/>
      <c r="F25" s="215"/>
      <c r="G25" s="304"/>
      <c r="H25" s="378"/>
      <c r="I25" s="378"/>
      <c r="J25" s="304"/>
      <c r="L25" s="222"/>
      <c r="M25" s="222"/>
      <c r="N25" s="222"/>
      <c r="O25" s="222"/>
      <c r="P25" s="222"/>
      <c r="Q25" s="222"/>
      <c r="R25" s="222"/>
      <c r="Y25" s="303"/>
      <c r="Z25" s="310"/>
      <c r="AA25" s="310"/>
      <c r="AB25" s="310"/>
      <c r="AC25" s="303" t="s">
        <v>138</v>
      </c>
      <c r="AD25" s="307">
        <f>'LUCERO SAN TELMO'!A29</f>
        <v>46163</v>
      </c>
      <c r="AE25" s="343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5898353</v>
      </c>
      <c r="AF25" s="255">
        <f t="shared" si="4"/>
        <v>0.03882302349</v>
      </c>
      <c r="AH25" s="215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120</v>
      </c>
      <c r="AI25" s="215">
        <f>'LUCERO RECOLETA'!AQ29+RESERVA!AN29+'LUCERO FLORIDA'!AQ29+'LUCERO SAN TELMO'!AQ29+'LUCERO FRENCH'!AQ29+'AS SAN TELMO'!AQ29+'AS GUEMES'!AQ29+'LUCERO CHACO'!AM29+'LUCERO GUEMES 2'!AQ29+'LUCERO SAN TELMO 2'!AQ29+'LUCERO GUEMES'!AQ29</f>
        <v>774500</v>
      </c>
      <c r="AJ25" s="215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44">
        <f>'LUCERO RECOLETA'!AT29+RESERVA!AQ29+'LUCERO FLORIDA'!AT29+'LUCERO SAN TELMO'!AT29+'LUCERO FRENCH'!AT29+'AS SAN TELMO'!AT29+'AS GUEMES'!AT29+'LUCERO CHACO'!AP29+'LUCERO GUEMES 2'!AT29+'LUCERO SAN TELMO 2'!AT29+'LUCERO GUEMES'!AT29</f>
        <v>4610123</v>
      </c>
      <c r="AL25" s="215">
        <f>'LUCERO RECOLETA'!AU29+RESERVA!AR29+'LUCERO FLORIDA'!AU29+'LUCERO FRENCH'!AU29+'LUCERO SAN TELMO'!AU29+'AS SAN TELMO'!AU29+'AS GUEMES'!AU29+'LUCERO GUEMES 2'!AU29+'LUCERO SAN TELMO 2'!AU29+'LUCERO GUEMES'!AU29</f>
        <v>284270</v>
      </c>
      <c r="AM25" s="215">
        <f>'LUCERO RECOLETA'!AV29+RESERVA!AS29+'LUCERO FLORIDA'!AV29+'LUCERO FRENCH'!AV29+'LUCERO SAN TELMO'!AV29+'AS SAN TELMO'!AV29+'AS GUEMES'!AV29+'LUCERO GUEMES 2'!AV29+'LUCERO SAN TELMO 2'!AV29+'LUCERO GUEMES'!AV29</f>
        <v>783490</v>
      </c>
      <c r="AN25" s="215">
        <f>'LUCERO RECOLETA'!AY29+RESERVA!AV29+'LUCERO FLORIDA'!AY29+'LUCERO SAN TELMO'!AY29+'LUCERO FRENCH'!AY29+'AS SAN TELMO'!AY29+'AS GUEMES'!AY29+'LUCERO CHACO'!AU29+'LUCERO GUEMES 2'!AY29+'LUCERO SAN TELMO 2'!AY29+'LUCERO GUEMES'!AY29</f>
        <v>0</v>
      </c>
      <c r="AO25" s="215">
        <f>'LUCERO RECOLETA'!AW29+RESERVA!AT29+'LUCERO FLORIDA'!AW29+'LUCERO SAN TELMO'!AW29+'LUCERO FRENCH'!AW29+'AS SAN TELMO'!AW29+'AS GUEMES'!AW29+'LUCERO CHACO'!AS29+'AS SAN TELMO'!AW29+'LUCERO SAN TELMO 2'!AW29+'LUCERO GUEMES'!AW29</f>
        <v>313290</v>
      </c>
      <c r="AP25" s="326"/>
      <c r="AQ25" s="379" t="s">
        <v>118</v>
      </c>
      <c r="AR25" s="327" t="s">
        <v>119</v>
      </c>
      <c r="AS25" s="380" t="s">
        <v>120</v>
      </c>
      <c r="AT25" s="329"/>
    </row>
    <row r="26" ht="18.0" customHeight="1">
      <c r="B26" s="304"/>
      <c r="C26" s="304"/>
      <c r="D26" s="304"/>
      <c r="E26" s="304"/>
      <c r="F26" s="215"/>
      <c r="G26" s="304"/>
      <c r="H26" s="378"/>
      <c r="I26" s="378"/>
      <c r="J26" s="304"/>
      <c r="L26" s="222"/>
      <c r="M26" s="222"/>
      <c r="N26" s="222"/>
      <c r="O26" s="222"/>
      <c r="P26" s="222"/>
      <c r="Q26" s="222"/>
      <c r="R26" s="222"/>
      <c r="Y26" s="303"/>
      <c r="Z26" s="377">
        <f t="shared" ref="Z26:AB26" si="13">Z17+Z24</f>
        <v>102578794</v>
      </c>
      <c r="AA26" s="335">
        <f t="shared" si="13"/>
        <v>3022378</v>
      </c>
      <c r="AB26" s="335">
        <f t="shared" si="13"/>
        <v>8801775</v>
      </c>
      <c r="AC26" s="303" t="s">
        <v>122</v>
      </c>
      <c r="AD26" s="307">
        <f>'LUCERO SAN TELMO'!A30</f>
        <v>46164</v>
      </c>
      <c r="AE26" s="343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5745806</v>
      </c>
      <c r="AF26" s="255">
        <f t="shared" si="4"/>
        <v>0.03781895747</v>
      </c>
      <c r="AH26" s="215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220</v>
      </c>
      <c r="AI26" s="215">
        <f>'LUCERO RECOLETA'!AQ30+RESERVA!AN30+'LUCERO FLORIDA'!AQ30+'LUCERO SAN TELMO'!AQ30+'LUCERO FRENCH'!AQ30+'AS SAN TELMO'!AQ30+'AS GUEMES'!AQ30+'LUCERO CHACO'!AM30+'LUCERO GUEMES 2'!AQ30+'LUCERO SAN TELMO 2'!AQ30+'LUCERO GUEMES'!AQ30</f>
        <v>751800</v>
      </c>
      <c r="AJ26" s="215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44">
        <f>'LUCERO RECOLETA'!AT30+RESERVA!AQ30+'LUCERO FLORIDA'!AT30+'LUCERO SAN TELMO'!AT30+'LUCERO FRENCH'!AT30+'AS SAN TELMO'!AT30+'AS GUEMES'!AT30+'LUCERO CHACO'!AP30+'LUCERO GUEMES 2'!AT30+'LUCERO SAN TELMO 2'!AT30+'LUCERO GUEMES'!AT30</f>
        <v>3972413</v>
      </c>
      <c r="AL26" s="215">
        <f>'LUCERO RECOLETA'!AU30+RESERVA!AR30+'LUCERO FLORIDA'!AU30+'LUCERO FRENCH'!AU30+'LUCERO SAN TELMO'!AU30+'AS SAN TELMO'!AU30+'AS GUEMES'!AU30+'LUCERO GUEMES 2'!AU30+'LUCERO SAN TELMO 2'!AU30+'LUCERO GUEMES'!AU30</f>
        <v>222800</v>
      </c>
      <c r="AM26" s="215">
        <f>'LUCERO RECOLETA'!AV30+RESERVA!AS30+'LUCERO FLORIDA'!AV30+'LUCERO FRENCH'!AV30+'LUCERO SAN TELMO'!AV30+'AS SAN TELMO'!AV30+'AS GUEMES'!AV30+'LUCERO GUEMES 2'!AV30+'LUCERO SAN TELMO 2'!AV30+'LUCERO GUEMES'!AV30</f>
        <v>386970</v>
      </c>
      <c r="AN26" s="215">
        <f>'LUCERO RECOLETA'!AY30+RESERVA!AV30+'LUCERO FLORIDA'!AY30+'LUCERO SAN TELMO'!AY30+'LUCERO FRENCH'!AY30+'AS SAN TELMO'!AY30+'AS GUEMES'!AY30+'LUCERO CHACO'!AU30+'LUCERO GUEMES 2'!AY30+'LUCERO SAN TELMO 2'!AY30+'LUCERO GUEMES'!AY30</f>
        <v>100</v>
      </c>
      <c r="AO26" s="215">
        <f>'LUCERO RECOLETA'!AW30+RESERVA!AT30+'LUCERO FLORIDA'!AW30+'LUCERO SAN TELMO'!AW30+'LUCERO FRENCH'!AW30+'AS SAN TELMO'!AW30+'AS GUEMES'!AW30+'LUCERO CHACO'!AS30+'AS SAN TELMO'!AW30+'LUCERO SAN TELMO 2'!AW30+'LUCERO GUEMES'!AW30</f>
        <v>428980</v>
      </c>
      <c r="AP26" s="345"/>
      <c r="AQ26" s="353"/>
      <c r="AR26" s="353"/>
      <c r="AS26" s="383">
        <v>46289.0</v>
      </c>
      <c r="AT26" s="349"/>
    </row>
    <row r="27" ht="26.25" customHeight="1">
      <c r="A27" s="384" t="s">
        <v>155</v>
      </c>
      <c r="B27" s="385" t="s">
        <v>148</v>
      </c>
      <c r="C27" s="385" t="s">
        <v>149</v>
      </c>
      <c r="D27" s="385" t="s">
        <v>150</v>
      </c>
      <c r="E27" s="385" t="s">
        <v>151</v>
      </c>
      <c r="F27" s="386" t="s">
        <v>99</v>
      </c>
      <c r="G27" s="385" t="s">
        <v>100</v>
      </c>
      <c r="H27" s="385" t="s">
        <v>101</v>
      </c>
      <c r="I27" s="385" t="s">
        <v>102</v>
      </c>
      <c r="J27" s="385" t="s">
        <v>103</v>
      </c>
      <c r="K27" s="372"/>
      <c r="L27" s="313" t="s">
        <v>37</v>
      </c>
      <c r="M27" s="313" t="s">
        <v>41</v>
      </c>
      <c r="N27" s="313" t="s">
        <v>42</v>
      </c>
      <c r="O27" s="313" t="s">
        <v>104</v>
      </c>
      <c r="P27" s="313" t="s">
        <v>33</v>
      </c>
      <c r="Q27" s="313" t="s">
        <v>51</v>
      </c>
      <c r="R27" s="313" t="s">
        <v>52</v>
      </c>
      <c r="S27" s="372"/>
      <c r="T27" s="384" t="s">
        <v>105</v>
      </c>
      <c r="U27" s="313" t="s">
        <v>106</v>
      </c>
      <c r="V27" s="313" t="s">
        <v>107</v>
      </c>
      <c r="W27" s="313" t="s">
        <v>108</v>
      </c>
      <c r="X27" s="313" t="s">
        <v>109</v>
      </c>
      <c r="Y27" s="389"/>
      <c r="Z27" s="321" t="s">
        <v>110</v>
      </c>
      <c r="AA27" s="322" t="s">
        <v>41</v>
      </c>
      <c r="AB27" s="322" t="s">
        <v>42</v>
      </c>
      <c r="AC27" s="352" t="s">
        <v>125</v>
      </c>
      <c r="AD27" s="307">
        <f>'LUCERO SAN TELMO'!A31</f>
        <v>46165</v>
      </c>
      <c r="AE27" s="343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4926281.9</v>
      </c>
      <c r="AF27" s="255">
        <f t="shared" si="4"/>
        <v>0.03242484095</v>
      </c>
      <c r="AH27" s="215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70</v>
      </c>
      <c r="AI27" s="215">
        <f>'LUCERO RECOLETA'!AQ31+RESERVA!AN31+'LUCERO FLORIDA'!AQ31+'LUCERO SAN TELMO'!AQ31+'LUCERO FRENCH'!AQ31+'AS SAN TELMO'!AQ31+'AS GUEMES'!AQ31+'LUCERO CHACO'!AM31+'LUCERO GUEMES 2'!AQ31+'LUCERO SAN TELMO 2'!AQ31+'LUCERO GUEMES'!AQ31</f>
        <v>481400</v>
      </c>
      <c r="AJ27" s="215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44">
        <f>'LUCERO RECOLETA'!AT31+RESERVA!AQ31+'LUCERO FLORIDA'!AT31+'LUCERO SAN TELMO'!AT31+'LUCERO FRENCH'!AT31+'AS SAN TELMO'!AT31+'AS GUEMES'!AT31+'LUCERO CHACO'!AP31+'LUCERO GUEMES 2'!AT31+'LUCERO SAN TELMO 2'!AT31+'LUCERO GUEMES'!AT31</f>
        <v>3728200</v>
      </c>
      <c r="AL27" s="215">
        <f>'LUCERO RECOLETA'!AU31+RESERVA!AR31+'LUCERO FLORIDA'!AU31+'LUCERO FRENCH'!AU31+'LUCERO SAN TELMO'!AU31+'AS SAN TELMO'!AU31+'AS GUEMES'!AU31+'LUCERO GUEMES 2'!AU31+'LUCERO SAN TELMO 2'!AU31+'LUCERO GUEMES'!AU31</f>
        <v>99975</v>
      </c>
      <c r="AM27" s="215">
        <f>'LUCERO RECOLETA'!AV31+RESERVA!AS31+'LUCERO FLORIDA'!AV31+'LUCERO FRENCH'!AV31+'LUCERO SAN TELMO'!AV31+'AS SAN TELMO'!AV31+'AS GUEMES'!AV31+'LUCERO GUEMES 2'!AV31+'LUCERO SAN TELMO 2'!AV31+'LUCERO GUEMES'!AV31</f>
        <v>229985</v>
      </c>
      <c r="AN27" s="215">
        <f>'LUCERO RECOLETA'!AY31+RESERVA!AV31+'LUCERO FLORIDA'!AY31+'LUCERO SAN TELMO'!AY31+'LUCERO FRENCH'!AY31+'AS SAN TELMO'!AY31+'AS GUEMES'!AY31+'LUCERO CHACO'!AU31+'LUCERO GUEMES 2'!AY31+'LUCERO SAN TELMO 2'!AY31+'LUCERO GUEMES'!AY31</f>
        <v>300</v>
      </c>
      <c r="AO27" s="215">
        <f>'LUCERO RECOLETA'!AW31+RESERVA!AT31+'LUCERO FLORIDA'!AW31+'LUCERO SAN TELMO'!AW31+'LUCERO FRENCH'!AW31+'AS SAN TELMO'!AW31+'AS GUEMES'!AW31+'LUCERO CHACO'!AS31+'AS SAN TELMO'!AW31+'LUCERO SAN TELMO 2'!AW31+'LUCERO GUEMES'!AW31</f>
        <v>369160</v>
      </c>
      <c r="AP27" s="305"/>
      <c r="AQ27" s="399" t="str">
        <f>'AS GUEMES'!BH48</f>
        <v/>
      </c>
      <c r="AR27" s="399"/>
      <c r="AS27" s="400"/>
      <c r="AT27" s="307"/>
    </row>
    <row r="28" ht="18.0" customHeight="1">
      <c r="A28" s="330"/>
      <c r="B28" s="331"/>
      <c r="C28" s="331"/>
      <c r="D28" s="331">
        <f>'LUCERO GUEMES 2'!Q41</f>
        <v>0</v>
      </c>
      <c r="E28" s="331"/>
      <c r="F28" s="332">
        <f>SUM(B28+C28+D28-E28)</f>
        <v>0</v>
      </c>
      <c r="G28" s="395"/>
      <c r="H28" s="376">
        <f>+'LUCERO GUEMES 2'!C41</f>
        <v>76</v>
      </c>
      <c r="I28" s="376">
        <f>+'LUCERO GUEMES 2'!F41</f>
        <v>0</v>
      </c>
      <c r="J28" s="401">
        <f>F28/(H28-I28)</f>
        <v>0</v>
      </c>
      <c r="L28" s="402"/>
      <c r="M28" s="402"/>
      <c r="N28" s="402"/>
      <c r="O28" s="402"/>
      <c r="P28" s="402"/>
      <c r="Q28" s="402"/>
      <c r="R28" s="402"/>
      <c r="T28" s="338">
        <f>'LUCERO GUEMES 2'!H41-'LUCERO GUEMES 2'!Z41+'LUCERO GUEMES 2'!N41+'LUCERO GUEMES 2'!T41</f>
        <v>5894000.03</v>
      </c>
      <c r="U28" s="339">
        <f>MIN('LUCERO GUEMES 2'!B9:B40)</f>
        <v>0</v>
      </c>
      <c r="V28" s="339">
        <f>'LUCERO GUEMES 2'!B41</f>
        <v>0</v>
      </c>
      <c r="W28" s="339">
        <f>'LUCERO GUEMES 2'!D41</f>
        <v>324</v>
      </c>
      <c r="X28" s="339">
        <f>'LUCERO GUEMES 2'!E41</f>
        <v>399</v>
      </c>
      <c r="Y28" s="340">
        <f t="shared" ref="Y28:Y29" si="14">X28-W28-H28</f>
        <v>-1</v>
      </c>
      <c r="Z28" s="355">
        <f>'LUCERO GUEMES 2'!AT41</f>
        <v>6622760</v>
      </c>
      <c r="AA28" s="342">
        <f>'LUCERO GUEMES 2'!AU41</f>
        <v>2089700</v>
      </c>
      <c r="AB28" s="342">
        <f>'LUCERO GUEMES 2'!AV41</f>
        <v>3610660</v>
      </c>
      <c r="AC28" s="303" t="s">
        <v>128</v>
      </c>
      <c r="AD28" s="307">
        <f>'LUCERO SAN TELMO'!A32</f>
        <v>46166</v>
      </c>
      <c r="AE28" s="343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9761059.8</v>
      </c>
      <c r="AF28" s="255">
        <f t="shared" si="4"/>
        <v>0.06424740158</v>
      </c>
      <c r="AH28" s="215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585</v>
      </c>
      <c r="AI28" s="215">
        <f>'LUCERO RECOLETA'!AQ32+RESERVA!AN32+'LUCERO FLORIDA'!AQ32+'LUCERO SAN TELMO'!AQ32+'LUCERO FRENCH'!AQ32+'AS SAN TELMO'!AQ32+'AS GUEMES'!AQ32+'LUCERO CHACO'!AM32+'LUCERO GUEMES 2'!AQ32+'LUCERO SAN TELMO 2'!AQ32+'LUCERO GUEMES'!AQ32</f>
        <v>991400</v>
      </c>
      <c r="AJ28" s="215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44">
        <f>'LUCERO RECOLETA'!AT32+RESERVA!AQ32+'LUCERO FLORIDA'!AT32+'LUCERO SAN TELMO'!AT32+'LUCERO FRENCH'!AT32+'AS SAN TELMO'!AT32+'AS GUEMES'!AT32+'LUCERO CHACO'!AP32+'LUCERO GUEMES 2'!AT32+'LUCERO SAN TELMO 2'!AT32+'LUCERO GUEMES'!AT32</f>
        <v>7149860</v>
      </c>
      <c r="AL28" s="215">
        <f>'LUCERO RECOLETA'!AU32+RESERVA!AR32+'LUCERO FLORIDA'!AU32+'LUCERO FRENCH'!AU32+'LUCERO SAN TELMO'!AU32+'AS SAN TELMO'!AU32+'AS GUEMES'!AU32+'LUCERO GUEMES 2'!AU32+'LUCERO SAN TELMO 2'!AU32+'LUCERO GUEMES'!AU32</f>
        <v>59990</v>
      </c>
      <c r="AM28" s="215">
        <f>'LUCERO RECOLETA'!AV32+RESERVA!AS32+'LUCERO FLORIDA'!AV32+'LUCERO FRENCH'!AV32+'LUCERO SAN TELMO'!AV32+'AS SAN TELMO'!AV32+'AS GUEMES'!AV32+'LUCERO GUEMES 2'!AV32+'LUCERO SAN TELMO 2'!AV32+'LUCERO GUEMES'!AV32</f>
        <v>450900</v>
      </c>
      <c r="AN28" s="215">
        <f>'LUCERO RECOLETA'!AY32+RESERVA!AV32+'LUCERO FLORIDA'!AY32+'LUCERO SAN TELMO'!AY32+'LUCERO FRENCH'!AY32+'AS SAN TELMO'!AY32+'AS GUEMES'!AY32+'LUCERO CHACO'!AU32+'LUCERO GUEMES 2'!AY32+'LUCERO SAN TELMO 2'!AY32+'LUCERO GUEMES'!AY32</f>
        <v>0</v>
      </c>
      <c r="AO28" s="215">
        <f>'LUCERO RECOLETA'!AW32+RESERVA!AT32+'LUCERO FLORIDA'!AW32+'LUCERO SAN TELMO'!AW32+'LUCERO FRENCH'!AW32+'AS SAN TELMO'!AW32+'AS GUEMES'!AW32+'LUCERO CHACO'!AS32+'AS SAN TELMO'!AW32+'LUCERO SAN TELMO 2'!AW32+'LUCERO GUEMES'!AW32</f>
        <v>1032980</v>
      </c>
      <c r="AP28" s="305"/>
      <c r="AQ28" s="311"/>
      <c r="AR28" s="305"/>
      <c r="AS28" s="306"/>
      <c r="AT28" s="307"/>
    </row>
    <row r="29" ht="18.0" customHeight="1">
      <c r="A29" s="330"/>
      <c r="B29" s="331"/>
      <c r="C29" s="331"/>
      <c r="D29" s="331"/>
      <c r="E29" s="331"/>
      <c r="F29" s="332">
        <f>SUM(B29+C29-E29)</f>
        <v>0</v>
      </c>
      <c r="G29" s="395"/>
      <c r="H29" s="376"/>
      <c r="I29" s="376"/>
      <c r="J29" s="401">
        <f>IF(F29=0,0,F29/(H29-I29))</f>
        <v>0</v>
      </c>
      <c r="L29" s="403"/>
      <c r="M29" s="403"/>
      <c r="N29" s="403"/>
      <c r="O29" s="403"/>
      <c r="P29" s="403"/>
      <c r="Q29" s="403"/>
      <c r="R29" s="403"/>
      <c r="T29" s="338"/>
      <c r="U29" s="339"/>
      <c r="V29" s="339"/>
      <c r="W29" s="339"/>
      <c r="X29" s="339"/>
      <c r="Y29" s="340">
        <f t="shared" si="14"/>
        <v>0</v>
      </c>
      <c r="Z29" s="355" t="str">
        <f>'AS GUEMES'!AT48</f>
        <v>#DIV/0!</v>
      </c>
      <c r="AA29" s="342" t="str">
        <f>'AS GUEMES'!AU48</f>
        <v>#DIV/0!</v>
      </c>
      <c r="AB29" s="342" t="str">
        <f>'AS GUEMES'!AV48</f>
        <v>#DIV/0!</v>
      </c>
      <c r="AC29" s="303" t="s">
        <v>130</v>
      </c>
      <c r="AD29" s="307">
        <f>'LUCERO SAN TELMO'!A33</f>
        <v>46167</v>
      </c>
      <c r="AE29" s="343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4556772.6</v>
      </c>
      <c r="AF29" s="255">
        <f t="shared" si="4"/>
        <v>0.02999272673</v>
      </c>
      <c r="AH29" s="215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100</v>
      </c>
      <c r="AI29" s="215">
        <f>'LUCERO RECOLETA'!AQ33+RESERVA!AN33+'LUCERO FLORIDA'!AQ33+'LUCERO SAN TELMO'!AQ33+'LUCERO FRENCH'!AQ33+'AS SAN TELMO'!AQ33+'AS GUEMES'!AQ33+'LUCERO CHACO'!AM33+'LUCERO GUEMES 2'!AQ33+'LUCERO SAN TELMO 2'!AQ33+'LUCERO GUEMES'!AQ33</f>
        <v>527300</v>
      </c>
      <c r="AJ29" s="215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44">
        <f>'LUCERO RECOLETA'!AT33+RESERVA!AQ33+'LUCERO FLORIDA'!AT33+'LUCERO SAN TELMO'!AT33+'LUCERO FRENCH'!AT33+'AS SAN TELMO'!AT33+'AS GUEMES'!AT33+'LUCERO CHACO'!AP33+'LUCERO GUEMES 2'!AT33+'LUCERO SAN TELMO 2'!AT33+'LUCERO GUEMES'!AT33</f>
        <v>3285780</v>
      </c>
      <c r="AL29" s="215">
        <f>'LUCERO RECOLETA'!AU33+RESERVA!AR33+'LUCERO FLORIDA'!AU33+'LUCERO FRENCH'!AU33+'LUCERO SAN TELMO'!AU33+'AS SAN TELMO'!AU33+'AS GUEMES'!AU33+'LUCERO GUEMES 2'!AU33+'LUCERO SAN TELMO 2'!AU33+'LUCERO GUEMES'!AU33</f>
        <v>92980</v>
      </c>
      <c r="AM29" s="215">
        <f>'LUCERO RECOLETA'!AV33+RESERVA!AS33+'LUCERO FLORIDA'!AV33+'LUCERO FRENCH'!AV33+'LUCERO SAN TELMO'!AV33+'AS SAN TELMO'!AV33+'AS GUEMES'!AV33+'LUCERO GUEMES 2'!AV33+'LUCERO SAN TELMO 2'!AV33+'LUCERO GUEMES'!AV33</f>
        <v>402930</v>
      </c>
      <c r="AN29" s="215">
        <f>'LUCERO RECOLETA'!AY33+RESERVA!AV33+'LUCERO FLORIDA'!AY33+'LUCERO SAN TELMO'!AY33+'LUCERO FRENCH'!AY33+'AS SAN TELMO'!AY33+'AS GUEMES'!AY33+'LUCERO CHACO'!AU33+'LUCERO GUEMES 2'!AY33+'LUCERO SAN TELMO 2'!AY33+'LUCERO GUEMES'!AY33</f>
        <v>0</v>
      </c>
      <c r="AO29" s="215">
        <f>'LUCERO RECOLETA'!AW33+RESERVA!AT33+'LUCERO FLORIDA'!AW33+'LUCERO SAN TELMO'!AW33+'LUCERO FRENCH'!AW33+'AS SAN TELMO'!AW33+'AS GUEMES'!AW33+'LUCERO CHACO'!AS33+'AS SAN TELMO'!AW33+'LUCERO SAN TELMO 2'!AW33+'LUCERO GUEMES'!AW33</f>
        <v>588930</v>
      </c>
      <c r="AP29" s="370"/>
      <c r="AQ29" s="392">
        <f t="shared" ref="AQ29:AR29" si="15">+AQ26+AQ27</f>
        <v>0</v>
      </c>
      <c r="AR29" s="404">
        <f t="shared" si="15"/>
        <v>0</v>
      </c>
      <c r="AS29" s="367"/>
      <c r="AT29" s="307"/>
    </row>
    <row r="30" ht="18.0" customHeight="1">
      <c r="A30" s="222"/>
      <c r="B30" s="304"/>
      <c r="C30" s="304"/>
      <c r="D30" s="304"/>
      <c r="E30" s="304"/>
      <c r="F30" s="393"/>
      <c r="G30" s="304"/>
      <c r="H30" s="378"/>
      <c r="I30" s="378"/>
      <c r="J30" s="304"/>
      <c r="L30" s="309"/>
      <c r="M30" s="309"/>
      <c r="N30" s="309"/>
      <c r="O30" s="309"/>
      <c r="P30" s="309"/>
      <c r="Q30" s="309"/>
      <c r="R30" s="309"/>
      <c r="Y30" s="303"/>
      <c r="Z30" s="310"/>
      <c r="AA30" s="310"/>
      <c r="AB30" s="310"/>
      <c r="AC30" s="303" t="s">
        <v>133</v>
      </c>
      <c r="AD30" s="307">
        <f>'LUCERO SAN TELMO'!A34</f>
        <v>46168</v>
      </c>
      <c r="AE30" s="343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4366800</v>
      </c>
      <c r="AF30" s="255">
        <f t="shared" si="4"/>
        <v>0.02874232501</v>
      </c>
      <c r="AH30" s="215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420</v>
      </c>
      <c r="AI30" s="215">
        <f>'LUCERO RECOLETA'!AQ34+RESERVA!AN34+'LUCERO FLORIDA'!AQ34+'LUCERO SAN TELMO'!AQ34+'LUCERO FRENCH'!AQ34+'AS SAN TELMO'!AQ34+'AS GUEMES'!AQ34+'LUCERO CHACO'!AM34+'LUCERO GUEMES 2'!AQ34+'LUCERO SAN TELMO 2'!AQ34+'LUCERO GUEMES'!AQ34</f>
        <v>140700</v>
      </c>
      <c r="AJ30" s="215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44">
        <f>'LUCERO RECOLETA'!AT34+RESERVA!AQ34+'LUCERO FLORIDA'!AT34+'LUCERO SAN TELMO'!AT34+'LUCERO FRENCH'!AT34+'AS SAN TELMO'!AT34+'AS GUEMES'!AT34+'LUCERO CHACO'!AP34+'LUCERO GUEMES 2'!AT34+'LUCERO SAN TELMO 2'!AT34+'LUCERO GUEMES'!AT34</f>
        <v>3304350</v>
      </c>
      <c r="AL30" s="215">
        <f>'LUCERO RECOLETA'!AU34+RESERVA!AR34+'LUCERO FLORIDA'!AU34+'LUCERO FRENCH'!AU34+'LUCERO SAN TELMO'!AU34+'AS SAN TELMO'!AU34+'AS GUEMES'!AU34+'LUCERO GUEMES 2'!AU34+'LUCERO SAN TELMO 2'!AU34+'LUCERO GUEMES'!AU34</f>
        <v>259960</v>
      </c>
      <c r="AM30" s="215">
        <f>'LUCERO RECOLETA'!AV34+RESERVA!AS34+'LUCERO FLORIDA'!AV34+'LUCERO FRENCH'!AV34+'LUCERO SAN TELMO'!AV34+'AS SAN TELMO'!AV34+'AS GUEMES'!AV34+'LUCERO GUEMES 2'!AV34+'LUCERO SAN TELMO 2'!AV34+'LUCERO GUEMES'!AV34</f>
        <v>685780</v>
      </c>
      <c r="AN30" s="215">
        <f>'LUCERO RECOLETA'!AY34+RESERVA!AV34+'LUCERO FLORIDA'!AY34+'LUCERO SAN TELMO'!AY34+'LUCERO FRENCH'!AY34+'AS SAN TELMO'!AY34+'AS GUEMES'!AY34+'LUCERO CHACO'!AU34+'LUCERO GUEMES 2'!AY34+'LUCERO SAN TELMO 2'!AY34+'LUCERO GUEMES'!AY34</f>
        <v>0</v>
      </c>
      <c r="AO30" s="215">
        <f>'LUCERO RECOLETA'!AW34+RESERVA!AT34+'LUCERO FLORIDA'!AW34+'LUCERO SAN TELMO'!AW34+'LUCERO FRENCH'!AW34+'AS SAN TELMO'!AW34+'AS GUEMES'!AW34+'LUCERO CHACO'!AS34+'AS SAN TELMO'!AW34+'LUCERO SAN TELMO 2'!AW34+'LUCERO GUEMES'!AW34</f>
        <v>204760</v>
      </c>
      <c r="AP30" s="370"/>
      <c r="AQ30" s="405"/>
      <c r="AR30" s="405"/>
      <c r="AS30" s="306"/>
      <c r="AT30" s="307"/>
    </row>
    <row r="31" ht="18.0" customHeight="1">
      <c r="A31" s="332" t="s">
        <v>156</v>
      </c>
      <c r="B31" s="395">
        <f t="shared" ref="B31:C31" si="16">SUM(B28:B29)</f>
        <v>0</v>
      </c>
      <c r="C31" s="395">
        <f t="shared" si="16"/>
        <v>0</v>
      </c>
      <c r="D31" s="395">
        <v>0.0</v>
      </c>
      <c r="E31" s="395">
        <f t="shared" ref="E31:I31" si="17">SUM(E28:E29)</f>
        <v>0</v>
      </c>
      <c r="F31" s="332">
        <f t="shared" si="17"/>
        <v>0</v>
      </c>
      <c r="G31" s="395">
        <f t="shared" si="17"/>
        <v>0</v>
      </c>
      <c r="H31" s="376">
        <f t="shared" si="17"/>
        <v>76</v>
      </c>
      <c r="I31" s="396">
        <f t="shared" si="17"/>
        <v>0</v>
      </c>
      <c r="J31" s="397">
        <f>AVERAGE(J28:J29)</f>
        <v>0</v>
      </c>
      <c r="L31" s="374"/>
      <c r="M31" s="375"/>
      <c r="N31" s="375"/>
      <c r="O31" s="375"/>
      <c r="P31" s="375"/>
      <c r="Q31" s="375"/>
      <c r="R31" s="375"/>
      <c r="T31" s="398">
        <f>SUM(T28:T29)</f>
        <v>5894000.03</v>
      </c>
      <c r="Y31" s="303"/>
      <c r="Z31" s="377" t="str">
        <f t="shared" ref="Z31:AB31" si="18">SUM(Z28:Z29)</f>
        <v>#DIV/0!</v>
      </c>
      <c r="AA31" s="335" t="str">
        <f t="shared" si="18"/>
        <v>#DIV/0!</v>
      </c>
      <c r="AB31" s="335" t="str">
        <f t="shared" si="18"/>
        <v>#DIV/0!</v>
      </c>
      <c r="AC31" s="352" t="s">
        <v>135</v>
      </c>
      <c r="AD31" s="307">
        <f>'LUCERO SAN TELMO'!A35</f>
        <v>46169</v>
      </c>
      <c r="AE31" s="343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3244720</v>
      </c>
      <c r="AF31" s="255">
        <f t="shared" si="4"/>
        <v>0.02135678227</v>
      </c>
      <c r="AH31" s="215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0</v>
      </c>
      <c r="AI31" s="215">
        <f>'LUCERO RECOLETA'!AQ35+RESERVA!AN35+'LUCERO FLORIDA'!AQ35+'LUCERO SAN TELMO'!AQ35+'LUCERO FRENCH'!AQ35+'AS SAN TELMO'!AQ35+'AS GUEMES'!AQ35+'LUCERO CHACO'!AM35+'LUCERO GUEMES 2'!AQ35+'LUCERO SAN TELMO 2'!AQ35+'LUCERO GUEMES'!AQ35</f>
        <v>171500</v>
      </c>
      <c r="AJ31" s="215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44">
        <f>'LUCERO RECOLETA'!AT35+RESERVA!AQ35+'LUCERO FLORIDA'!AT35+'LUCERO SAN TELMO'!AT35+'LUCERO FRENCH'!AT35+'AS SAN TELMO'!AT35+'AS GUEMES'!AT35+'LUCERO CHACO'!AP35+'LUCERO GUEMES 2'!AT35+'LUCERO SAN TELMO 2'!AT35+'LUCERO GUEMES'!AT35</f>
        <v>2967980</v>
      </c>
      <c r="AL31" s="215">
        <f>'LUCERO RECOLETA'!AU35+RESERVA!AR35+'LUCERO FLORIDA'!AU35+'LUCERO FRENCH'!AU35+'LUCERO SAN TELMO'!AU35+'AS SAN TELMO'!AU35+'AS GUEMES'!AU35+'LUCERO GUEMES 2'!AU35+'LUCERO SAN TELMO 2'!AU35+'LUCERO GUEMES'!AU35</f>
        <v>0</v>
      </c>
      <c r="AM31" s="215">
        <f>'LUCERO RECOLETA'!AV35+RESERVA!AS35+'LUCERO FLORIDA'!AV35+'LUCERO FRENCH'!AV35+'LUCERO SAN TELMO'!AV35+'AS SAN TELMO'!AV35+'AS GUEMES'!AV35+'LUCERO GUEMES 2'!AV35+'LUCERO SAN TELMO 2'!AV35+'LUCERO GUEMES'!AV35</f>
        <v>95960</v>
      </c>
      <c r="AN31" s="215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215">
        <f>'LUCERO RECOLETA'!AW35+RESERVA!AT35+'LUCERO FLORIDA'!AW35+'LUCERO SAN TELMO'!AW35+'LUCERO FRENCH'!AW35+'AS SAN TELMO'!AW35+'AS GUEMES'!AW35+'LUCERO CHACO'!AS35+'AS SAN TELMO'!AW35+'LUCERO SAN TELMO 2'!AW35+'LUCERO GUEMES'!AW35</f>
        <v>204900</v>
      </c>
      <c r="AP31" s="370"/>
      <c r="AQ31" s="371">
        <f>AQ15+AQ22+AQ29</f>
        <v>10769729.29</v>
      </c>
      <c r="AR31" s="371" t="s">
        <v>157</v>
      </c>
      <c r="AS31" s="367"/>
      <c r="AT31" s="307"/>
    </row>
    <row r="32" ht="18.0" customHeight="1">
      <c r="B32" s="304"/>
      <c r="C32" s="304"/>
      <c r="D32" s="304"/>
      <c r="E32" s="304"/>
      <c r="F32" s="215"/>
      <c r="G32" s="304"/>
      <c r="H32" s="378"/>
      <c r="I32" s="378"/>
      <c r="J32" s="304"/>
      <c r="L32" s="222"/>
      <c r="M32" s="222"/>
      <c r="N32" s="222"/>
      <c r="O32" s="222"/>
      <c r="P32" s="222"/>
      <c r="Q32" s="222"/>
      <c r="R32" s="222"/>
      <c r="Y32" s="303"/>
      <c r="Z32" s="310"/>
      <c r="AA32" s="310"/>
      <c r="AB32" s="310"/>
      <c r="AC32" s="303" t="s">
        <v>138</v>
      </c>
      <c r="AD32" s="307">
        <f>'LUCERO SAN TELMO'!A36</f>
        <v>46170</v>
      </c>
      <c r="AE32" s="343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3827820</v>
      </c>
      <c r="AF32" s="255">
        <f t="shared" si="4"/>
        <v>0.0251947528</v>
      </c>
      <c r="AH32" s="215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260</v>
      </c>
      <c r="AI32" s="215">
        <f>'LUCERO RECOLETA'!AQ36+RESERVA!AN36+'LUCERO FLORIDA'!AQ36+'LUCERO SAN TELMO'!AQ36+'LUCERO FRENCH'!AQ36+'AS SAN TELMO'!AQ36+'AS GUEMES'!AQ36+'LUCERO CHACO'!AM36+'LUCERO GUEMES 2'!AQ36+'LUCERO SAN TELMO 2'!AQ36+'LUCERO GUEMES'!AQ36</f>
        <v>69600</v>
      </c>
      <c r="AJ32" s="215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44">
        <f>'LUCERO RECOLETA'!AT36+RESERVA!AQ36+'LUCERO FLORIDA'!AT36+'LUCERO SAN TELMO'!AT36+'LUCERO FRENCH'!AT36+'AS SAN TELMO'!AT36+'AS GUEMES'!AT36+'LUCERO CHACO'!AP36+'LUCERO GUEMES 2'!AT36+'LUCERO SAN TELMO 2'!AT36+'LUCERO GUEMES'!AT36</f>
        <v>3099730</v>
      </c>
      <c r="AL32" s="215">
        <f>'LUCERO RECOLETA'!AU36+RESERVA!AR36+'LUCERO FLORIDA'!AU36+'LUCERO FRENCH'!AU36+'LUCERO SAN TELMO'!AU36+'AS SAN TELMO'!AU36+'AS GUEMES'!AU36+'LUCERO GUEMES 2'!AU36+'LUCERO SAN TELMO 2'!AU36+'LUCERO GUEMES'!AU36</f>
        <v>161010</v>
      </c>
      <c r="AM32" s="215">
        <f>'LUCERO RECOLETA'!AV36+RESERVA!AS36+'LUCERO FLORIDA'!AV36+'LUCERO FRENCH'!AV36+'LUCERO SAN TELMO'!AV36+'AS SAN TELMO'!AV36+'AS GUEMES'!AV36+'LUCERO GUEMES 2'!AV36+'LUCERO SAN TELMO 2'!AV36+'LUCERO GUEMES'!AV36</f>
        <v>667780</v>
      </c>
      <c r="AN32" s="215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215">
        <f>'LUCERO RECOLETA'!AW36+RESERVA!AT36+'LUCERO FLORIDA'!AW36+'LUCERO SAN TELMO'!AW36+'LUCERO FRENCH'!AW36+'AS SAN TELMO'!AW36+'AS GUEMES'!AW36+'LUCERO CHACO'!AS36+'AS SAN TELMO'!AW36+'LUCERO SAN TELMO 2'!AW36+'LUCERO GUEMES'!AW36</f>
        <v>132600</v>
      </c>
      <c r="AP32" s="305"/>
      <c r="AQ32" s="305"/>
      <c r="AR32" s="305"/>
      <c r="AS32" s="312"/>
      <c r="AT32" s="307"/>
    </row>
    <row r="33" ht="18.0" customHeight="1">
      <c r="A33" s="332" t="s">
        <v>158</v>
      </c>
      <c r="B33" s="395">
        <f t="shared" ref="B33:I33" si="19">B17+B24+B31</f>
        <v>153346988.4</v>
      </c>
      <c r="C33" s="395">
        <f t="shared" si="19"/>
        <v>1136845.7</v>
      </c>
      <c r="D33" s="395">
        <f t="shared" si="19"/>
        <v>0</v>
      </c>
      <c r="E33" s="395">
        <f t="shared" si="19"/>
        <v>2554580</v>
      </c>
      <c r="F33" s="406">
        <f t="shared" si="19"/>
        <v>151929254.1</v>
      </c>
      <c r="G33" s="395">
        <f t="shared" si="19"/>
        <v>133959.89</v>
      </c>
      <c r="H33" s="376">
        <f t="shared" si="19"/>
        <v>2912</v>
      </c>
      <c r="I33" s="376">
        <f t="shared" si="19"/>
        <v>0</v>
      </c>
      <c r="J33" s="397">
        <f>F33/H33</f>
        <v>52173.50759</v>
      </c>
      <c r="L33" s="401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GUEMES'!AR41+'LUCERO EL SOLAR'!AQ41+'LUCERO EL SOLAR'!AR41</f>
        <v>16772100</v>
      </c>
      <c r="M33" s="397"/>
      <c r="N33" s="397">
        <f>'LUCERO RECOLETA'!AT41+RESERVA!AS41+'LUCERO FLORIDA'!AT41+'LUCERO SAN TELMO'!AT41+'LUCERO FRENCH'!AT41+'AS GUEMES'!AT41+'AS SAN TELMO'!AT41+'LUCERO GUEMES 2'!AT41+'LUCERO CHACO'!AR41+'LUCERO SAN TELMO 2'!AT41+'LUCERO GUEMES'!AT41+'LUCERO EL SOLAR'!AT41</f>
        <v>121620854</v>
      </c>
      <c r="O33" s="397">
        <f>'LUCERO RECOLETA'!AW41+RESERVA!AT41+'LUCERO FLORIDA'!AW41+'LUCERO SAN TELMO'!AW41+'LUCERO FRENCH'!AW41+'AS GUEMES'!AW41+'AS SAN TELMO'!AW41+'LUCERO GUEMES 2'!AW41+'LUCERO CHACO'!AS41+'LUCERO SAN TELMO 2'!AW41+'LUCERO GUEMES'!AW41</f>
        <v>6244270</v>
      </c>
      <c r="P33" s="397">
        <f>'LUCERO RECOLETA'!AZ41+RESERVA!AW41+'LUCERO FLORIDA'!AZ41+'LUCERO SAN TELMO'!AZ41+'LUCERO FRENCH'!AZ41+'AS GUEMES'!AZ41+'AS SAN TELMO'!AZ41+'LUCERO GUEMES 2'!AZ41+'LUCERO CHACO'!AV41+'LUCERO SAN TELMO 2'!AZ41+'LUCERO GUEMES'!AZ41</f>
        <v>191240</v>
      </c>
      <c r="Q33" s="397">
        <f>Q35+Q36+Q37+Q38</f>
        <v>6852500</v>
      </c>
      <c r="R33" s="397">
        <f>'LUCERO RECOLETA'!BJ41+RESERVA!BG41+'LUCERO FLORIDA'!BJ41+'LUCERO SAN TELMO'!BJ41+'LUCERO FRENCH'!BJ41+'AS GUEMES'!BJ41+'AS SAN TELMO'!BJ41+'LUCERO GUEMES 2'!BJ41+'LUCERO CHACO'!BF41+'LUCERO SAN TELMO 2'!BJ41+'LUCERO GUEMES'!BJ41</f>
        <v>0</v>
      </c>
      <c r="S33" s="222"/>
      <c r="T33" s="332">
        <f>T17+T24+T31</f>
        <v>117279619.2</v>
      </c>
      <c r="Y33" s="303"/>
      <c r="Z33" s="401" t="str">
        <f t="shared" ref="Z33:AB33" si="20">Z17+Z24+Z31</f>
        <v>#DIV/0!</v>
      </c>
      <c r="AA33" s="397" t="str">
        <f t="shared" si="20"/>
        <v>#DIV/0!</v>
      </c>
      <c r="AB33" s="397" t="str">
        <f t="shared" si="20"/>
        <v>#DIV/0!</v>
      </c>
      <c r="AC33" s="303" t="s">
        <v>122</v>
      </c>
      <c r="AD33" s="307">
        <f>'LUCERO SAN TELMO'!A37</f>
        <v>46171</v>
      </c>
      <c r="AE33" s="343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5783483</v>
      </c>
      <c r="AF33" s="255">
        <f t="shared" si="4"/>
        <v>0.0380669479</v>
      </c>
      <c r="AH33" s="215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70</v>
      </c>
      <c r="AI33" s="215">
        <f>'LUCERO RECOLETA'!AQ37+RESERVA!AN37+'LUCERO FLORIDA'!AQ37+'LUCERO SAN TELMO'!AQ37+'LUCERO FRENCH'!AQ37+'AS SAN TELMO'!AQ37+'AS GUEMES'!AQ37+'LUCERO CHACO'!AM37+'LUCERO GUEMES 2'!AQ37+'LUCERO SAN TELMO 2'!AQ37+'LUCERO GUEMES'!AQ37</f>
        <v>618400</v>
      </c>
      <c r="AJ33" s="215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44">
        <f>'LUCERO RECOLETA'!AT37+RESERVA!AQ37+'LUCERO FLORIDA'!AT37+'LUCERO SAN TELMO'!AT37+'LUCERO FRENCH'!AT37+'AS SAN TELMO'!AT37+'AS GUEMES'!AT37+'LUCERO CHACO'!AP37+'LUCERO GUEMES 2'!AT37+'LUCERO SAN TELMO 2'!AT37+'LUCERO GUEMES'!AT37</f>
        <v>4699813</v>
      </c>
      <c r="AL33" s="215">
        <f>'LUCERO RECOLETA'!AU37+RESERVA!AR37+'LUCERO FLORIDA'!AU37+'LUCERO FRENCH'!AU37+'LUCERO SAN TELMO'!AU37+'AS SAN TELMO'!AU37+'AS GUEMES'!AU37+'LUCERO GUEMES 2'!AU37+'LUCERO SAN TELMO 2'!AU37+'LUCERO GUEMES'!AU37</f>
        <v>45983</v>
      </c>
      <c r="AM33" s="215">
        <f>'LUCERO RECOLETA'!AV37+RESERVA!AS37+'LUCERO FLORIDA'!AV37+'LUCERO FRENCH'!AV37+'LUCERO SAN TELMO'!AV37+'AS SAN TELMO'!AV37+'AS GUEMES'!AV37+'LUCERO GUEMES 2'!AV37+'LUCERO SAN TELMO 2'!AV37+'LUCERO GUEMES'!AV37</f>
        <v>482900</v>
      </c>
      <c r="AN33" s="215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215">
        <f>'LUCERO RECOLETA'!AW37+RESERVA!AT37+'LUCERO FLORIDA'!AW37+'LUCERO SAN TELMO'!AW37+'LUCERO FRENCH'!AW37+'AS SAN TELMO'!AW37+'AS GUEMES'!AW37+'LUCERO CHACO'!AS37+'AS SAN TELMO'!AW37+'LUCERO SAN TELMO 2'!AW37+'LUCERO GUEMES'!AW37</f>
        <v>93640</v>
      </c>
      <c r="AP33" s="326"/>
      <c r="AQ33" s="327" t="s">
        <v>118</v>
      </c>
      <c r="AR33" s="407" t="s">
        <v>119</v>
      </c>
      <c r="AS33" s="408" t="s">
        <v>120</v>
      </c>
      <c r="AT33" s="329"/>
    </row>
    <row r="34" ht="18.0" customHeight="1">
      <c r="B34" s="304"/>
      <c r="C34" s="304"/>
      <c r="D34" s="304"/>
      <c r="E34" s="304"/>
      <c r="F34" s="304"/>
      <c r="G34" s="304"/>
      <c r="H34" s="378"/>
      <c r="I34" s="378"/>
      <c r="J34" s="378"/>
      <c r="K34" s="302"/>
      <c r="L34" s="409">
        <f t="shared" ref="L34:R34" si="21">L33/$F$33</f>
        <v>0.1103941443</v>
      </c>
      <c r="M34" s="409">
        <f t="shared" si="21"/>
        <v>0</v>
      </c>
      <c r="N34" s="409">
        <f t="shared" si="21"/>
        <v>0.8005097814</v>
      </c>
      <c r="O34" s="409">
        <f t="shared" si="21"/>
        <v>0.04109985293</v>
      </c>
      <c r="P34" s="409">
        <f t="shared" si="21"/>
        <v>0.001258743756</v>
      </c>
      <c r="Q34" s="409">
        <f t="shared" si="21"/>
        <v>0.0451032294</v>
      </c>
      <c r="R34" s="409">
        <f t="shared" si="21"/>
        <v>0</v>
      </c>
      <c r="S34" s="222" t="s">
        <v>159</v>
      </c>
      <c r="T34" s="222" t="s">
        <v>160</v>
      </c>
      <c r="U34" s="222" t="s">
        <v>160</v>
      </c>
      <c r="Y34" s="303"/>
      <c r="Z34" s="304"/>
      <c r="AA34" s="304"/>
      <c r="AB34" s="304"/>
      <c r="AC34" s="352" t="s">
        <v>125</v>
      </c>
      <c r="AD34" s="307">
        <f>'LUCERO SAN TELMO'!A38</f>
        <v>46172</v>
      </c>
      <c r="AE34" s="343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4106460</v>
      </c>
      <c r="AF34" s="255">
        <f t="shared" si="4"/>
        <v>0.0270287643</v>
      </c>
      <c r="AH34" s="215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0</v>
      </c>
      <c r="AI34" s="215">
        <f>'LUCERO RECOLETA'!AQ38+RESERVA!AN38+'LUCERO FLORIDA'!AQ38+'LUCERO SAN TELMO'!AQ38+'LUCERO FRENCH'!AQ38+'AS SAN TELMO'!AQ38+'AS GUEMES'!AQ38+'LUCERO CHACO'!AM38+'LUCERO GUEMES 2'!AQ38+'LUCERO SAN TELMO 2'!AQ38+'LUCERO GUEMES'!AQ38</f>
        <v>210300</v>
      </c>
      <c r="AJ34" s="215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44">
        <f>'LUCERO RECOLETA'!AT38+RESERVA!AQ38+'LUCERO FLORIDA'!AT38+'LUCERO SAN TELMO'!AT38+'LUCERO FRENCH'!AT38+'AS SAN TELMO'!AT38+'AS GUEMES'!AT38+'LUCERO CHACO'!AP38+'LUCERO GUEMES 2'!AT38+'LUCERO SAN TELMO 2'!AT38+'LUCERO GUEMES'!AT38</f>
        <v>3220950</v>
      </c>
      <c r="AL34" s="215">
        <f>'LUCERO RECOLETA'!AU38+RESERVA!AR38+'LUCERO FLORIDA'!AU38+'LUCERO FRENCH'!AU38+'LUCERO SAN TELMO'!AU38+'AS SAN TELMO'!AU38+'AS GUEMES'!AU38+'LUCERO GUEMES 2'!AU38+'LUCERO SAN TELMO 2'!AU38+'LUCERO GUEMES'!AU38</f>
        <v>49990</v>
      </c>
      <c r="AM34" s="215">
        <f>'LUCERO RECOLETA'!AV38+RESERVA!AS38+'LUCERO FLORIDA'!AV38+'LUCERO FRENCH'!AV38+'LUCERO SAN TELMO'!AV38+'AS SAN TELMO'!AV38+'AS GUEMES'!AV38+'LUCERO GUEMES 2'!AV38+'LUCERO SAN TELMO 2'!AV38+'LUCERO GUEMES'!AV38</f>
        <v>447960</v>
      </c>
      <c r="AN34" s="215">
        <f>'LUCERO RECOLETA'!AY38+RESERVA!AV38+'LUCERO FLORIDA'!AY38+'LUCERO SAN TELMO'!AY38+'LUCERO FRENCH'!AY38+'AS SAN TELMO'!AY38+'AS GUEMES'!AY38+'LUCERO CHACO'!AU38+'LUCERO GUEMES 2'!AY38+'LUCERO SAN TELMO 2'!AY38+'LUCERO GUEMES'!AY38</f>
        <v>0</v>
      </c>
      <c r="AO34" s="215">
        <f>'LUCERO RECOLETA'!AW38+RESERVA!AT38+'LUCERO FLORIDA'!AW38+'LUCERO SAN TELMO'!AW38+'LUCERO FRENCH'!AW38+'AS SAN TELMO'!AW38+'AS GUEMES'!AW38+'LUCERO CHACO'!AS38+'AS SAN TELMO'!AW38+'LUCERO SAN TELMO 2'!AW38+'LUCERO GUEMES'!AW38</f>
        <v>332300</v>
      </c>
      <c r="AP34" s="345"/>
      <c r="AQ34" s="363" t="s">
        <v>161</v>
      </c>
      <c r="AR34" s="410" t="s">
        <v>162</v>
      </c>
      <c r="AS34" s="411">
        <v>46112.0</v>
      </c>
      <c r="AT34" s="349"/>
    </row>
    <row r="35" ht="18.0" customHeight="1">
      <c r="B35" s="304"/>
      <c r="C35" s="304"/>
      <c r="D35" s="304"/>
      <c r="E35" s="215">
        <f>F33-'AS SAN TELMO'!Q41-'LUCERO SAN TELMO'!Q41-'LUCERO SAN TELMO 2'!Q41</f>
        <v>151929254.1</v>
      </c>
      <c r="F35" s="304">
        <v>1.345580476E8</v>
      </c>
      <c r="G35" s="304"/>
      <c r="H35" s="378"/>
      <c r="I35" s="378"/>
      <c r="J35" s="304"/>
      <c r="L35" s="222"/>
      <c r="M35" s="222"/>
      <c r="N35" s="222"/>
      <c r="O35" s="215" t="s">
        <v>45</v>
      </c>
      <c r="P35" s="412">
        <f>'LUCERO RECOLETA'!BA41+RESERVA!AX41+'LUCERO FLORIDA'!BA41+'LUCERO SAN TELMO'!BA41+'LUCERO FRENCH'!BA41+'AS GUEMES'!BA41+'AS SAN TELMO'!BA41+'LUCERO GUEMES 2'!BA41+'LUCERO CHACO'!AW41</f>
        <v>4455</v>
      </c>
      <c r="Q35" s="413">
        <f>'LUCERO RECOLETA'!BB41+RESERVA!AY41+'LUCERO FLORIDA'!BB41+'LUCERO SAN TELMO'!BB41+'LUCERO FRENCH'!BB41+'AS GUEMES'!BB41+'AS SAN TELMO'!BB41+'LUCERO GUEMES 2'!BB41+'LUCERO CHACO'!AX41</f>
        <v>6314600</v>
      </c>
      <c r="R35" s="413">
        <f t="shared" ref="R35:R40" si="22">P35*S35</f>
        <v>5791500</v>
      </c>
      <c r="S35" s="303">
        <v>1300.0</v>
      </c>
      <c r="T35" s="303">
        <f t="shared" ref="T35:T40" si="23">P35*U35</f>
        <v>0</v>
      </c>
      <c r="U35" s="303"/>
      <c r="Y35" s="303"/>
      <c r="Z35" s="304"/>
      <c r="AA35" s="304"/>
      <c r="AB35" s="304"/>
      <c r="AC35" s="303" t="s">
        <v>128</v>
      </c>
      <c r="AD35" s="307">
        <f>'LUCERO SAN TELMO'!A39</f>
        <v>46173</v>
      </c>
      <c r="AE35" s="343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4983881.9</v>
      </c>
      <c r="AF35" s="255">
        <f t="shared" si="4"/>
        <v>0.03280396478</v>
      </c>
      <c r="AH35" s="215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160</v>
      </c>
      <c r="AI35" s="215">
        <f>'LUCERO RECOLETA'!AQ39+RESERVA!AN39+'LUCERO FLORIDA'!AQ39+'LUCERO SAN TELMO'!AQ39+'LUCERO FRENCH'!AQ39+'AS SAN TELMO'!AQ39+'AS GUEMES'!AQ39+'LUCERO CHACO'!AM39+'LUCERO GUEMES 2'!AQ39+'LUCERO SAN TELMO 2'!AQ39+'LUCERO GUEMES'!AQ39</f>
        <v>544800</v>
      </c>
      <c r="AJ35" s="215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44">
        <f>'LUCERO RECOLETA'!AT39+RESERVA!AQ39+'LUCERO FLORIDA'!AT39+'LUCERO SAN TELMO'!AT39+'LUCERO FRENCH'!AT39+'AS SAN TELMO'!AT39+'AS GUEMES'!AT39+'LUCERO CHACO'!AP39+'LUCERO GUEMES 2'!AT39+'LUCERO SAN TELMO 2'!AT39+'LUCERO GUEMES'!AT39</f>
        <v>3695980</v>
      </c>
      <c r="AL35" s="215">
        <f>'LUCERO RECOLETA'!AU39+RESERVA!AR39+'LUCERO FLORIDA'!AU39+'LUCERO FRENCH'!AU39+'LUCERO SAN TELMO'!AU39+'AS SAN TELMO'!AU39+'AS GUEMES'!AU39+'LUCERO GUEMES 2'!AU39+'LUCERO SAN TELMO 2'!AU39+'LUCERO GUEMES'!AU39</f>
        <v>49990</v>
      </c>
      <c r="AM35" s="215">
        <f>'LUCERO RECOLETA'!AV39+RESERVA!AS39+'LUCERO FLORIDA'!AV39+'LUCERO FRENCH'!AV39+'LUCERO SAN TELMO'!AV39+'AS SAN TELMO'!AV39+'AS GUEMES'!AV39+'LUCERO GUEMES 2'!AV39+'LUCERO SAN TELMO 2'!AV39+'LUCERO GUEMES'!AV39</f>
        <v>449940</v>
      </c>
      <c r="AN35" s="215">
        <f>'LUCERO RECOLETA'!AY39+RESERVA!AV39+'LUCERO FLORIDA'!AY39+'LUCERO SAN TELMO'!AY39+'LUCERO FRENCH'!AY39+'AS SAN TELMO'!AY39+'AS GUEMES'!AY39+'LUCERO CHACO'!AU39+'LUCERO GUEMES 2'!AY39+'LUCERO SAN TELMO 2'!AY39+'LUCERO GUEMES'!AY39</f>
        <v>0</v>
      </c>
      <c r="AO35" s="215">
        <f>'LUCERO RECOLETA'!AW39+RESERVA!AT39+'LUCERO FLORIDA'!AW39+'LUCERO SAN TELMO'!AW39+'LUCERO FRENCH'!AW39+'AS SAN TELMO'!AW39+'AS GUEMES'!AW39+'LUCERO CHACO'!AS39+'AS SAN TELMO'!AW39+'LUCERO SAN TELMO 2'!AW39+'LUCERO GUEMES'!AW39</f>
        <v>608260</v>
      </c>
      <c r="AP35" s="345"/>
      <c r="AQ35" s="363">
        <f>1315414*1.21</f>
        <v>1591650.94</v>
      </c>
      <c r="AR35" s="364">
        <v>0.0</v>
      </c>
      <c r="AS35" s="414">
        <v>46599.0</v>
      </c>
      <c r="AT35" s="349"/>
    </row>
    <row r="36" ht="18.0" customHeight="1">
      <c r="A36" s="415" t="s">
        <v>163</v>
      </c>
      <c r="B36" s="304"/>
      <c r="C36" s="304"/>
      <c r="D36" s="304"/>
      <c r="E36" s="304"/>
      <c r="F36" s="304">
        <f>F33-F35</f>
        <v>17371206.5</v>
      </c>
      <c r="G36" s="304"/>
      <c r="H36" s="378"/>
      <c r="I36" s="378"/>
      <c r="J36" s="304"/>
      <c r="L36" s="222"/>
      <c r="M36" s="222"/>
      <c r="N36" s="222"/>
      <c r="O36" s="215" t="s">
        <v>46</v>
      </c>
      <c r="P36" s="412">
        <f>'LUCERO RECOLETA'!BC41+RESERVA!AZ41+'LUCERO FLORIDA'!BC41+'LUCERO SAN TELMO'!BC41+'LUCERO FRENCH'!BC41+'AS GUEMES'!BC41+'AS SAN TELMO'!BC41+'LUCERO GUEMES 2'!BC41+'LUCERO CHACO'!AY41</f>
        <v>380</v>
      </c>
      <c r="Q36" s="413">
        <f>'LUCERO RECOLETA'!BD41+RESERVA!BA41+'LUCERO FLORIDA'!BD41+'LUCERO SAN TELMO'!BD41+'LUCERO FRENCH'!BD41+'AS GUEMES'!BD41+'AS SAN TELMO'!BD41+'LUCERO GUEMES 2'!BD41+'LUCERO CHACO'!AZ41</f>
        <v>537900</v>
      </c>
      <c r="R36" s="413">
        <f t="shared" si="22"/>
        <v>456000</v>
      </c>
      <c r="S36" s="303">
        <v>1200.0</v>
      </c>
      <c r="T36" s="303">
        <f t="shared" si="23"/>
        <v>0</v>
      </c>
      <c r="U36" s="303"/>
      <c r="Y36" s="303"/>
      <c r="Z36" s="304"/>
      <c r="AA36" s="304"/>
      <c r="AB36" s="304"/>
      <c r="AC36" s="303"/>
      <c r="AD36" s="307" t="str">
        <f>'LUCERO SAN TELMO'!A40</f>
        <v/>
      </c>
      <c r="AE36" s="215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55"/>
      <c r="AH36" s="215"/>
      <c r="AI36" s="215"/>
      <c r="AJ36" s="215"/>
      <c r="AK36" s="344"/>
      <c r="AL36" s="215"/>
      <c r="AM36" s="215"/>
      <c r="AN36" s="215"/>
      <c r="AO36" s="215"/>
      <c r="AP36" s="345"/>
      <c r="AQ36" s="363">
        <f>1251541*1.21</f>
        <v>1514364.61</v>
      </c>
      <c r="AR36" s="364">
        <v>0.0</v>
      </c>
      <c r="AS36" s="414">
        <v>46446.0</v>
      </c>
      <c r="AT36" s="349"/>
    </row>
    <row r="37" ht="18.0" customHeight="1">
      <c r="A37" s="415" t="s">
        <v>164</v>
      </c>
      <c r="H37" s="302"/>
      <c r="I37" s="302"/>
      <c r="L37" s="222"/>
      <c r="M37" s="222"/>
      <c r="N37" s="222"/>
      <c r="O37" s="215" t="s">
        <v>165</v>
      </c>
      <c r="P37" s="412">
        <f>'LUCERO RECOLETA'!BE41+RESERVA!BB41+'LUCERO FLORIDA'!BE41+'LUCERO SAN TELMO'!BE41+'LUCERO FRENCH'!BE41+'AS GUEMES'!BE41+'AS SAN TELMO'!BE41+'LUCERO GUEMES 2'!BE41+'LUCERO CHACO'!BA41</f>
        <v>0</v>
      </c>
      <c r="Q37" s="413">
        <f>'LUCERO RECOLETA'!BF41+RESERVA!BC41+'LUCERO FLORIDA'!BF41+'LUCERO SAN TELMO'!BF41+'LUCERO FRENCH'!BF41+'AS GUEMES'!BF41+'AS SAN TELMO'!BF41+'LUCERO GUEMES 2'!BF41+'LUCERO CHACO'!BB41</f>
        <v>0</v>
      </c>
      <c r="R37" s="413">
        <f t="shared" si="22"/>
        <v>0</v>
      </c>
      <c r="S37" s="303">
        <v>1200.0</v>
      </c>
      <c r="T37" s="303">
        <f t="shared" si="23"/>
        <v>0</v>
      </c>
      <c r="U37" s="303"/>
      <c r="Y37" s="303"/>
      <c r="Z37" s="304"/>
      <c r="AA37" s="304"/>
      <c r="AB37" s="304"/>
      <c r="AC37" s="303"/>
      <c r="AD37" s="227" t="s">
        <v>49</v>
      </c>
      <c r="AE37" s="393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151929254.1</v>
      </c>
      <c r="AF37" s="416">
        <f>AE37/$AE$37</f>
        <v>1</v>
      </c>
      <c r="AG37" s="222"/>
      <c r="AH37" s="417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5105</v>
      </c>
      <c r="AI37" s="417">
        <f>'LUCERO RECOLETA'!AQ41+RESERVA!AN41+'LUCERO FLORIDA'!AQ41+'LUCERO SAN TELMO'!AQ41+'LUCERO FRENCH'!AQ41+'AS SAN TELMO'!AQ41+'AS GUEMES'!AQ41+'LUCERO CHACO'!AM41+'LUCERO GUEMES 2'!AQ41+'LUCERO SAN TELMO 2'!AQ41+'LUCERO GUEMES'!AQ41</f>
        <v>16077100</v>
      </c>
      <c r="AJ37" s="417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418">
        <f>'LUCERO RECOLETA'!AT41+RESERVA!AQ41+'LUCERO FLORIDA'!AT41+'LUCERO SAN TELMO'!AT41+'LUCERO FRENCH'!AT41+'AS SAN TELMO'!AT41+'AS GUEMES'!AT41+'LUCERO CHACO'!AP41+'LUCERO GUEMES 2'!AT41+'LUCERO SAN TELMO 2'!AT41+'LUCERO GUEMES'!AT41</f>
        <v>114262244</v>
      </c>
      <c r="AL37" s="417">
        <f>'LUCERO RECOLETA'!AU41+RESERVA!AR41+'LUCERO FLORIDA'!AU41+'LUCERO FRENCH'!AU41+'LUCERO SAN TELMO'!AU41+'AS SAN TELMO'!AU41+'AS GUEMES'!AU41+'LUCERO GUEMES 2'!AU41+'LUCERO SAN TELMO 2'!AU41+'LUCERO GUEMES'!AU41</f>
        <v>5112078</v>
      </c>
      <c r="AM37" s="417">
        <f>'LUCERO RECOLETA'!AV41+RESERVA!AS41+'LUCERO FLORIDA'!AV41+'LUCERO FRENCH'!AV41+'LUCERO SAN TELMO'!AV41+'AS SAN TELMO'!AV41+'AS GUEMES'!AV41+'LUCERO GUEMES 2'!AV41+'LUCERO SAN TELMO 2'!AV41+'LUCERO GUEMES'!AV41</f>
        <v>12412435</v>
      </c>
      <c r="AN37" s="417">
        <f>'LUCERO RECOLETA'!AY41+RESERVA!AV41+'LUCERO FLORIDA'!AY41+'LUCERO SAN TELMO'!AY41+'LUCERO FRENCH'!AY41+'AS SAN TELMO'!AY41+'AS GUEMES'!AY41+'LUCERO CHACO'!AU41+'LUCERO GUEMES 2'!AY41+'LUCERO SAN TELMO 2'!AY41+'LUCERO GUEMES'!AY41</f>
        <v>660</v>
      </c>
      <c r="AO37" s="417">
        <f>'LUCERO RECOLETA'!AW41+RESERVA!AT41+'LUCERO FLORIDA'!AW41+'LUCERO SAN TELMO'!AW41+'LUCERO FRENCH'!AW41+'AS SAN TELMO'!AW41+'AS GUEMES'!AW41+'LUCERO CHACO'!AS41+'AS SAN TELMO'!AW41+'LUCERO SAN TELMO 2'!AW41+'LUCERO GUEMES'!AW41</f>
        <v>11562680</v>
      </c>
      <c r="AP37" s="345"/>
      <c r="AQ37" s="419"/>
      <c r="AR37" s="420"/>
      <c r="AS37" s="421"/>
      <c r="AT37" s="349"/>
    </row>
    <row r="38" ht="18.0" customHeight="1">
      <c r="A38" s="415" t="s">
        <v>166</v>
      </c>
      <c r="F38" s="222"/>
      <c r="H38" s="302"/>
      <c r="I38" s="302"/>
      <c r="L38" s="222"/>
      <c r="M38" s="222"/>
      <c r="N38" s="222"/>
      <c r="O38" s="215" t="s">
        <v>48</v>
      </c>
      <c r="P38" s="412">
        <f>'LUCERO RECOLETA'!BG41+RESERVA!BD41+'LUCERO FLORIDA'!BG41+'LUCERO SAN TELMO'!BG41+'LUCERO FRENCH'!BG41+'AS GUEMES'!BG41+'AS SAN TELMO'!BG41+'LUCERO GUEMES 2'!BG41+'LUCERO CHACO'!BC41</f>
        <v>0</v>
      </c>
      <c r="Q38" s="413">
        <f>'LUCERO RECOLETA'!BH41+RESERVA!BE41+'LUCERO FLORIDA'!BH41+'LUCERO SAN TELMO'!BH41+'LUCERO FRENCH'!BH41+'AS GUEMES'!BH41+'AS SAN TELMO'!BH41+'LUCERO GUEMES 2'!BH41+'LUCERO CHACO'!BD41</f>
        <v>0</v>
      </c>
      <c r="R38" s="413">
        <f t="shared" si="22"/>
        <v>0</v>
      </c>
      <c r="S38" s="303">
        <v>1200.0</v>
      </c>
      <c r="T38" s="303">
        <f t="shared" si="23"/>
        <v>0</v>
      </c>
      <c r="U38" s="303"/>
      <c r="Y38" s="303"/>
      <c r="Z38" s="304"/>
      <c r="AA38" s="304"/>
      <c r="AB38" s="304"/>
      <c r="AC38" s="303"/>
      <c r="AH38" s="422">
        <f>(AH37*1200)/AE37</f>
        <v>0.04032139851</v>
      </c>
      <c r="AI38" s="422">
        <f t="shared" ref="AI38:AJ38" si="24">AI37/$AE$37</f>
        <v>0.1058196468</v>
      </c>
      <c r="AJ38" s="422">
        <f t="shared" si="24"/>
        <v>0</v>
      </c>
      <c r="AK38" s="422"/>
      <c r="AL38" s="422">
        <f t="shared" ref="AL38:AM38" si="25">AL37/$AE$37</f>
        <v>0.0336477529</v>
      </c>
      <c r="AM38" s="422">
        <f t="shared" si="25"/>
        <v>0.08169878193</v>
      </c>
      <c r="AN38" s="422">
        <f>(AN37*220)/AE37</f>
        <v>0.0009557079765</v>
      </c>
      <c r="AO38" s="422">
        <f>AO37/$AE$37</f>
        <v>0.0761056853</v>
      </c>
      <c r="AP38" s="345"/>
      <c r="AQ38" s="363" t="s">
        <v>167</v>
      </c>
      <c r="AR38" s="423"/>
      <c r="AS38" s="414">
        <v>46074.0</v>
      </c>
      <c r="AT38" s="349"/>
    </row>
    <row r="39" ht="18.0" customHeight="1">
      <c r="A39" s="415" t="s">
        <v>168</v>
      </c>
      <c r="H39" s="302"/>
      <c r="I39" s="302"/>
      <c r="L39" s="222"/>
      <c r="M39" s="222"/>
      <c r="N39" s="222"/>
      <c r="O39" s="222" t="s">
        <v>117</v>
      </c>
      <c r="P39" s="412">
        <f>'LUCERO RECOLETA'!AY41+RESERVA!AV41+'LUCERO FLORIDA'!AY41+'LUCERO SAN TELMO'!AY41+'LUCERO FRENCH'!AY41+'AS GUEMES'!AY41+'AS SAN TELMO'!AY41+'LUCERO GUEMES 2'!AY41+'LUCERO CHACO'!AU41</f>
        <v>660</v>
      </c>
      <c r="Q39" s="413">
        <f>P33</f>
        <v>191240</v>
      </c>
      <c r="R39" s="413">
        <f t="shared" si="22"/>
        <v>145200</v>
      </c>
      <c r="S39" s="303">
        <v>220.0</v>
      </c>
      <c r="T39" s="303">
        <f t="shared" si="23"/>
        <v>0</v>
      </c>
      <c r="U39" s="303"/>
      <c r="Y39" s="303"/>
      <c r="Z39" s="304"/>
      <c r="AA39" s="304"/>
      <c r="AB39" s="304"/>
      <c r="AC39" s="303"/>
      <c r="AP39" s="345"/>
      <c r="AQ39" s="363">
        <f>(350000+19929.6)*1.21</f>
        <v>447614.816</v>
      </c>
      <c r="AR39" s="364" t="s">
        <v>169</v>
      </c>
      <c r="AS39" s="365">
        <v>46295.0</v>
      </c>
      <c r="AT39" s="349"/>
    </row>
    <row r="40" ht="18.0" customHeight="1">
      <c r="A40" s="415" t="s">
        <v>170</v>
      </c>
      <c r="H40" s="302"/>
      <c r="I40" s="302"/>
      <c r="L40" s="222"/>
      <c r="M40" s="424"/>
      <c r="N40" s="424"/>
      <c r="O40" s="222" t="s">
        <v>52</v>
      </c>
      <c r="P40" s="412">
        <f>'LUCERO RECOLETA'!BG41+RESERVA!BD41+'LUCERO FLORIDA'!BG41+'LUCERO SAN TELMO'!BG41+'LUCERO FRENCH'!BG41+'AS GUEMES'!BG41+'AS SAN TELMO'!BG41+'LUCERO GUEMES 2'!BG41+'LUCERO CHACO'!BC41</f>
        <v>0</v>
      </c>
      <c r="Q40" s="413">
        <f>'LUCERO RECOLETA'!BH41+RESERVA!BE41+'LUCERO FLORIDA'!BH41+'LUCERO SAN TELMO'!BH41+'LUCERO FRENCH'!BH41+'AS GUEMES'!BH41+'AS SAN TELMO'!BH41+'LUCERO GUEMES 2'!BH41+'LUCERO CHACO'!BD41</f>
        <v>0</v>
      </c>
      <c r="R40" s="413">
        <f t="shared" si="22"/>
        <v>0</v>
      </c>
      <c r="S40" s="303">
        <v>1390.0</v>
      </c>
      <c r="T40" s="303">
        <f t="shared" si="23"/>
        <v>0</v>
      </c>
      <c r="U40" s="303"/>
      <c r="Y40" s="303"/>
      <c r="Z40" s="304"/>
      <c r="AA40" s="304"/>
      <c r="AB40" s="304"/>
      <c r="AC40" s="303"/>
      <c r="AP40" s="425"/>
      <c r="AQ40" s="363">
        <f>(192000+36330)*1.21</f>
        <v>276279.3</v>
      </c>
      <c r="AR40" s="364" t="s">
        <v>171</v>
      </c>
      <c r="AS40" s="365">
        <v>46295.0</v>
      </c>
      <c r="AT40" s="307"/>
    </row>
    <row r="41" ht="18.0" customHeight="1">
      <c r="A41" s="415" t="s">
        <v>172</v>
      </c>
      <c r="H41" s="302"/>
      <c r="I41" s="302"/>
      <c r="L41" s="222"/>
      <c r="M41" s="222"/>
      <c r="N41" s="222"/>
      <c r="O41" s="222"/>
      <c r="P41" s="304"/>
      <c r="Q41" s="304"/>
      <c r="R41" s="304"/>
      <c r="S41" s="222"/>
      <c r="T41" s="222"/>
      <c r="U41" s="222"/>
      <c r="Y41" s="303"/>
      <c r="Z41" s="304"/>
      <c r="AA41" s="304"/>
      <c r="AB41" s="304"/>
      <c r="AC41" s="303"/>
      <c r="AP41" s="305"/>
      <c r="AQ41" s="363">
        <f>500000*1.21</f>
        <v>605000</v>
      </c>
      <c r="AR41" s="364" t="s">
        <v>141</v>
      </c>
      <c r="AS41" s="414">
        <v>46418.0</v>
      </c>
      <c r="AT41" s="307"/>
    </row>
    <row r="42" ht="18.0" customHeight="1">
      <c r="A42" s="415" t="s">
        <v>173</v>
      </c>
      <c r="H42" s="302"/>
      <c r="I42" s="302"/>
      <c r="L42" s="222"/>
      <c r="M42" s="222"/>
      <c r="N42" s="222"/>
      <c r="O42" s="222"/>
      <c r="P42" s="412">
        <f>SUM(P35:P39)</f>
        <v>5495</v>
      </c>
      <c r="Q42" s="412">
        <f t="shared" ref="Q42:R42" si="26">SUM(Q35:Q40)</f>
        <v>7043740</v>
      </c>
      <c r="R42" s="412">
        <f t="shared" si="26"/>
        <v>6392700</v>
      </c>
      <c r="S42" s="222"/>
      <c r="T42" s="412">
        <f>SUM(T35:T40)</f>
        <v>0</v>
      </c>
      <c r="U42" s="222"/>
      <c r="Y42" s="303"/>
      <c r="Z42" s="304"/>
      <c r="AA42" s="304"/>
      <c r="AB42" s="304"/>
      <c r="AC42" s="303"/>
      <c r="AP42" s="305"/>
      <c r="AQ42" s="426"/>
      <c r="AR42" s="426"/>
      <c r="AS42" s="427"/>
      <c r="AT42" s="307"/>
    </row>
    <row r="43" ht="18.0" customHeight="1">
      <c r="A43" s="415" t="s">
        <v>174</v>
      </c>
      <c r="H43" s="302"/>
      <c r="I43" s="302"/>
      <c r="L43" s="222"/>
      <c r="M43" s="222"/>
      <c r="N43" s="222"/>
      <c r="O43" s="222"/>
      <c r="P43" s="222"/>
      <c r="Q43" s="227" t="s">
        <v>175</v>
      </c>
      <c r="R43" s="428">
        <f>Q42-R42</f>
        <v>651040</v>
      </c>
      <c r="S43" s="222"/>
      <c r="T43" s="428">
        <f>Q42-T42</f>
        <v>7043740</v>
      </c>
      <c r="U43" s="222"/>
      <c r="Y43" s="303"/>
      <c r="Z43" s="304"/>
      <c r="AA43" s="304"/>
      <c r="AB43" s="304"/>
      <c r="AC43" s="303"/>
      <c r="AP43" s="305"/>
      <c r="AQ43" s="429" t="s">
        <v>49</v>
      </c>
      <c r="AR43" s="430" t="str">
        <f>+SUM(AQ34:AR41)+AQ31+AR31</f>
        <v>#VALUE!</v>
      </c>
      <c r="AS43" s="307"/>
      <c r="AT43" s="307"/>
    </row>
    <row r="44" ht="18.0" customHeight="1">
      <c r="F44" s="304">
        <f>F17+F24+F31</f>
        <v>151929254.1</v>
      </c>
      <c r="G44" s="222">
        <f>F44/1.21</f>
        <v>125561367</v>
      </c>
      <c r="H44" s="302"/>
      <c r="I44" s="302"/>
      <c r="L44" s="222"/>
      <c r="M44" s="222"/>
      <c r="N44" s="222"/>
      <c r="O44" s="222"/>
      <c r="P44" s="222"/>
      <c r="Q44" s="222"/>
      <c r="R44" s="222"/>
      <c r="Y44" s="303"/>
      <c r="Z44" s="304"/>
      <c r="AA44" s="304"/>
      <c r="AB44" s="304"/>
      <c r="AC44" s="303"/>
      <c r="AP44" s="305"/>
      <c r="AQ44" s="215"/>
      <c r="AR44" s="215"/>
      <c r="AS44" s="307"/>
      <c r="AT44" s="307"/>
    </row>
    <row r="45" ht="18.0" customHeight="1">
      <c r="H45" s="302"/>
      <c r="I45" s="302"/>
      <c r="L45" s="222"/>
      <c r="M45" s="222"/>
      <c r="N45" s="222"/>
      <c r="O45" s="222"/>
      <c r="P45" s="222"/>
      <c r="Q45" s="222"/>
      <c r="R45" s="222"/>
      <c r="Y45" s="303"/>
      <c r="Z45" s="304"/>
      <c r="AA45" s="304"/>
      <c r="AB45" s="304"/>
      <c r="AC45" s="303"/>
      <c r="AP45" s="305"/>
      <c r="AQ45" s="305"/>
      <c r="AR45" s="305"/>
      <c r="AS45" s="306"/>
      <c r="AT45" s="307"/>
    </row>
    <row r="46" ht="18.0" customHeight="1">
      <c r="H46" s="302"/>
      <c r="I46" s="302"/>
      <c r="L46" s="222"/>
      <c r="M46" s="222"/>
      <c r="N46" s="222"/>
      <c r="O46" s="222"/>
      <c r="P46" s="222"/>
      <c r="Q46" s="222"/>
      <c r="R46" s="222"/>
      <c r="Y46" s="303"/>
      <c r="Z46" s="304"/>
      <c r="AA46" s="304"/>
      <c r="AB46" s="304"/>
      <c r="AC46" s="303"/>
      <c r="AP46" s="305"/>
      <c r="AQ46" s="305"/>
      <c r="AR46" s="305"/>
      <c r="AS46" s="306"/>
      <c r="AT46" s="307"/>
    </row>
    <row r="47" ht="18.0" customHeight="1">
      <c r="H47" s="302"/>
      <c r="I47" s="302"/>
      <c r="L47" s="222"/>
      <c r="M47" s="222"/>
      <c r="N47" s="222"/>
      <c r="O47" s="222"/>
      <c r="P47" s="222"/>
      <c r="Q47" s="222"/>
      <c r="R47" s="222"/>
      <c r="Y47" s="303"/>
      <c r="Z47" s="304"/>
      <c r="AA47" s="304"/>
      <c r="AB47" s="304"/>
      <c r="AC47" s="303"/>
      <c r="AP47" s="305"/>
      <c r="AQ47" s="305"/>
      <c r="AR47" s="305"/>
      <c r="AS47" s="306"/>
      <c r="AT47" s="307"/>
    </row>
    <row r="48" ht="18.0" customHeight="1">
      <c r="H48" s="302"/>
      <c r="I48" s="302"/>
      <c r="L48" s="222"/>
      <c r="M48" s="222"/>
      <c r="N48" s="222"/>
      <c r="O48" s="222"/>
      <c r="P48" s="222"/>
      <c r="Q48" s="222"/>
      <c r="R48" s="222"/>
      <c r="Y48" s="303"/>
      <c r="Z48" s="304"/>
      <c r="AA48" s="304"/>
      <c r="AB48" s="304"/>
      <c r="AC48" s="303"/>
      <c r="AP48" s="305"/>
      <c r="AQ48" s="305"/>
      <c r="AR48" s="305"/>
      <c r="AS48" s="306"/>
      <c r="AT48" s="307"/>
    </row>
    <row r="49" ht="18.0" customHeight="1">
      <c r="H49" s="302"/>
      <c r="I49" s="302"/>
      <c r="L49" s="222"/>
      <c r="M49" s="222"/>
      <c r="N49" s="222"/>
      <c r="O49" s="222"/>
      <c r="P49" s="222"/>
      <c r="Q49" s="222"/>
      <c r="R49" s="222"/>
      <c r="Y49" s="303"/>
      <c r="Z49" s="304"/>
      <c r="AA49" s="304"/>
      <c r="AB49" s="304"/>
      <c r="AC49" s="303"/>
      <c r="AP49" s="305"/>
      <c r="AQ49" s="305"/>
      <c r="AR49" s="305"/>
      <c r="AS49" s="306"/>
      <c r="AT49" s="307"/>
    </row>
    <row r="50" ht="18.0" customHeight="1">
      <c r="H50" s="302"/>
      <c r="I50" s="302"/>
      <c r="L50" s="222"/>
      <c r="M50" s="222"/>
      <c r="N50" s="222"/>
      <c r="O50" s="222"/>
      <c r="P50" s="222"/>
      <c r="Q50" s="222"/>
      <c r="R50" s="222"/>
      <c r="Y50" s="303"/>
      <c r="Z50" s="304"/>
      <c r="AA50" s="304"/>
      <c r="AB50" s="304"/>
      <c r="AC50" s="303"/>
      <c r="AP50" s="305"/>
      <c r="AQ50" s="305"/>
      <c r="AR50" s="305"/>
      <c r="AS50" s="306"/>
      <c r="AT50" s="307"/>
    </row>
    <row r="51" ht="18.0" customHeight="1">
      <c r="H51" s="302"/>
      <c r="I51" s="302"/>
      <c r="L51" s="222"/>
      <c r="M51" s="222"/>
      <c r="N51" s="222"/>
      <c r="O51" s="222"/>
      <c r="P51" s="222"/>
      <c r="Q51" s="222"/>
      <c r="R51" s="222"/>
      <c r="Y51" s="303"/>
      <c r="Z51" s="304"/>
      <c r="AA51" s="304"/>
      <c r="AB51" s="304"/>
      <c r="AC51" s="303"/>
      <c r="AP51" s="305"/>
      <c r="AQ51" s="305"/>
      <c r="AR51" s="305"/>
      <c r="AS51" s="306"/>
      <c r="AT51" s="307"/>
    </row>
    <row r="52" ht="18.0" customHeight="1">
      <c r="H52" s="302"/>
      <c r="I52" s="302"/>
      <c r="L52" s="222"/>
      <c r="M52" s="222"/>
      <c r="N52" s="222"/>
      <c r="O52" s="222"/>
      <c r="P52" s="222"/>
      <c r="Q52" s="222"/>
      <c r="R52" s="222"/>
      <c r="Y52" s="303"/>
      <c r="Z52" s="304"/>
      <c r="AA52" s="304"/>
      <c r="AB52" s="304"/>
      <c r="AC52" s="303"/>
      <c r="AP52" s="305"/>
      <c r="AQ52" s="305"/>
      <c r="AR52" s="305"/>
      <c r="AS52" s="306"/>
      <c r="AT52" s="307"/>
    </row>
    <row r="53" ht="18.0" customHeight="1">
      <c r="H53" s="302"/>
      <c r="I53" s="302"/>
      <c r="L53" s="222"/>
      <c r="M53" s="222"/>
      <c r="N53" s="222"/>
      <c r="O53" s="222"/>
      <c r="P53" s="222"/>
      <c r="Q53" s="222"/>
      <c r="R53" s="222"/>
      <c r="Y53" s="303"/>
      <c r="Z53" s="304"/>
      <c r="AA53" s="304"/>
      <c r="AB53" s="304"/>
      <c r="AC53" s="303"/>
      <c r="AP53" s="305"/>
      <c r="AQ53" s="305"/>
      <c r="AR53" s="305"/>
      <c r="AS53" s="306"/>
      <c r="AT53" s="307"/>
    </row>
    <row r="54" ht="18.0" customHeight="1">
      <c r="H54" s="302"/>
      <c r="I54" s="302"/>
      <c r="L54" s="222"/>
      <c r="M54" s="222"/>
      <c r="N54" s="222"/>
      <c r="O54" s="222"/>
      <c r="P54" s="222"/>
      <c r="Q54" s="222"/>
      <c r="R54" s="222"/>
      <c r="Y54" s="303"/>
      <c r="Z54" s="304"/>
      <c r="AA54" s="304"/>
      <c r="AB54" s="304"/>
      <c r="AC54" s="303"/>
      <c r="AP54" s="305"/>
      <c r="AQ54" s="305"/>
      <c r="AR54" s="305"/>
      <c r="AS54" s="306"/>
      <c r="AT54" s="307"/>
    </row>
    <row r="55" ht="18.0" customHeight="1">
      <c r="H55" s="302"/>
      <c r="I55" s="302"/>
      <c r="L55" s="222"/>
      <c r="M55" s="222"/>
      <c r="N55" s="222"/>
      <c r="O55" s="222"/>
      <c r="P55" s="222"/>
      <c r="Q55" s="222"/>
      <c r="R55" s="222"/>
      <c r="Y55" s="303"/>
      <c r="Z55" s="304"/>
      <c r="AA55" s="304"/>
      <c r="AB55" s="304"/>
      <c r="AC55" s="303"/>
      <c r="AP55" s="305"/>
      <c r="AQ55" s="305"/>
      <c r="AR55" s="305"/>
      <c r="AS55" s="306"/>
      <c r="AT55" s="307"/>
    </row>
    <row r="56" ht="18.0" customHeight="1">
      <c r="H56" s="302"/>
      <c r="I56" s="302"/>
      <c r="L56" s="222"/>
      <c r="M56" s="222"/>
      <c r="N56" s="222"/>
      <c r="O56" s="222"/>
      <c r="P56" s="222"/>
      <c r="Q56" s="222"/>
      <c r="R56" s="222"/>
      <c r="Y56" s="303"/>
      <c r="Z56" s="304"/>
      <c r="AA56" s="304"/>
      <c r="AB56" s="304"/>
      <c r="AC56" s="303"/>
      <c r="AP56" s="305"/>
      <c r="AQ56" s="305"/>
      <c r="AR56" s="305"/>
      <c r="AS56" s="306"/>
      <c r="AT56" s="307"/>
    </row>
    <row r="57" ht="18.0" customHeight="1">
      <c r="H57" s="302"/>
      <c r="I57" s="302"/>
      <c r="L57" s="222"/>
      <c r="M57" s="222"/>
      <c r="N57" s="222"/>
      <c r="O57" s="222"/>
      <c r="P57" s="222"/>
      <c r="Q57" s="222"/>
      <c r="R57" s="222"/>
      <c r="Y57" s="303"/>
      <c r="Z57" s="304"/>
      <c r="AA57" s="304"/>
      <c r="AB57" s="304"/>
      <c r="AC57" s="303"/>
      <c r="AP57" s="305"/>
      <c r="AQ57" s="305"/>
      <c r="AR57" s="305"/>
      <c r="AS57" s="306"/>
      <c r="AT57" s="307"/>
    </row>
    <row r="58" ht="18.0" customHeight="1">
      <c r="H58" s="302"/>
      <c r="I58" s="302"/>
      <c r="L58" s="222"/>
      <c r="M58" s="222"/>
      <c r="N58" s="222"/>
      <c r="O58" s="222"/>
      <c r="P58" s="222"/>
      <c r="Q58" s="222"/>
      <c r="R58" s="222"/>
      <c r="Y58" s="303"/>
      <c r="Z58" s="304"/>
      <c r="AA58" s="304"/>
      <c r="AB58" s="304"/>
      <c r="AC58" s="303"/>
      <c r="AP58" s="305"/>
      <c r="AQ58" s="305"/>
      <c r="AR58" s="305"/>
      <c r="AS58" s="306"/>
      <c r="AT58" s="307"/>
    </row>
    <row r="59" ht="18.0" customHeight="1">
      <c r="H59" s="302"/>
      <c r="I59" s="302"/>
      <c r="L59" s="222"/>
      <c r="M59" s="222"/>
      <c r="N59" s="222"/>
      <c r="O59" s="222"/>
      <c r="P59" s="222"/>
      <c r="Q59" s="222"/>
      <c r="R59" s="222"/>
      <c r="Y59" s="303"/>
      <c r="Z59" s="304"/>
      <c r="AA59" s="304"/>
      <c r="AB59" s="304"/>
      <c r="AC59" s="303"/>
      <c r="AP59" s="305"/>
      <c r="AQ59" s="305"/>
      <c r="AR59" s="305"/>
      <c r="AS59" s="306"/>
      <c r="AT59" s="307"/>
    </row>
    <row r="60" ht="18.0" customHeight="1">
      <c r="H60" s="302"/>
      <c r="I60" s="302"/>
      <c r="L60" s="222"/>
      <c r="M60" s="222"/>
      <c r="N60" s="222"/>
      <c r="O60" s="222"/>
      <c r="P60" s="222"/>
      <c r="Q60" s="222"/>
      <c r="R60" s="222"/>
      <c r="Y60" s="303"/>
      <c r="Z60" s="304"/>
      <c r="AA60" s="304"/>
      <c r="AB60" s="304"/>
      <c r="AC60" s="303"/>
      <c r="AP60" s="305"/>
      <c r="AQ60" s="305"/>
      <c r="AR60" s="305"/>
      <c r="AS60" s="306"/>
      <c r="AT60" s="307"/>
    </row>
    <row r="61" ht="18.0" customHeight="1">
      <c r="H61" s="302"/>
      <c r="I61" s="302"/>
      <c r="L61" s="222"/>
      <c r="M61" s="222"/>
      <c r="N61" s="222"/>
      <c r="O61" s="222"/>
      <c r="P61" s="222"/>
      <c r="Q61" s="222"/>
      <c r="R61" s="222"/>
      <c r="Y61" s="303"/>
      <c r="Z61" s="304"/>
      <c r="AA61" s="304"/>
      <c r="AB61" s="304"/>
      <c r="AC61" s="303"/>
      <c r="AP61" s="305"/>
      <c r="AQ61" s="305"/>
      <c r="AR61" s="305"/>
      <c r="AS61" s="306"/>
      <c r="AT61" s="307"/>
    </row>
    <row r="62" ht="18.0" customHeight="1">
      <c r="H62" s="302"/>
      <c r="I62" s="302"/>
      <c r="L62" s="222"/>
      <c r="M62" s="222"/>
      <c r="N62" s="222"/>
      <c r="O62" s="222"/>
      <c r="P62" s="222"/>
      <c r="Q62" s="222"/>
      <c r="R62" s="222"/>
      <c r="Y62" s="303"/>
      <c r="Z62" s="304"/>
      <c r="AA62" s="304"/>
      <c r="AB62" s="304"/>
      <c r="AC62" s="303"/>
      <c r="AP62" s="305"/>
      <c r="AQ62" s="305"/>
      <c r="AR62" s="305"/>
      <c r="AS62" s="306"/>
      <c r="AT62" s="307"/>
    </row>
    <row r="63" ht="18.0" customHeight="1">
      <c r="H63" s="302"/>
      <c r="I63" s="302"/>
      <c r="L63" s="222"/>
      <c r="M63" s="222"/>
      <c r="N63" s="222"/>
      <c r="O63" s="222"/>
      <c r="P63" s="222"/>
      <c r="Q63" s="222"/>
      <c r="R63" s="222"/>
      <c r="Y63" s="303"/>
      <c r="Z63" s="304"/>
      <c r="AA63" s="304"/>
      <c r="AB63" s="304"/>
      <c r="AC63" s="303"/>
      <c r="AP63" s="305"/>
      <c r="AQ63" s="305"/>
      <c r="AR63" s="305"/>
      <c r="AS63" s="306"/>
      <c r="AT63" s="307"/>
    </row>
    <row r="64" ht="18.0" customHeight="1">
      <c r="H64" s="302"/>
      <c r="I64" s="302"/>
      <c r="L64" s="222"/>
      <c r="M64" s="222"/>
      <c r="N64" s="222"/>
      <c r="O64" s="222"/>
      <c r="P64" s="222"/>
      <c r="Q64" s="222"/>
      <c r="R64" s="222"/>
      <c r="Y64" s="303"/>
      <c r="Z64" s="304"/>
      <c r="AA64" s="304"/>
      <c r="AB64" s="304"/>
      <c r="AC64" s="303"/>
      <c r="AP64" s="305"/>
      <c r="AQ64" s="305"/>
      <c r="AR64" s="305"/>
      <c r="AS64" s="306"/>
      <c r="AT64" s="307"/>
    </row>
    <row r="65" ht="18.0" customHeight="1">
      <c r="H65" s="302"/>
      <c r="I65" s="302"/>
      <c r="L65" s="222"/>
      <c r="M65" s="222"/>
      <c r="N65" s="222"/>
      <c r="O65" s="222"/>
      <c r="P65" s="222"/>
      <c r="Q65" s="222"/>
      <c r="R65" s="222"/>
      <c r="Y65" s="303"/>
      <c r="Z65" s="304"/>
      <c r="AA65" s="304"/>
      <c r="AB65" s="304"/>
      <c r="AC65" s="303"/>
      <c r="AP65" s="305"/>
      <c r="AQ65" s="305"/>
      <c r="AR65" s="305"/>
      <c r="AS65" s="306"/>
      <c r="AT65" s="307"/>
    </row>
    <row r="66" ht="18.0" customHeight="1">
      <c r="H66" s="302"/>
      <c r="I66" s="302"/>
      <c r="L66" s="222"/>
      <c r="M66" s="222"/>
      <c r="N66" s="222"/>
      <c r="O66" s="222"/>
      <c r="P66" s="222"/>
      <c r="Q66" s="222"/>
      <c r="R66" s="222"/>
      <c r="Y66" s="303"/>
      <c r="Z66" s="304"/>
      <c r="AA66" s="304"/>
      <c r="AB66" s="304"/>
      <c r="AC66" s="303"/>
      <c r="AP66" s="305"/>
      <c r="AQ66" s="305"/>
      <c r="AR66" s="305"/>
      <c r="AS66" s="306"/>
      <c r="AT66" s="307"/>
    </row>
    <row r="67" ht="18.0" customHeight="1">
      <c r="H67" s="302"/>
      <c r="I67" s="302"/>
      <c r="L67" s="222"/>
      <c r="M67" s="222"/>
      <c r="N67" s="222"/>
      <c r="O67" s="222"/>
      <c r="P67" s="222"/>
      <c r="Q67" s="222"/>
      <c r="R67" s="222"/>
      <c r="Y67" s="303"/>
      <c r="Z67" s="304"/>
      <c r="AA67" s="304"/>
      <c r="AB67" s="304"/>
      <c r="AC67" s="303"/>
      <c r="AP67" s="305"/>
      <c r="AQ67" s="305"/>
      <c r="AR67" s="305"/>
      <c r="AS67" s="306"/>
      <c r="AT67" s="307"/>
    </row>
    <row r="68" ht="18.0" customHeight="1">
      <c r="H68" s="302"/>
      <c r="I68" s="302"/>
      <c r="L68" s="222"/>
      <c r="M68" s="222"/>
      <c r="N68" s="222"/>
      <c r="O68" s="222"/>
      <c r="P68" s="222"/>
      <c r="Q68" s="222"/>
      <c r="R68" s="222"/>
      <c r="Y68" s="303"/>
      <c r="Z68" s="304"/>
      <c r="AA68" s="304"/>
      <c r="AB68" s="304"/>
      <c r="AC68" s="303"/>
      <c r="AP68" s="305"/>
      <c r="AQ68" s="305"/>
      <c r="AR68" s="305"/>
      <c r="AS68" s="306"/>
      <c r="AT68" s="307"/>
    </row>
    <row r="69" ht="18.0" customHeight="1">
      <c r="H69" s="302"/>
      <c r="I69" s="302"/>
      <c r="L69" s="222"/>
      <c r="M69" s="222"/>
      <c r="N69" s="222"/>
      <c r="O69" s="222"/>
      <c r="P69" s="222"/>
      <c r="Q69" s="222"/>
      <c r="R69" s="222"/>
      <c r="Y69" s="303"/>
      <c r="Z69" s="304"/>
      <c r="AA69" s="304"/>
      <c r="AB69" s="304"/>
      <c r="AC69" s="303"/>
      <c r="AP69" s="305"/>
      <c r="AQ69" s="305"/>
      <c r="AR69" s="305"/>
      <c r="AS69" s="306"/>
      <c r="AT69" s="307"/>
    </row>
    <row r="70" ht="18.0" customHeight="1">
      <c r="H70" s="302"/>
      <c r="I70" s="302"/>
      <c r="L70" s="222"/>
      <c r="M70" s="222"/>
      <c r="N70" s="222"/>
      <c r="O70" s="222"/>
      <c r="P70" s="222"/>
      <c r="Q70" s="222"/>
      <c r="R70" s="222"/>
      <c r="Y70" s="303"/>
      <c r="Z70" s="304"/>
      <c r="AA70" s="304"/>
      <c r="AB70" s="304"/>
      <c r="AC70" s="303"/>
      <c r="AP70" s="305"/>
      <c r="AQ70" s="305"/>
      <c r="AR70" s="305"/>
      <c r="AS70" s="306"/>
      <c r="AT70" s="307"/>
    </row>
    <row r="71" ht="18.0" customHeight="1">
      <c r="H71" s="302"/>
      <c r="I71" s="302"/>
      <c r="L71" s="222"/>
      <c r="M71" s="222"/>
      <c r="N71" s="222"/>
      <c r="O71" s="222"/>
      <c r="P71" s="222"/>
      <c r="Q71" s="222"/>
      <c r="R71" s="222"/>
      <c r="Y71" s="303"/>
      <c r="Z71" s="304"/>
      <c r="AA71" s="304"/>
      <c r="AB71" s="304"/>
      <c r="AC71" s="303"/>
      <c r="AP71" s="305"/>
      <c r="AQ71" s="305"/>
      <c r="AR71" s="305"/>
      <c r="AS71" s="306"/>
      <c r="AT71" s="307"/>
    </row>
    <row r="72" ht="18.0" customHeight="1">
      <c r="H72" s="302"/>
      <c r="I72" s="302"/>
      <c r="L72" s="222"/>
      <c r="M72" s="222"/>
      <c r="N72" s="222"/>
      <c r="O72" s="222"/>
      <c r="P72" s="222"/>
      <c r="Q72" s="222"/>
      <c r="R72" s="222"/>
      <c r="Y72" s="303"/>
      <c r="Z72" s="304"/>
      <c r="AA72" s="304"/>
      <c r="AB72" s="304"/>
      <c r="AC72" s="303"/>
      <c r="AP72" s="305"/>
      <c r="AQ72" s="305"/>
      <c r="AR72" s="305"/>
      <c r="AS72" s="306"/>
      <c r="AT72" s="307"/>
    </row>
    <row r="73" ht="18.0" customHeight="1">
      <c r="H73" s="302"/>
      <c r="I73" s="302"/>
      <c r="L73" s="222"/>
      <c r="M73" s="222"/>
      <c r="N73" s="222"/>
      <c r="O73" s="222"/>
      <c r="P73" s="222"/>
      <c r="Q73" s="222"/>
      <c r="R73" s="222"/>
      <c r="Y73" s="303"/>
      <c r="Z73" s="304"/>
      <c r="AA73" s="304"/>
      <c r="AB73" s="304"/>
      <c r="AC73" s="303"/>
      <c r="AP73" s="305"/>
      <c r="AQ73" s="305"/>
      <c r="AR73" s="305"/>
      <c r="AS73" s="306"/>
      <c r="AT73" s="307"/>
    </row>
    <row r="74" ht="18.0" customHeight="1">
      <c r="H74" s="302"/>
      <c r="I74" s="302"/>
      <c r="L74" s="222"/>
      <c r="M74" s="222"/>
      <c r="N74" s="222"/>
      <c r="O74" s="222"/>
      <c r="P74" s="222"/>
      <c r="Q74" s="222"/>
      <c r="R74" s="222"/>
      <c r="Y74" s="303"/>
      <c r="Z74" s="304"/>
      <c r="AA74" s="304"/>
      <c r="AB74" s="304"/>
      <c r="AC74" s="303"/>
      <c r="AP74" s="305"/>
      <c r="AQ74" s="305"/>
      <c r="AR74" s="305"/>
      <c r="AS74" s="306"/>
      <c r="AT74" s="307"/>
    </row>
    <row r="75" ht="18.0" customHeight="1">
      <c r="H75" s="302"/>
      <c r="I75" s="302"/>
      <c r="L75" s="222"/>
      <c r="M75" s="222"/>
      <c r="N75" s="222"/>
      <c r="O75" s="222"/>
      <c r="P75" s="222"/>
      <c r="Q75" s="222"/>
      <c r="R75" s="222"/>
      <c r="Y75" s="303"/>
      <c r="Z75" s="304"/>
      <c r="AA75" s="304"/>
      <c r="AB75" s="304"/>
      <c r="AC75" s="303"/>
      <c r="AP75" s="305"/>
      <c r="AQ75" s="305"/>
      <c r="AR75" s="305"/>
      <c r="AS75" s="306"/>
      <c r="AT75" s="307"/>
    </row>
    <row r="76" ht="18.0" customHeight="1">
      <c r="H76" s="302"/>
      <c r="I76" s="302"/>
      <c r="L76" s="222"/>
      <c r="M76" s="222"/>
      <c r="N76" s="222"/>
      <c r="O76" s="222"/>
      <c r="P76" s="222"/>
      <c r="Q76" s="222"/>
      <c r="R76" s="222"/>
      <c r="Y76" s="303"/>
      <c r="Z76" s="304"/>
      <c r="AA76" s="304"/>
      <c r="AB76" s="304"/>
      <c r="AC76" s="303"/>
      <c r="AP76" s="305"/>
      <c r="AQ76" s="305"/>
      <c r="AR76" s="305"/>
      <c r="AS76" s="306"/>
      <c r="AT76" s="307"/>
    </row>
    <row r="77" ht="18.0" customHeight="1">
      <c r="H77" s="302"/>
      <c r="I77" s="302"/>
      <c r="L77" s="222"/>
      <c r="M77" s="222"/>
      <c r="N77" s="222"/>
      <c r="O77" s="222"/>
      <c r="P77" s="222"/>
      <c r="Q77" s="222"/>
      <c r="R77" s="222"/>
      <c r="Y77" s="303"/>
      <c r="Z77" s="304"/>
      <c r="AA77" s="304"/>
      <c r="AB77" s="304"/>
      <c r="AC77" s="303"/>
      <c r="AP77" s="305"/>
      <c r="AQ77" s="305"/>
      <c r="AR77" s="305"/>
      <c r="AS77" s="306"/>
      <c r="AT77" s="307"/>
    </row>
    <row r="78" ht="18.0" customHeight="1">
      <c r="H78" s="302"/>
      <c r="I78" s="302"/>
      <c r="L78" s="222"/>
      <c r="M78" s="222"/>
      <c r="N78" s="222"/>
      <c r="O78" s="222"/>
      <c r="P78" s="222"/>
      <c r="Q78" s="222"/>
      <c r="R78" s="222"/>
      <c r="Y78" s="303"/>
      <c r="Z78" s="304"/>
      <c r="AA78" s="304"/>
      <c r="AB78" s="304"/>
      <c r="AC78" s="303"/>
      <c r="AP78" s="305"/>
      <c r="AQ78" s="305"/>
      <c r="AR78" s="305"/>
      <c r="AS78" s="306"/>
      <c r="AT78" s="307"/>
    </row>
    <row r="79" ht="18.0" customHeight="1">
      <c r="H79" s="302"/>
      <c r="I79" s="302"/>
      <c r="L79" s="222"/>
      <c r="M79" s="222"/>
      <c r="N79" s="222"/>
      <c r="O79" s="222"/>
      <c r="P79" s="222"/>
      <c r="Q79" s="222"/>
      <c r="R79" s="222"/>
      <c r="Y79" s="303"/>
      <c r="Z79" s="304"/>
      <c r="AA79" s="304"/>
      <c r="AB79" s="304"/>
      <c r="AC79" s="303"/>
      <c r="AP79" s="305"/>
      <c r="AQ79" s="305"/>
      <c r="AR79" s="305"/>
      <c r="AS79" s="306"/>
      <c r="AT79" s="307"/>
    </row>
    <row r="80" ht="18.0" customHeight="1">
      <c r="H80" s="302"/>
      <c r="I80" s="302"/>
      <c r="L80" s="222"/>
      <c r="M80" s="222"/>
      <c r="N80" s="222"/>
      <c r="O80" s="222"/>
      <c r="P80" s="222"/>
      <c r="Q80" s="222"/>
      <c r="R80" s="222"/>
      <c r="Y80" s="303"/>
      <c r="Z80" s="304"/>
      <c r="AA80" s="304"/>
      <c r="AB80" s="304"/>
      <c r="AC80" s="303"/>
      <c r="AP80" s="305"/>
      <c r="AQ80" s="305"/>
      <c r="AR80" s="305"/>
      <c r="AS80" s="306"/>
      <c r="AT80" s="307"/>
    </row>
    <row r="81" ht="18.0" customHeight="1">
      <c r="H81" s="302"/>
      <c r="I81" s="302"/>
      <c r="L81" s="222"/>
      <c r="M81" s="222"/>
      <c r="N81" s="222"/>
      <c r="O81" s="222"/>
      <c r="P81" s="222"/>
      <c r="Q81" s="222"/>
      <c r="R81" s="222"/>
      <c r="Y81" s="303"/>
      <c r="Z81" s="304"/>
      <c r="AA81" s="304"/>
      <c r="AB81" s="304"/>
      <c r="AC81" s="303"/>
      <c r="AP81" s="305"/>
      <c r="AQ81" s="305"/>
      <c r="AR81" s="305"/>
      <c r="AS81" s="306"/>
      <c r="AT81" s="307"/>
    </row>
    <row r="82" ht="18.0" customHeight="1">
      <c r="H82" s="302"/>
      <c r="I82" s="302"/>
      <c r="L82" s="222"/>
      <c r="M82" s="222"/>
      <c r="N82" s="222"/>
      <c r="O82" s="222"/>
      <c r="P82" s="222"/>
      <c r="Q82" s="222"/>
      <c r="R82" s="222"/>
      <c r="Y82" s="303"/>
      <c r="Z82" s="304"/>
      <c r="AA82" s="304"/>
      <c r="AB82" s="304"/>
      <c r="AC82" s="303"/>
      <c r="AP82" s="305"/>
      <c r="AQ82" s="305"/>
      <c r="AR82" s="305"/>
      <c r="AS82" s="306"/>
      <c r="AT82" s="307"/>
    </row>
    <row r="83" ht="18.0" customHeight="1">
      <c r="H83" s="302"/>
      <c r="I83" s="302"/>
      <c r="L83" s="222"/>
      <c r="M83" s="222"/>
      <c r="N83" s="222"/>
      <c r="O83" s="222"/>
      <c r="P83" s="222"/>
      <c r="Q83" s="222"/>
      <c r="R83" s="222"/>
      <c r="Y83" s="303"/>
      <c r="Z83" s="304"/>
      <c r="AA83" s="304"/>
      <c r="AB83" s="304"/>
      <c r="AC83" s="303"/>
      <c r="AP83" s="305"/>
      <c r="AQ83" s="305"/>
      <c r="AR83" s="305"/>
      <c r="AS83" s="306"/>
      <c r="AT83" s="307"/>
    </row>
    <row r="84" ht="18.0" customHeight="1">
      <c r="H84" s="302"/>
      <c r="I84" s="302"/>
      <c r="L84" s="222"/>
      <c r="M84" s="222"/>
      <c r="N84" s="222"/>
      <c r="O84" s="222"/>
      <c r="P84" s="222"/>
      <c r="Q84" s="222"/>
      <c r="R84" s="222"/>
      <c r="Y84" s="303"/>
      <c r="Z84" s="304"/>
      <c r="AA84" s="304"/>
      <c r="AB84" s="304"/>
      <c r="AC84" s="303"/>
      <c r="AP84" s="305"/>
      <c r="AQ84" s="305"/>
      <c r="AR84" s="305"/>
      <c r="AS84" s="306"/>
      <c r="AT84" s="307"/>
    </row>
    <row r="85" ht="18.0" customHeight="1">
      <c r="H85" s="302"/>
      <c r="I85" s="302"/>
      <c r="L85" s="222"/>
      <c r="M85" s="222"/>
      <c r="N85" s="222"/>
      <c r="O85" s="222"/>
      <c r="P85" s="222"/>
      <c r="Q85" s="222"/>
      <c r="R85" s="222"/>
      <c r="Y85" s="303"/>
      <c r="Z85" s="304"/>
      <c r="AA85" s="304"/>
      <c r="AB85" s="304"/>
      <c r="AC85" s="303"/>
      <c r="AP85" s="305"/>
      <c r="AQ85" s="305"/>
      <c r="AR85" s="305"/>
      <c r="AS85" s="306"/>
      <c r="AT85" s="307"/>
    </row>
    <row r="86" ht="18.0" customHeight="1">
      <c r="H86" s="302"/>
      <c r="I86" s="302"/>
      <c r="L86" s="222"/>
      <c r="M86" s="222"/>
      <c r="N86" s="222"/>
      <c r="O86" s="222"/>
      <c r="P86" s="222"/>
      <c r="Q86" s="222"/>
      <c r="R86" s="222"/>
      <c r="Y86" s="303"/>
      <c r="Z86" s="304"/>
      <c r="AA86" s="304"/>
      <c r="AB86" s="304"/>
      <c r="AC86" s="303"/>
      <c r="AP86" s="305"/>
      <c r="AQ86" s="305"/>
      <c r="AR86" s="305"/>
      <c r="AS86" s="306"/>
      <c r="AT86" s="307"/>
    </row>
    <row r="87" ht="18.0" customHeight="1">
      <c r="H87" s="302"/>
      <c r="I87" s="302"/>
      <c r="L87" s="222"/>
      <c r="M87" s="222"/>
      <c r="N87" s="222"/>
      <c r="O87" s="222"/>
      <c r="P87" s="222"/>
      <c r="Q87" s="222"/>
      <c r="R87" s="222"/>
      <c r="Y87" s="303"/>
      <c r="Z87" s="304"/>
      <c r="AA87" s="304"/>
      <c r="AB87" s="304"/>
      <c r="AC87" s="303"/>
      <c r="AP87" s="305"/>
      <c r="AQ87" s="305"/>
      <c r="AR87" s="305"/>
      <c r="AS87" s="306"/>
      <c r="AT87" s="307"/>
    </row>
    <row r="88" ht="18.0" customHeight="1">
      <c r="H88" s="302"/>
      <c r="I88" s="302"/>
      <c r="L88" s="222"/>
      <c r="M88" s="222"/>
      <c r="N88" s="222"/>
      <c r="O88" s="222"/>
      <c r="P88" s="222"/>
      <c r="Q88" s="222"/>
      <c r="R88" s="222"/>
      <c r="Y88" s="303"/>
      <c r="Z88" s="304"/>
      <c r="AA88" s="304"/>
      <c r="AB88" s="304"/>
      <c r="AC88" s="303"/>
      <c r="AP88" s="305"/>
      <c r="AQ88" s="305"/>
      <c r="AR88" s="305"/>
      <c r="AS88" s="306"/>
      <c r="AT88" s="307"/>
    </row>
    <row r="89" ht="18.0" customHeight="1">
      <c r="H89" s="302"/>
      <c r="I89" s="302"/>
      <c r="L89" s="222"/>
      <c r="M89" s="222"/>
      <c r="N89" s="222"/>
      <c r="O89" s="222"/>
      <c r="P89" s="222"/>
      <c r="Q89" s="222"/>
      <c r="R89" s="222"/>
      <c r="Y89" s="303"/>
      <c r="Z89" s="304"/>
      <c r="AA89" s="304"/>
      <c r="AB89" s="304"/>
      <c r="AC89" s="303"/>
      <c r="AP89" s="305"/>
      <c r="AQ89" s="305"/>
      <c r="AR89" s="305"/>
      <c r="AS89" s="306"/>
      <c r="AT89" s="307"/>
    </row>
    <row r="90" ht="18.0" customHeight="1">
      <c r="H90" s="302"/>
      <c r="I90" s="302"/>
      <c r="L90" s="222"/>
      <c r="M90" s="222"/>
      <c r="N90" s="222"/>
      <c r="O90" s="222"/>
      <c r="P90" s="222"/>
      <c r="Q90" s="222"/>
      <c r="R90" s="222"/>
      <c r="Y90" s="303"/>
      <c r="Z90" s="304"/>
      <c r="AA90" s="304"/>
      <c r="AB90" s="304"/>
      <c r="AC90" s="303"/>
      <c r="AP90" s="305"/>
      <c r="AQ90" s="305"/>
      <c r="AR90" s="305"/>
      <c r="AS90" s="306"/>
      <c r="AT90" s="307"/>
    </row>
    <row r="91" ht="18.0" customHeight="1">
      <c r="H91" s="302"/>
      <c r="I91" s="302"/>
      <c r="L91" s="222"/>
      <c r="M91" s="222"/>
      <c r="N91" s="222"/>
      <c r="O91" s="222"/>
      <c r="P91" s="222"/>
      <c r="Q91" s="222"/>
      <c r="R91" s="222"/>
      <c r="Y91" s="303"/>
      <c r="Z91" s="304"/>
      <c r="AA91" s="304"/>
      <c r="AB91" s="304"/>
      <c r="AC91" s="303"/>
      <c r="AP91" s="305"/>
      <c r="AQ91" s="305"/>
      <c r="AR91" s="305"/>
      <c r="AS91" s="306"/>
      <c r="AT91" s="307"/>
    </row>
    <row r="92" ht="18.0" customHeight="1">
      <c r="H92" s="302"/>
      <c r="I92" s="302"/>
      <c r="L92" s="222"/>
      <c r="M92" s="222"/>
      <c r="N92" s="222"/>
      <c r="O92" s="222"/>
      <c r="P92" s="222"/>
      <c r="Q92" s="222"/>
      <c r="R92" s="222"/>
      <c r="Y92" s="303"/>
      <c r="Z92" s="304"/>
      <c r="AA92" s="304"/>
      <c r="AB92" s="304"/>
      <c r="AC92" s="303"/>
      <c r="AP92" s="305"/>
      <c r="AQ92" s="305"/>
      <c r="AR92" s="305"/>
      <c r="AS92" s="306"/>
      <c r="AT92" s="307"/>
    </row>
    <row r="93" ht="18.0" customHeight="1">
      <c r="H93" s="302"/>
      <c r="I93" s="302"/>
      <c r="L93" s="222"/>
      <c r="M93" s="222"/>
      <c r="N93" s="222"/>
      <c r="O93" s="222"/>
      <c r="P93" s="222"/>
      <c r="Q93" s="222"/>
      <c r="R93" s="222"/>
      <c r="Y93" s="303"/>
      <c r="Z93" s="304"/>
      <c r="AA93" s="304"/>
      <c r="AB93" s="304"/>
      <c r="AC93" s="303"/>
      <c r="AP93" s="305"/>
      <c r="AQ93" s="305"/>
      <c r="AR93" s="305"/>
      <c r="AS93" s="306"/>
      <c r="AT93" s="307"/>
    </row>
    <row r="94" ht="18.0" customHeight="1">
      <c r="H94" s="302"/>
      <c r="I94" s="302"/>
      <c r="L94" s="222"/>
      <c r="M94" s="222"/>
      <c r="N94" s="222"/>
      <c r="O94" s="222"/>
      <c r="P94" s="222"/>
      <c r="Q94" s="222"/>
      <c r="R94" s="222"/>
      <c r="Y94" s="303"/>
      <c r="Z94" s="304"/>
      <c r="AA94" s="304"/>
      <c r="AB94" s="304"/>
      <c r="AC94" s="303"/>
      <c r="AP94" s="305"/>
      <c r="AQ94" s="305"/>
      <c r="AR94" s="305"/>
      <c r="AS94" s="306"/>
      <c r="AT94" s="307"/>
    </row>
    <row r="95" ht="18.0" customHeight="1">
      <c r="H95" s="302"/>
      <c r="I95" s="302"/>
      <c r="L95" s="222"/>
      <c r="M95" s="222"/>
      <c r="N95" s="222"/>
      <c r="O95" s="222"/>
      <c r="P95" s="222"/>
      <c r="Q95" s="222"/>
      <c r="R95" s="222"/>
      <c r="Y95" s="303"/>
      <c r="Z95" s="304"/>
      <c r="AA95" s="304"/>
      <c r="AB95" s="304"/>
      <c r="AC95" s="303"/>
      <c r="AP95" s="305"/>
      <c r="AQ95" s="305"/>
      <c r="AR95" s="305"/>
      <c r="AS95" s="306"/>
      <c r="AT95" s="307"/>
    </row>
    <row r="96" ht="18.0" customHeight="1">
      <c r="H96" s="302"/>
      <c r="I96" s="302"/>
      <c r="L96" s="222"/>
      <c r="M96" s="222"/>
      <c r="N96" s="222"/>
      <c r="O96" s="222"/>
      <c r="P96" s="222"/>
      <c r="Q96" s="222"/>
      <c r="R96" s="222"/>
      <c r="Y96" s="303"/>
      <c r="Z96" s="304"/>
      <c r="AA96" s="304"/>
      <c r="AB96" s="304"/>
      <c r="AC96" s="303"/>
      <c r="AP96" s="305"/>
      <c r="AQ96" s="305"/>
      <c r="AR96" s="305"/>
      <c r="AS96" s="306"/>
      <c r="AT96" s="307"/>
    </row>
    <row r="97" ht="18.0" customHeight="1">
      <c r="H97" s="302"/>
      <c r="I97" s="302"/>
      <c r="L97" s="222"/>
      <c r="M97" s="222"/>
      <c r="N97" s="222"/>
      <c r="O97" s="222"/>
      <c r="P97" s="222"/>
      <c r="Q97" s="222"/>
      <c r="R97" s="222"/>
      <c r="Y97" s="303"/>
      <c r="Z97" s="304"/>
      <c r="AA97" s="304"/>
      <c r="AB97" s="304"/>
      <c r="AC97" s="303"/>
      <c r="AP97" s="305"/>
      <c r="AQ97" s="305"/>
      <c r="AR97" s="305"/>
      <c r="AS97" s="306"/>
      <c r="AT97" s="307"/>
    </row>
    <row r="98" ht="18.0" customHeight="1">
      <c r="H98" s="302"/>
      <c r="I98" s="302"/>
      <c r="L98" s="222"/>
      <c r="M98" s="222"/>
      <c r="N98" s="222"/>
      <c r="O98" s="222"/>
      <c r="P98" s="222"/>
      <c r="Q98" s="222"/>
      <c r="R98" s="222"/>
      <c r="Y98" s="303"/>
      <c r="Z98" s="304"/>
      <c r="AA98" s="304"/>
      <c r="AB98" s="304"/>
      <c r="AC98" s="303"/>
      <c r="AP98" s="305"/>
      <c r="AQ98" s="305"/>
      <c r="AR98" s="305"/>
      <c r="AS98" s="306"/>
      <c r="AT98" s="307"/>
    </row>
    <row r="99" ht="18.0" customHeight="1">
      <c r="H99" s="302"/>
      <c r="I99" s="302"/>
      <c r="L99" s="222"/>
      <c r="M99" s="222"/>
      <c r="N99" s="222"/>
      <c r="O99" s="222"/>
      <c r="P99" s="222"/>
      <c r="Q99" s="222"/>
      <c r="R99" s="222"/>
      <c r="Y99" s="303"/>
      <c r="Z99" s="304"/>
      <c r="AA99" s="304"/>
      <c r="AB99" s="304"/>
      <c r="AC99" s="303"/>
      <c r="AP99" s="305"/>
      <c r="AQ99" s="305"/>
      <c r="AR99" s="305"/>
      <c r="AS99" s="306"/>
      <c r="AT99" s="307"/>
    </row>
    <row r="100" ht="18.0" customHeight="1">
      <c r="H100" s="302"/>
      <c r="I100" s="302"/>
      <c r="L100" s="222"/>
      <c r="M100" s="222"/>
      <c r="N100" s="222"/>
      <c r="O100" s="222"/>
      <c r="P100" s="222"/>
      <c r="Q100" s="222"/>
      <c r="R100" s="222"/>
      <c r="Y100" s="303"/>
      <c r="Z100" s="304"/>
      <c r="AA100" s="304"/>
      <c r="AB100" s="304"/>
      <c r="AC100" s="303"/>
      <c r="AP100" s="305"/>
      <c r="AQ100" s="305"/>
      <c r="AR100" s="305"/>
      <c r="AS100" s="306"/>
      <c r="AT100" s="307"/>
    </row>
    <row r="101" ht="18.0" customHeight="1">
      <c r="H101" s="302"/>
      <c r="I101" s="302"/>
      <c r="L101" s="222"/>
      <c r="M101" s="222"/>
      <c r="N101" s="222"/>
      <c r="O101" s="222"/>
      <c r="P101" s="222"/>
      <c r="Q101" s="222"/>
      <c r="R101" s="222"/>
      <c r="Y101" s="303"/>
      <c r="Z101" s="304"/>
      <c r="AA101" s="304"/>
      <c r="AB101" s="304"/>
      <c r="AC101" s="303"/>
      <c r="AP101" s="305"/>
      <c r="AQ101" s="305"/>
      <c r="AR101" s="305"/>
      <c r="AS101" s="306"/>
      <c r="AT101" s="307"/>
    </row>
    <row r="102" ht="18.0" customHeight="1">
      <c r="H102" s="302"/>
      <c r="I102" s="302"/>
      <c r="L102" s="222"/>
      <c r="M102" s="222"/>
      <c r="N102" s="222"/>
      <c r="O102" s="222"/>
      <c r="P102" s="222"/>
      <c r="Q102" s="222"/>
      <c r="R102" s="222"/>
      <c r="Y102" s="303"/>
      <c r="Z102" s="304"/>
      <c r="AA102" s="304"/>
      <c r="AB102" s="304"/>
      <c r="AC102" s="303"/>
      <c r="AP102" s="305"/>
      <c r="AQ102" s="305"/>
      <c r="AR102" s="305"/>
      <c r="AS102" s="306"/>
      <c r="AT102" s="307"/>
    </row>
    <row r="103" ht="18.0" customHeight="1">
      <c r="H103" s="302"/>
      <c r="I103" s="302"/>
      <c r="L103" s="222"/>
      <c r="M103" s="222"/>
      <c r="N103" s="222"/>
      <c r="O103" s="222"/>
      <c r="P103" s="222"/>
      <c r="Q103" s="222"/>
      <c r="R103" s="222"/>
      <c r="Y103" s="303"/>
      <c r="Z103" s="304"/>
      <c r="AA103" s="304"/>
      <c r="AB103" s="304"/>
      <c r="AC103" s="303"/>
      <c r="AP103" s="305"/>
      <c r="AQ103" s="305"/>
      <c r="AR103" s="305"/>
      <c r="AS103" s="306"/>
      <c r="AT103" s="307"/>
    </row>
    <row r="104" ht="18.0" customHeight="1">
      <c r="H104" s="302"/>
      <c r="I104" s="302"/>
      <c r="L104" s="222"/>
      <c r="M104" s="222"/>
      <c r="N104" s="222"/>
      <c r="O104" s="222"/>
      <c r="P104" s="222"/>
      <c r="Q104" s="222"/>
      <c r="R104" s="222"/>
      <c r="Y104" s="303"/>
      <c r="Z104" s="304"/>
      <c r="AA104" s="304"/>
      <c r="AB104" s="304"/>
      <c r="AC104" s="303"/>
      <c r="AP104" s="305"/>
      <c r="AQ104" s="305"/>
      <c r="AR104" s="305"/>
      <c r="AS104" s="306"/>
      <c r="AT104" s="307"/>
    </row>
    <row r="105" ht="18.0" customHeight="1">
      <c r="H105" s="302"/>
      <c r="I105" s="302"/>
      <c r="L105" s="222"/>
      <c r="M105" s="222"/>
      <c r="N105" s="222"/>
      <c r="O105" s="222"/>
      <c r="P105" s="222"/>
      <c r="Q105" s="222"/>
      <c r="R105" s="222"/>
      <c r="Y105" s="303"/>
      <c r="Z105" s="304"/>
      <c r="AA105" s="304"/>
      <c r="AB105" s="304"/>
      <c r="AC105" s="303"/>
      <c r="AP105" s="305"/>
      <c r="AQ105" s="305"/>
      <c r="AR105" s="305"/>
      <c r="AS105" s="306"/>
      <c r="AT105" s="307"/>
    </row>
    <row r="106" ht="18.0" customHeight="1">
      <c r="H106" s="302"/>
      <c r="I106" s="302"/>
      <c r="L106" s="222"/>
      <c r="M106" s="222"/>
      <c r="N106" s="222"/>
      <c r="O106" s="222"/>
      <c r="P106" s="222"/>
      <c r="Q106" s="222"/>
      <c r="R106" s="222"/>
      <c r="Y106" s="303"/>
      <c r="Z106" s="304"/>
      <c r="AA106" s="304"/>
      <c r="AB106" s="304"/>
      <c r="AC106" s="303"/>
      <c r="AP106" s="305"/>
      <c r="AQ106" s="305"/>
      <c r="AR106" s="305"/>
      <c r="AS106" s="306"/>
      <c r="AT106" s="307"/>
    </row>
    <row r="107" ht="18.0" customHeight="1">
      <c r="H107" s="302"/>
      <c r="I107" s="302"/>
      <c r="L107" s="222"/>
      <c r="M107" s="222"/>
      <c r="N107" s="222"/>
      <c r="O107" s="222"/>
      <c r="P107" s="222"/>
      <c r="Q107" s="222"/>
      <c r="R107" s="222"/>
      <c r="Y107" s="303"/>
      <c r="Z107" s="304"/>
      <c r="AA107" s="304"/>
      <c r="AB107" s="304"/>
      <c r="AC107" s="303"/>
      <c r="AP107" s="305"/>
      <c r="AQ107" s="305"/>
      <c r="AR107" s="305"/>
      <c r="AS107" s="306"/>
      <c r="AT107" s="307"/>
    </row>
    <row r="108" ht="18.0" customHeight="1">
      <c r="H108" s="302"/>
      <c r="I108" s="302"/>
      <c r="L108" s="222"/>
      <c r="M108" s="222"/>
      <c r="N108" s="222"/>
      <c r="O108" s="222"/>
      <c r="P108" s="222"/>
      <c r="Q108" s="222"/>
      <c r="R108" s="222"/>
      <c r="Y108" s="303"/>
      <c r="Z108" s="304"/>
      <c r="AA108" s="304"/>
      <c r="AB108" s="304"/>
      <c r="AC108" s="303"/>
      <c r="AP108" s="305"/>
      <c r="AQ108" s="305"/>
      <c r="AR108" s="305"/>
      <c r="AS108" s="306"/>
      <c r="AT108" s="307"/>
    </row>
    <row r="109" ht="18.0" customHeight="1">
      <c r="H109" s="302"/>
      <c r="I109" s="302"/>
      <c r="L109" s="222"/>
      <c r="M109" s="222"/>
      <c r="N109" s="222"/>
      <c r="O109" s="222"/>
      <c r="P109" s="222"/>
      <c r="Q109" s="222"/>
      <c r="R109" s="222"/>
      <c r="Y109" s="303"/>
      <c r="Z109" s="304"/>
      <c r="AA109" s="304"/>
      <c r="AB109" s="304"/>
      <c r="AC109" s="303"/>
      <c r="AP109" s="305"/>
      <c r="AQ109" s="305"/>
      <c r="AR109" s="305"/>
      <c r="AS109" s="306"/>
      <c r="AT109" s="307"/>
    </row>
    <row r="110" ht="18.0" customHeight="1">
      <c r="H110" s="302"/>
      <c r="I110" s="302"/>
      <c r="L110" s="222"/>
      <c r="M110" s="222"/>
      <c r="N110" s="222"/>
      <c r="O110" s="222"/>
      <c r="P110" s="222"/>
      <c r="Q110" s="222"/>
      <c r="R110" s="222"/>
      <c r="Y110" s="303"/>
      <c r="Z110" s="304"/>
      <c r="AA110" s="304"/>
      <c r="AB110" s="304"/>
      <c r="AC110" s="303"/>
      <c r="AP110" s="305"/>
      <c r="AQ110" s="305"/>
      <c r="AR110" s="305"/>
      <c r="AS110" s="306"/>
      <c r="AT110" s="307"/>
    </row>
    <row r="111" ht="18.0" customHeight="1">
      <c r="H111" s="302"/>
      <c r="I111" s="302"/>
      <c r="L111" s="222"/>
      <c r="M111" s="222"/>
      <c r="N111" s="222"/>
      <c r="O111" s="222"/>
      <c r="P111" s="222"/>
      <c r="Q111" s="222"/>
      <c r="R111" s="222"/>
      <c r="Y111" s="303"/>
      <c r="Z111" s="304"/>
      <c r="AA111" s="304"/>
      <c r="AB111" s="304"/>
      <c r="AC111" s="303"/>
      <c r="AP111" s="305"/>
      <c r="AQ111" s="305"/>
      <c r="AR111" s="305"/>
      <c r="AS111" s="306"/>
      <c r="AT111" s="307"/>
    </row>
    <row r="112" ht="18.0" customHeight="1">
      <c r="H112" s="302"/>
      <c r="I112" s="302"/>
      <c r="L112" s="222"/>
      <c r="M112" s="222"/>
      <c r="N112" s="222"/>
      <c r="O112" s="222"/>
      <c r="P112" s="222"/>
      <c r="Q112" s="222"/>
      <c r="R112" s="222"/>
      <c r="Y112" s="303"/>
      <c r="Z112" s="304"/>
      <c r="AA112" s="304"/>
      <c r="AB112" s="304"/>
      <c r="AC112" s="303"/>
      <c r="AP112" s="305"/>
      <c r="AQ112" s="305"/>
      <c r="AR112" s="305"/>
      <c r="AS112" s="306"/>
      <c r="AT112" s="307"/>
    </row>
    <row r="113" ht="18.0" customHeight="1">
      <c r="H113" s="302"/>
      <c r="I113" s="302"/>
      <c r="L113" s="222"/>
      <c r="M113" s="222"/>
      <c r="N113" s="222"/>
      <c r="O113" s="222"/>
      <c r="P113" s="222"/>
      <c r="Q113" s="222"/>
      <c r="R113" s="222"/>
      <c r="Y113" s="303"/>
      <c r="Z113" s="304"/>
      <c r="AA113" s="304"/>
      <c r="AB113" s="304"/>
      <c r="AC113" s="303"/>
      <c r="AP113" s="305"/>
      <c r="AQ113" s="305"/>
      <c r="AR113" s="305"/>
      <c r="AS113" s="306"/>
      <c r="AT113" s="307"/>
    </row>
    <row r="114" ht="18.0" customHeight="1">
      <c r="H114" s="302"/>
      <c r="I114" s="302"/>
      <c r="L114" s="222"/>
      <c r="M114" s="222"/>
      <c r="N114" s="222"/>
      <c r="O114" s="222"/>
      <c r="P114" s="222"/>
      <c r="Q114" s="222"/>
      <c r="R114" s="222"/>
      <c r="Y114" s="303"/>
      <c r="Z114" s="304"/>
      <c r="AA114" s="304"/>
      <c r="AB114" s="304"/>
      <c r="AC114" s="303"/>
      <c r="AP114" s="305"/>
      <c r="AQ114" s="305"/>
      <c r="AR114" s="305"/>
      <c r="AS114" s="306"/>
      <c r="AT114" s="307"/>
    </row>
    <row r="115" ht="18.0" customHeight="1">
      <c r="H115" s="302"/>
      <c r="I115" s="302"/>
      <c r="L115" s="222"/>
      <c r="M115" s="222"/>
      <c r="N115" s="222"/>
      <c r="O115" s="222"/>
      <c r="P115" s="222"/>
      <c r="Q115" s="222"/>
      <c r="R115" s="222"/>
      <c r="Y115" s="303"/>
      <c r="Z115" s="304"/>
      <c r="AA115" s="304"/>
      <c r="AB115" s="304"/>
      <c r="AC115" s="303"/>
      <c r="AP115" s="305"/>
      <c r="AQ115" s="305"/>
      <c r="AR115" s="305"/>
      <c r="AS115" s="306"/>
      <c r="AT115" s="307"/>
    </row>
    <row r="116" ht="18.0" customHeight="1">
      <c r="H116" s="302"/>
      <c r="I116" s="302"/>
      <c r="L116" s="222"/>
      <c r="M116" s="222"/>
      <c r="N116" s="222"/>
      <c r="O116" s="222"/>
      <c r="P116" s="222"/>
      <c r="Q116" s="222"/>
      <c r="R116" s="222"/>
      <c r="Y116" s="303"/>
      <c r="Z116" s="304"/>
      <c r="AA116" s="304"/>
      <c r="AB116" s="304"/>
      <c r="AC116" s="303"/>
      <c r="AP116" s="305"/>
      <c r="AQ116" s="305"/>
      <c r="AR116" s="305"/>
      <c r="AS116" s="306"/>
      <c r="AT116" s="307"/>
    </row>
    <row r="117" ht="18.0" customHeight="1">
      <c r="H117" s="302"/>
      <c r="I117" s="302"/>
      <c r="L117" s="222"/>
      <c r="M117" s="222"/>
      <c r="N117" s="222"/>
      <c r="O117" s="222"/>
      <c r="P117" s="222"/>
      <c r="Q117" s="222"/>
      <c r="R117" s="222"/>
      <c r="Y117" s="303"/>
      <c r="Z117" s="304"/>
      <c r="AA117" s="304"/>
      <c r="AB117" s="304"/>
      <c r="AC117" s="303"/>
      <c r="AP117" s="305"/>
      <c r="AQ117" s="305"/>
      <c r="AR117" s="305"/>
      <c r="AS117" s="306"/>
      <c r="AT117" s="307"/>
    </row>
    <row r="118" ht="18.0" customHeight="1">
      <c r="H118" s="302"/>
      <c r="I118" s="302"/>
      <c r="L118" s="222"/>
      <c r="M118" s="222"/>
      <c r="N118" s="222"/>
      <c r="O118" s="222"/>
      <c r="P118" s="222"/>
      <c r="Q118" s="222"/>
      <c r="R118" s="222"/>
      <c r="Y118" s="303"/>
      <c r="Z118" s="304"/>
      <c r="AA118" s="304"/>
      <c r="AB118" s="304"/>
      <c r="AC118" s="303"/>
      <c r="AP118" s="305"/>
      <c r="AQ118" s="305"/>
      <c r="AR118" s="305"/>
      <c r="AS118" s="306"/>
      <c r="AT118" s="307"/>
    </row>
    <row r="119" ht="18.0" customHeight="1">
      <c r="H119" s="302"/>
      <c r="I119" s="302"/>
      <c r="L119" s="222"/>
      <c r="M119" s="222"/>
      <c r="N119" s="222"/>
      <c r="O119" s="222"/>
      <c r="P119" s="222"/>
      <c r="Q119" s="222"/>
      <c r="R119" s="222"/>
      <c r="Y119" s="303"/>
      <c r="Z119" s="304"/>
      <c r="AA119" s="304"/>
      <c r="AB119" s="304"/>
      <c r="AC119" s="303"/>
      <c r="AP119" s="305"/>
      <c r="AQ119" s="305"/>
      <c r="AR119" s="305"/>
      <c r="AS119" s="306"/>
      <c r="AT119" s="307"/>
    </row>
    <row r="120" ht="18.0" customHeight="1">
      <c r="H120" s="302"/>
      <c r="I120" s="302"/>
      <c r="L120" s="222"/>
      <c r="M120" s="222"/>
      <c r="N120" s="222"/>
      <c r="O120" s="222"/>
      <c r="P120" s="222"/>
      <c r="Q120" s="222"/>
      <c r="R120" s="222"/>
      <c r="Y120" s="303"/>
      <c r="Z120" s="304"/>
      <c r="AA120" s="304"/>
      <c r="AB120" s="304"/>
      <c r="AC120" s="303"/>
      <c r="AP120" s="305"/>
      <c r="AQ120" s="305"/>
      <c r="AR120" s="305"/>
      <c r="AS120" s="306"/>
      <c r="AT120" s="307"/>
    </row>
    <row r="121" ht="18.0" customHeight="1">
      <c r="H121" s="302"/>
      <c r="I121" s="302"/>
      <c r="L121" s="222"/>
      <c r="M121" s="222"/>
      <c r="N121" s="222"/>
      <c r="O121" s="222"/>
      <c r="P121" s="222"/>
      <c r="Q121" s="222"/>
      <c r="R121" s="222"/>
      <c r="Y121" s="303"/>
      <c r="Z121" s="304"/>
      <c r="AA121" s="304"/>
      <c r="AB121" s="304"/>
      <c r="AC121" s="303"/>
      <c r="AP121" s="305"/>
      <c r="AQ121" s="305"/>
      <c r="AR121" s="305"/>
      <c r="AS121" s="306"/>
      <c r="AT121" s="307"/>
    </row>
    <row r="122" ht="18.0" customHeight="1">
      <c r="H122" s="302"/>
      <c r="I122" s="302"/>
      <c r="L122" s="222"/>
      <c r="M122" s="222"/>
      <c r="N122" s="222"/>
      <c r="O122" s="222"/>
      <c r="P122" s="222"/>
      <c r="Q122" s="222"/>
      <c r="R122" s="222"/>
      <c r="Y122" s="303"/>
      <c r="Z122" s="304"/>
      <c r="AA122" s="304"/>
      <c r="AB122" s="304"/>
      <c r="AC122" s="303"/>
      <c r="AP122" s="305"/>
      <c r="AQ122" s="305"/>
      <c r="AR122" s="305"/>
      <c r="AS122" s="306"/>
      <c r="AT122" s="307"/>
    </row>
    <row r="123" ht="18.0" customHeight="1">
      <c r="H123" s="302"/>
      <c r="I123" s="302"/>
      <c r="L123" s="222"/>
      <c r="M123" s="222"/>
      <c r="N123" s="222"/>
      <c r="O123" s="222"/>
      <c r="P123" s="222"/>
      <c r="Q123" s="222"/>
      <c r="R123" s="222"/>
      <c r="Y123" s="303"/>
      <c r="Z123" s="304"/>
      <c r="AA123" s="304"/>
      <c r="AB123" s="304"/>
      <c r="AC123" s="303"/>
      <c r="AP123" s="305"/>
      <c r="AQ123" s="305"/>
      <c r="AR123" s="305"/>
      <c r="AS123" s="306"/>
      <c r="AT123" s="307"/>
    </row>
    <row r="124" ht="18.0" customHeight="1">
      <c r="H124" s="302"/>
      <c r="I124" s="302"/>
      <c r="L124" s="222"/>
      <c r="M124" s="222"/>
      <c r="N124" s="222"/>
      <c r="O124" s="222"/>
      <c r="P124" s="222"/>
      <c r="Q124" s="222"/>
      <c r="R124" s="222"/>
      <c r="Y124" s="303"/>
      <c r="Z124" s="304"/>
      <c r="AA124" s="304"/>
      <c r="AB124" s="304"/>
      <c r="AC124" s="303"/>
      <c r="AP124" s="305"/>
      <c r="AQ124" s="305"/>
      <c r="AR124" s="305"/>
      <c r="AS124" s="306"/>
      <c r="AT124" s="307"/>
    </row>
    <row r="125" ht="18.0" customHeight="1">
      <c r="H125" s="302"/>
      <c r="I125" s="302"/>
      <c r="L125" s="222"/>
      <c r="M125" s="222"/>
      <c r="N125" s="222"/>
      <c r="O125" s="222"/>
      <c r="P125" s="222"/>
      <c r="Q125" s="222"/>
      <c r="R125" s="222"/>
      <c r="Y125" s="303"/>
      <c r="Z125" s="304"/>
      <c r="AA125" s="304"/>
      <c r="AB125" s="304"/>
      <c r="AC125" s="303"/>
      <c r="AP125" s="305"/>
      <c r="AQ125" s="305"/>
      <c r="AR125" s="305"/>
      <c r="AS125" s="306"/>
      <c r="AT125" s="307"/>
    </row>
    <row r="126" ht="18.0" customHeight="1">
      <c r="H126" s="302"/>
      <c r="I126" s="302"/>
      <c r="L126" s="222"/>
      <c r="M126" s="222"/>
      <c r="N126" s="222"/>
      <c r="O126" s="222"/>
      <c r="P126" s="222"/>
      <c r="Q126" s="222"/>
      <c r="R126" s="222"/>
      <c r="Y126" s="303"/>
      <c r="Z126" s="304"/>
      <c r="AA126" s="304"/>
      <c r="AB126" s="304"/>
      <c r="AC126" s="303"/>
      <c r="AP126" s="305"/>
      <c r="AQ126" s="305"/>
      <c r="AR126" s="305"/>
      <c r="AS126" s="306"/>
      <c r="AT126" s="307"/>
    </row>
    <row r="127" ht="18.0" customHeight="1">
      <c r="H127" s="302"/>
      <c r="I127" s="302"/>
      <c r="L127" s="222"/>
      <c r="M127" s="222"/>
      <c r="N127" s="222"/>
      <c r="O127" s="222"/>
      <c r="P127" s="222"/>
      <c r="Q127" s="222"/>
      <c r="R127" s="222"/>
      <c r="Y127" s="303"/>
      <c r="Z127" s="304"/>
      <c r="AA127" s="304"/>
      <c r="AB127" s="304"/>
      <c r="AC127" s="303"/>
      <c r="AP127" s="305"/>
      <c r="AQ127" s="305"/>
      <c r="AR127" s="305"/>
      <c r="AS127" s="306"/>
      <c r="AT127" s="307"/>
    </row>
    <row r="128" ht="18.0" customHeight="1">
      <c r="H128" s="302"/>
      <c r="I128" s="302"/>
      <c r="L128" s="222"/>
      <c r="M128" s="222"/>
      <c r="N128" s="222"/>
      <c r="O128" s="222"/>
      <c r="P128" s="222"/>
      <c r="Q128" s="222"/>
      <c r="R128" s="222"/>
      <c r="Y128" s="303"/>
      <c r="Z128" s="304"/>
      <c r="AA128" s="304"/>
      <c r="AB128" s="304"/>
      <c r="AC128" s="303"/>
      <c r="AP128" s="305"/>
      <c r="AQ128" s="305"/>
      <c r="AR128" s="305"/>
      <c r="AS128" s="306"/>
      <c r="AT128" s="307"/>
    </row>
    <row r="129" ht="18.0" customHeight="1">
      <c r="H129" s="302"/>
      <c r="I129" s="302"/>
      <c r="L129" s="222"/>
      <c r="M129" s="222"/>
      <c r="N129" s="222"/>
      <c r="O129" s="222"/>
      <c r="P129" s="222"/>
      <c r="Q129" s="222"/>
      <c r="R129" s="222"/>
      <c r="Y129" s="303"/>
      <c r="Z129" s="304"/>
      <c r="AA129" s="304"/>
      <c r="AB129" s="304"/>
      <c r="AC129" s="303"/>
      <c r="AP129" s="305"/>
      <c r="AQ129" s="305"/>
      <c r="AR129" s="305"/>
      <c r="AS129" s="306"/>
      <c r="AT129" s="307"/>
    </row>
    <row r="130" ht="18.0" customHeight="1">
      <c r="H130" s="302"/>
      <c r="I130" s="302"/>
      <c r="L130" s="222"/>
      <c r="M130" s="222"/>
      <c r="N130" s="222"/>
      <c r="O130" s="222"/>
      <c r="P130" s="222"/>
      <c r="Q130" s="222"/>
      <c r="R130" s="222"/>
      <c r="Y130" s="303"/>
      <c r="Z130" s="304"/>
      <c r="AA130" s="304"/>
      <c r="AB130" s="304"/>
      <c r="AC130" s="303"/>
      <c r="AP130" s="305"/>
      <c r="AQ130" s="305"/>
      <c r="AR130" s="305"/>
      <c r="AS130" s="306"/>
      <c r="AT130" s="307"/>
    </row>
    <row r="131" ht="18.0" customHeight="1">
      <c r="H131" s="302"/>
      <c r="I131" s="302"/>
      <c r="L131" s="222"/>
      <c r="M131" s="222"/>
      <c r="N131" s="222"/>
      <c r="O131" s="222"/>
      <c r="P131" s="222"/>
      <c r="Q131" s="222"/>
      <c r="R131" s="222"/>
      <c r="Y131" s="303"/>
      <c r="Z131" s="304"/>
      <c r="AA131" s="304"/>
      <c r="AB131" s="304"/>
      <c r="AC131" s="303"/>
      <c r="AP131" s="305"/>
      <c r="AQ131" s="305"/>
      <c r="AR131" s="305"/>
      <c r="AS131" s="306"/>
      <c r="AT131" s="307"/>
    </row>
    <row r="132" ht="18.0" customHeight="1">
      <c r="H132" s="302"/>
      <c r="I132" s="302"/>
      <c r="L132" s="222"/>
      <c r="M132" s="222"/>
      <c r="N132" s="222"/>
      <c r="O132" s="222"/>
      <c r="P132" s="222"/>
      <c r="Q132" s="222"/>
      <c r="R132" s="222"/>
      <c r="Y132" s="303"/>
      <c r="Z132" s="304"/>
      <c r="AA132" s="304"/>
      <c r="AB132" s="304"/>
      <c r="AC132" s="303"/>
      <c r="AP132" s="305"/>
      <c r="AQ132" s="305"/>
      <c r="AR132" s="305"/>
      <c r="AS132" s="306"/>
      <c r="AT132" s="307"/>
    </row>
    <row r="133" ht="18.0" customHeight="1">
      <c r="H133" s="302"/>
      <c r="I133" s="302"/>
      <c r="L133" s="222"/>
      <c r="M133" s="222"/>
      <c r="N133" s="222"/>
      <c r="O133" s="222"/>
      <c r="P133" s="222"/>
      <c r="Q133" s="222"/>
      <c r="R133" s="222"/>
      <c r="Y133" s="303"/>
      <c r="Z133" s="304"/>
      <c r="AA133" s="304"/>
      <c r="AB133" s="304"/>
      <c r="AC133" s="303"/>
      <c r="AP133" s="305"/>
      <c r="AQ133" s="305"/>
      <c r="AR133" s="305"/>
      <c r="AS133" s="306"/>
      <c r="AT133" s="307"/>
    </row>
    <row r="134" ht="18.0" customHeight="1">
      <c r="H134" s="302"/>
      <c r="I134" s="302"/>
      <c r="L134" s="222"/>
      <c r="M134" s="222"/>
      <c r="N134" s="222"/>
      <c r="O134" s="222"/>
      <c r="P134" s="222"/>
      <c r="Q134" s="222"/>
      <c r="R134" s="222"/>
      <c r="Y134" s="303"/>
      <c r="Z134" s="304"/>
      <c r="AA134" s="304"/>
      <c r="AB134" s="304"/>
      <c r="AC134" s="303"/>
      <c r="AP134" s="305"/>
      <c r="AQ134" s="305"/>
      <c r="AR134" s="305"/>
      <c r="AS134" s="306"/>
      <c r="AT134" s="307"/>
    </row>
    <row r="135" ht="18.0" customHeight="1">
      <c r="H135" s="302"/>
      <c r="I135" s="302"/>
      <c r="L135" s="222"/>
      <c r="M135" s="222"/>
      <c r="N135" s="222"/>
      <c r="O135" s="222"/>
      <c r="P135" s="222"/>
      <c r="Q135" s="222"/>
      <c r="R135" s="222"/>
      <c r="Y135" s="303"/>
      <c r="Z135" s="304"/>
      <c r="AA135" s="304"/>
      <c r="AB135" s="304"/>
      <c r="AC135" s="303"/>
      <c r="AP135" s="305"/>
      <c r="AQ135" s="305"/>
      <c r="AR135" s="305"/>
      <c r="AS135" s="306"/>
      <c r="AT135" s="307"/>
    </row>
    <row r="136" ht="18.0" customHeight="1">
      <c r="H136" s="302"/>
      <c r="I136" s="302"/>
      <c r="L136" s="222"/>
      <c r="M136" s="222"/>
      <c r="N136" s="222"/>
      <c r="O136" s="222"/>
      <c r="P136" s="222"/>
      <c r="Q136" s="222"/>
      <c r="R136" s="222"/>
      <c r="Y136" s="303"/>
      <c r="Z136" s="304"/>
      <c r="AA136" s="304"/>
      <c r="AB136" s="304"/>
      <c r="AC136" s="303"/>
      <c r="AP136" s="305"/>
      <c r="AQ136" s="305"/>
      <c r="AR136" s="305"/>
      <c r="AS136" s="306"/>
      <c r="AT136" s="307"/>
    </row>
    <row r="137" ht="18.0" customHeight="1">
      <c r="H137" s="302"/>
      <c r="I137" s="302"/>
      <c r="L137" s="222"/>
      <c r="M137" s="222"/>
      <c r="N137" s="222"/>
      <c r="O137" s="222"/>
      <c r="P137" s="222"/>
      <c r="Q137" s="222"/>
      <c r="R137" s="222"/>
      <c r="Y137" s="303"/>
      <c r="Z137" s="304"/>
      <c r="AA137" s="304"/>
      <c r="AB137" s="304"/>
      <c r="AC137" s="303"/>
      <c r="AP137" s="305"/>
      <c r="AQ137" s="305"/>
      <c r="AR137" s="305"/>
      <c r="AS137" s="306"/>
      <c r="AT137" s="307"/>
    </row>
    <row r="138" ht="18.0" customHeight="1">
      <c r="H138" s="302"/>
      <c r="I138" s="302"/>
      <c r="L138" s="222"/>
      <c r="M138" s="222"/>
      <c r="N138" s="222"/>
      <c r="O138" s="222"/>
      <c r="P138" s="222"/>
      <c r="Q138" s="222"/>
      <c r="R138" s="222"/>
      <c r="Y138" s="303"/>
      <c r="Z138" s="304"/>
      <c r="AA138" s="304"/>
      <c r="AB138" s="304"/>
      <c r="AC138" s="303"/>
      <c r="AP138" s="305"/>
      <c r="AQ138" s="305"/>
      <c r="AR138" s="305"/>
      <c r="AS138" s="306"/>
      <c r="AT138" s="307"/>
    </row>
    <row r="139" ht="18.0" customHeight="1">
      <c r="H139" s="302"/>
      <c r="I139" s="302"/>
      <c r="L139" s="222"/>
      <c r="M139" s="222"/>
      <c r="N139" s="222"/>
      <c r="O139" s="222"/>
      <c r="P139" s="222"/>
      <c r="Q139" s="222"/>
      <c r="R139" s="222"/>
      <c r="Y139" s="303"/>
      <c r="Z139" s="304"/>
      <c r="AA139" s="304"/>
      <c r="AB139" s="304"/>
      <c r="AC139" s="303"/>
      <c r="AP139" s="305"/>
      <c r="AQ139" s="305"/>
      <c r="AR139" s="305"/>
      <c r="AS139" s="306"/>
      <c r="AT139" s="307"/>
    </row>
    <row r="140" ht="18.0" customHeight="1">
      <c r="H140" s="302"/>
      <c r="I140" s="302"/>
      <c r="L140" s="222"/>
      <c r="M140" s="222"/>
      <c r="N140" s="222"/>
      <c r="O140" s="222"/>
      <c r="P140" s="222"/>
      <c r="Q140" s="222"/>
      <c r="R140" s="222"/>
      <c r="Y140" s="303"/>
      <c r="Z140" s="304"/>
      <c r="AA140" s="304"/>
      <c r="AB140" s="304"/>
      <c r="AC140" s="303"/>
      <c r="AP140" s="305"/>
      <c r="AQ140" s="305"/>
      <c r="AR140" s="305"/>
      <c r="AS140" s="306"/>
      <c r="AT140" s="307"/>
    </row>
    <row r="141" ht="18.0" customHeight="1">
      <c r="H141" s="302"/>
      <c r="I141" s="302"/>
      <c r="L141" s="222"/>
      <c r="M141" s="222"/>
      <c r="N141" s="222"/>
      <c r="O141" s="222"/>
      <c r="P141" s="222"/>
      <c r="Q141" s="222"/>
      <c r="R141" s="222"/>
      <c r="Y141" s="303"/>
      <c r="Z141" s="304"/>
      <c r="AA141" s="304"/>
      <c r="AB141" s="304"/>
      <c r="AC141" s="303"/>
      <c r="AP141" s="305"/>
      <c r="AQ141" s="305"/>
      <c r="AR141" s="305"/>
      <c r="AS141" s="306"/>
      <c r="AT141" s="307"/>
    </row>
    <row r="142" ht="18.0" customHeight="1">
      <c r="H142" s="302"/>
      <c r="I142" s="302"/>
      <c r="L142" s="222"/>
      <c r="M142" s="222"/>
      <c r="N142" s="222"/>
      <c r="O142" s="222"/>
      <c r="P142" s="222"/>
      <c r="Q142" s="222"/>
      <c r="R142" s="222"/>
      <c r="Y142" s="303"/>
      <c r="Z142" s="304"/>
      <c r="AA142" s="304"/>
      <c r="AB142" s="304"/>
      <c r="AC142" s="303"/>
      <c r="AP142" s="305"/>
      <c r="AQ142" s="305"/>
      <c r="AR142" s="305"/>
      <c r="AS142" s="306"/>
      <c r="AT142" s="307"/>
    </row>
    <row r="143" ht="18.0" customHeight="1">
      <c r="H143" s="302"/>
      <c r="I143" s="302"/>
      <c r="L143" s="222"/>
      <c r="M143" s="222"/>
      <c r="N143" s="222"/>
      <c r="O143" s="222"/>
      <c r="P143" s="222"/>
      <c r="Q143" s="222"/>
      <c r="R143" s="222"/>
      <c r="Y143" s="303"/>
      <c r="Z143" s="304"/>
      <c r="AA143" s="304"/>
      <c r="AB143" s="304"/>
      <c r="AC143" s="303"/>
      <c r="AP143" s="305"/>
      <c r="AQ143" s="305"/>
      <c r="AR143" s="305"/>
      <c r="AS143" s="306"/>
      <c r="AT143" s="307"/>
    </row>
    <row r="144" ht="18.0" customHeight="1">
      <c r="H144" s="302"/>
      <c r="I144" s="302"/>
      <c r="L144" s="222"/>
      <c r="M144" s="222"/>
      <c r="N144" s="222"/>
      <c r="O144" s="222"/>
      <c r="P144" s="222"/>
      <c r="Q144" s="222"/>
      <c r="R144" s="222"/>
      <c r="Y144" s="303"/>
      <c r="Z144" s="304"/>
      <c r="AA144" s="304"/>
      <c r="AB144" s="304"/>
      <c r="AC144" s="303"/>
      <c r="AP144" s="305"/>
      <c r="AQ144" s="305"/>
      <c r="AR144" s="305"/>
      <c r="AS144" s="306"/>
      <c r="AT144" s="307"/>
    </row>
    <row r="145" ht="18.0" customHeight="1">
      <c r="H145" s="302"/>
      <c r="I145" s="302"/>
      <c r="L145" s="222"/>
      <c r="M145" s="222"/>
      <c r="N145" s="222"/>
      <c r="O145" s="222"/>
      <c r="P145" s="222"/>
      <c r="Q145" s="222"/>
      <c r="R145" s="222"/>
      <c r="Y145" s="303"/>
      <c r="Z145" s="304"/>
      <c r="AA145" s="304"/>
      <c r="AB145" s="304"/>
      <c r="AC145" s="303"/>
      <c r="AP145" s="305"/>
      <c r="AQ145" s="305"/>
      <c r="AR145" s="305"/>
      <c r="AS145" s="306"/>
      <c r="AT145" s="307"/>
    </row>
    <row r="146" ht="18.0" customHeight="1">
      <c r="H146" s="302"/>
      <c r="I146" s="302"/>
      <c r="L146" s="222"/>
      <c r="M146" s="222"/>
      <c r="N146" s="222"/>
      <c r="O146" s="222"/>
      <c r="P146" s="222"/>
      <c r="Q146" s="222"/>
      <c r="R146" s="222"/>
      <c r="Y146" s="303"/>
      <c r="Z146" s="304"/>
      <c r="AA146" s="304"/>
      <c r="AB146" s="304"/>
      <c r="AC146" s="303"/>
      <c r="AP146" s="305"/>
      <c r="AQ146" s="305"/>
      <c r="AR146" s="305"/>
      <c r="AS146" s="306"/>
      <c r="AT146" s="307"/>
    </row>
    <row r="147" ht="18.0" customHeight="1">
      <c r="H147" s="302"/>
      <c r="I147" s="302"/>
      <c r="L147" s="222"/>
      <c r="M147" s="222"/>
      <c r="N147" s="222"/>
      <c r="O147" s="222"/>
      <c r="P147" s="222"/>
      <c r="Q147" s="222"/>
      <c r="R147" s="222"/>
      <c r="Y147" s="303"/>
      <c r="Z147" s="304"/>
      <c r="AA147" s="304"/>
      <c r="AB147" s="304"/>
      <c r="AC147" s="303"/>
      <c r="AP147" s="305"/>
      <c r="AQ147" s="305"/>
      <c r="AR147" s="305"/>
      <c r="AS147" s="306"/>
      <c r="AT147" s="307"/>
    </row>
    <row r="148" ht="18.0" customHeight="1">
      <c r="H148" s="302"/>
      <c r="I148" s="302"/>
      <c r="L148" s="222"/>
      <c r="M148" s="222"/>
      <c r="N148" s="222"/>
      <c r="O148" s="222"/>
      <c r="P148" s="222"/>
      <c r="Q148" s="222"/>
      <c r="R148" s="222"/>
      <c r="Y148" s="303"/>
      <c r="Z148" s="304"/>
      <c r="AA148" s="304"/>
      <c r="AB148" s="304"/>
      <c r="AC148" s="303"/>
      <c r="AP148" s="305"/>
      <c r="AQ148" s="305"/>
      <c r="AR148" s="305"/>
      <c r="AS148" s="306"/>
      <c r="AT148" s="307"/>
    </row>
    <row r="149" ht="18.0" customHeight="1">
      <c r="H149" s="302"/>
      <c r="I149" s="302"/>
      <c r="L149" s="222"/>
      <c r="M149" s="222"/>
      <c r="N149" s="222"/>
      <c r="O149" s="222"/>
      <c r="P149" s="222"/>
      <c r="Q149" s="222"/>
      <c r="R149" s="222"/>
      <c r="Y149" s="303"/>
      <c r="Z149" s="304"/>
      <c r="AA149" s="304"/>
      <c r="AB149" s="304"/>
      <c r="AC149" s="303"/>
      <c r="AP149" s="305"/>
      <c r="AQ149" s="305"/>
      <c r="AR149" s="305"/>
      <c r="AS149" s="306"/>
      <c r="AT149" s="307"/>
    </row>
    <row r="150" ht="18.0" customHeight="1">
      <c r="H150" s="302"/>
      <c r="I150" s="302"/>
      <c r="L150" s="222"/>
      <c r="M150" s="222"/>
      <c r="N150" s="222"/>
      <c r="O150" s="222"/>
      <c r="P150" s="222"/>
      <c r="Q150" s="222"/>
      <c r="R150" s="222"/>
      <c r="Y150" s="303"/>
      <c r="Z150" s="304"/>
      <c r="AA150" s="304"/>
      <c r="AB150" s="304"/>
      <c r="AC150" s="303"/>
      <c r="AP150" s="305"/>
      <c r="AQ150" s="305"/>
      <c r="AR150" s="305"/>
      <c r="AS150" s="306"/>
      <c r="AT150" s="307"/>
    </row>
    <row r="151" ht="18.0" customHeight="1">
      <c r="H151" s="302"/>
      <c r="I151" s="302"/>
      <c r="L151" s="222"/>
      <c r="M151" s="222"/>
      <c r="N151" s="222"/>
      <c r="O151" s="222"/>
      <c r="P151" s="222"/>
      <c r="Q151" s="222"/>
      <c r="R151" s="222"/>
      <c r="Y151" s="303"/>
      <c r="Z151" s="304"/>
      <c r="AA151" s="304"/>
      <c r="AB151" s="304"/>
      <c r="AC151" s="303"/>
      <c r="AP151" s="305"/>
      <c r="AQ151" s="305"/>
      <c r="AR151" s="305"/>
      <c r="AS151" s="306"/>
      <c r="AT151" s="307"/>
    </row>
    <row r="152" ht="18.0" customHeight="1">
      <c r="H152" s="302"/>
      <c r="I152" s="302"/>
      <c r="L152" s="222"/>
      <c r="M152" s="222"/>
      <c r="N152" s="222"/>
      <c r="O152" s="222"/>
      <c r="P152" s="222"/>
      <c r="Q152" s="222"/>
      <c r="R152" s="222"/>
      <c r="Y152" s="303"/>
      <c r="Z152" s="304"/>
      <c r="AA152" s="304"/>
      <c r="AB152" s="304"/>
      <c r="AC152" s="303"/>
      <c r="AP152" s="305"/>
      <c r="AQ152" s="305"/>
      <c r="AR152" s="305"/>
      <c r="AS152" s="306"/>
      <c r="AT152" s="307"/>
    </row>
    <row r="153" ht="18.0" customHeight="1">
      <c r="H153" s="302"/>
      <c r="I153" s="302"/>
      <c r="L153" s="222"/>
      <c r="M153" s="222"/>
      <c r="N153" s="222"/>
      <c r="O153" s="222"/>
      <c r="P153" s="222"/>
      <c r="Q153" s="222"/>
      <c r="R153" s="222"/>
      <c r="Y153" s="303"/>
      <c r="Z153" s="304"/>
      <c r="AA153" s="304"/>
      <c r="AB153" s="304"/>
      <c r="AC153" s="303"/>
      <c r="AP153" s="305"/>
      <c r="AQ153" s="305"/>
      <c r="AR153" s="305"/>
      <c r="AS153" s="306"/>
      <c r="AT153" s="307"/>
    </row>
    <row r="154" ht="18.0" customHeight="1">
      <c r="H154" s="302"/>
      <c r="I154" s="302"/>
      <c r="L154" s="222"/>
      <c r="M154" s="222"/>
      <c r="N154" s="222"/>
      <c r="O154" s="222"/>
      <c r="P154" s="222"/>
      <c r="Q154" s="222"/>
      <c r="R154" s="222"/>
      <c r="Y154" s="303"/>
      <c r="Z154" s="304"/>
      <c r="AA154" s="304"/>
      <c r="AB154" s="304"/>
      <c r="AC154" s="303"/>
      <c r="AP154" s="305"/>
      <c r="AQ154" s="305"/>
      <c r="AR154" s="305"/>
      <c r="AS154" s="306"/>
      <c r="AT154" s="307"/>
    </row>
    <row r="155" ht="18.0" customHeight="1">
      <c r="H155" s="302"/>
      <c r="I155" s="302"/>
      <c r="L155" s="222"/>
      <c r="M155" s="222"/>
      <c r="N155" s="222"/>
      <c r="O155" s="222"/>
      <c r="P155" s="222"/>
      <c r="Q155" s="222"/>
      <c r="R155" s="222"/>
      <c r="Y155" s="303"/>
      <c r="Z155" s="304"/>
      <c r="AA155" s="304"/>
      <c r="AB155" s="304"/>
      <c r="AC155" s="303"/>
      <c r="AP155" s="305"/>
      <c r="AQ155" s="305"/>
      <c r="AR155" s="305"/>
      <c r="AS155" s="306"/>
      <c r="AT155" s="307"/>
    </row>
    <row r="156" ht="18.0" customHeight="1">
      <c r="H156" s="302"/>
      <c r="I156" s="302"/>
      <c r="L156" s="222"/>
      <c r="M156" s="222"/>
      <c r="N156" s="222"/>
      <c r="O156" s="222"/>
      <c r="P156" s="222"/>
      <c r="Q156" s="222"/>
      <c r="R156" s="222"/>
      <c r="Y156" s="303"/>
      <c r="Z156" s="304"/>
      <c r="AA156" s="304"/>
      <c r="AB156" s="304"/>
      <c r="AC156" s="303"/>
      <c r="AP156" s="305"/>
      <c r="AQ156" s="305"/>
      <c r="AR156" s="305"/>
      <c r="AS156" s="306"/>
      <c r="AT156" s="307"/>
    </row>
    <row r="157" ht="18.0" customHeight="1">
      <c r="H157" s="302"/>
      <c r="I157" s="302"/>
      <c r="L157" s="222"/>
      <c r="M157" s="222"/>
      <c r="N157" s="222"/>
      <c r="O157" s="222"/>
      <c r="P157" s="222"/>
      <c r="Q157" s="222"/>
      <c r="R157" s="222"/>
      <c r="Y157" s="303"/>
      <c r="Z157" s="304"/>
      <c r="AA157" s="304"/>
      <c r="AB157" s="304"/>
      <c r="AC157" s="303"/>
      <c r="AP157" s="305"/>
      <c r="AQ157" s="305"/>
      <c r="AR157" s="305"/>
      <c r="AS157" s="306"/>
      <c r="AT157" s="307"/>
    </row>
    <row r="158" ht="18.0" customHeight="1">
      <c r="H158" s="302"/>
      <c r="I158" s="302"/>
      <c r="L158" s="222"/>
      <c r="M158" s="222"/>
      <c r="N158" s="222"/>
      <c r="O158" s="222"/>
      <c r="P158" s="222"/>
      <c r="Q158" s="222"/>
      <c r="R158" s="222"/>
      <c r="Y158" s="303"/>
      <c r="Z158" s="304"/>
      <c r="AA158" s="304"/>
      <c r="AB158" s="304"/>
      <c r="AC158" s="303"/>
      <c r="AP158" s="305"/>
      <c r="AQ158" s="305"/>
      <c r="AR158" s="305"/>
      <c r="AS158" s="306"/>
      <c r="AT158" s="307"/>
    </row>
    <row r="159" ht="18.0" customHeight="1">
      <c r="H159" s="302"/>
      <c r="I159" s="302"/>
      <c r="L159" s="222"/>
      <c r="M159" s="222"/>
      <c r="N159" s="222"/>
      <c r="O159" s="222"/>
      <c r="P159" s="222"/>
      <c r="Q159" s="222"/>
      <c r="R159" s="222"/>
      <c r="Y159" s="303"/>
      <c r="Z159" s="304"/>
      <c r="AA159" s="304"/>
      <c r="AB159" s="304"/>
      <c r="AC159" s="303"/>
      <c r="AP159" s="305"/>
      <c r="AQ159" s="305"/>
      <c r="AR159" s="305"/>
      <c r="AS159" s="306"/>
      <c r="AT159" s="307"/>
    </row>
    <row r="160" ht="18.0" customHeight="1">
      <c r="H160" s="302"/>
      <c r="I160" s="302"/>
      <c r="L160" s="222"/>
      <c r="M160" s="222"/>
      <c r="N160" s="222"/>
      <c r="O160" s="222"/>
      <c r="P160" s="222"/>
      <c r="Q160" s="222"/>
      <c r="R160" s="222"/>
      <c r="Y160" s="303"/>
      <c r="Z160" s="304"/>
      <c r="AA160" s="304"/>
      <c r="AB160" s="304"/>
      <c r="AC160" s="303"/>
      <c r="AP160" s="305"/>
      <c r="AQ160" s="305"/>
      <c r="AR160" s="305"/>
      <c r="AS160" s="306"/>
      <c r="AT160" s="307"/>
    </row>
    <row r="161" ht="18.0" customHeight="1">
      <c r="H161" s="302"/>
      <c r="I161" s="302"/>
      <c r="L161" s="222"/>
      <c r="M161" s="222"/>
      <c r="N161" s="222"/>
      <c r="O161" s="222"/>
      <c r="P161" s="222"/>
      <c r="Q161" s="222"/>
      <c r="R161" s="222"/>
      <c r="Y161" s="303"/>
      <c r="Z161" s="304"/>
      <c r="AA161" s="304"/>
      <c r="AB161" s="304"/>
      <c r="AC161" s="303"/>
      <c r="AP161" s="305"/>
      <c r="AQ161" s="305"/>
      <c r="AR161" s="305"/>
      <c r="AS161" s="306"/>
      <c r="AT161" s="307"/>
    </row>
    <row r="162" ht="18.0" customHeight="1">
      <c r="H162" s="302"/>
      <c r="I162" s="302"/>
      <c r="L162" s="222"/>
      <c r="M162" s="222"/>
      <c r="N162" s="222"/>
      <c r="O162" s="222"/>
      <c r="P162" s="222"/>
      <c r="Q162" s="222"/>
      <c r="R162" s="222"/>
      <c r="Y162" s="303"/>
      <c r="Z162" s="304"/>
      <c r="AA162" s="304"/>
      <c r="AB162" s="304"/>
      <c r="AC162" s="303"/>
      <c r="AP162" s="305"/>
      <c r="AQ162" s="305"/>
      <c r="AR162" s="305"/>
      <c r="AS162" s="306"/>
      <c r="AT162" s="307"/>
    </row>
    <row r="163" ht="18.0" customHeight="1">
      <c r="H163" s="302"/>
      <c r="I163" s="302"/>
      <c r="L163" s="222"/>
      <c r="M163" s="222"/>
      <c r="N163" s="222"/>
      <c r="O163" s="222"/>
      <c r="P163" s="222"/>
      <c r="Q163" s="222"/>
      <c r="R163" s="222"/>
      <c r="Y163" s="303"/>
      <c r="Z163" s="304"/>
      <c r="AA163" s="304"/>
      <c r="AB163" s="304"/>
      <c r="AC163" s="303"/>
      <c r="AP163" s="305"/>
      <c r="AQ163" s="305"/>
      <c r="AR163" s="305"/>
      <c r="AS163" s="306"/>
      <c r="AT163" s="307"/>
    </row>
    <row r="164" ht="18.0" customHeight="1">
      <c r="H164" s="302"/>
      <c r="I164" s="302"/>
      <c r="L164" s="222"/>
      <c r="M164" s="222"/>
      <c r="N164" s="222"/>
      <c r="O164" s="222"/>
      <c r="P164" s="222"/>
      <c r="Q164" s="222"/>
      <c r="R164" s="222"/>
      <c r="Y164" s="303"/>
      <c r="Z164" s="304"/>
      <c r="AA164" s="304"/>
      <c r="AB164" s="304"/>
      <c r="AC164" s="303"/>
      <c r="AP164" s="305"/>
      <c r="AQ164" s="305"/>
      <c r="AR164" s="305"/>
      <c r="AS164" s="306"/>
      <c r="AT164" s="307"/>
    </row>
    <row r="165" ht="18.0" customHeight="1">
      <c r="H165" s="302"/>
      <c r="I165" s="302"/>
      <c r="L165" s="222"/>
      <c r="M165" s="222"/>
      <c r="N165" s="222"/>
      <c r="O165" s="222"/>
      <c r="P165" s="222"/>
      <c r="Q165" s="222"/>
      <c r="R165" s="222"/>
      <c r="Y165" s="303"/>
      <c r="Z165" s="304"/>
      <c r="AA165" s="304"/>
      <c r="AB165" s="304"/>
      <c r="AC165" s="303"/>
      <c r="AP165" s="305"/>
      <c r="AQ165" s="305"/>
      <c r="AR165" s="305"/>
      <c r="AS165" s="306"/>
      <c r="AT165" s="307"/>
    </row>
    <row r="166" ht="18.0" customHeight="1">
      <c r="H166" s="302"/>
      <c r="I166" s="302"/>
      <c r="L166" s="222"/>
      <c r="M166" s="222"/>
      <c r="N166" s="222"/>
      <c r="O166" s="222"/>
      <c r="P166" s="222"/>
      <c r="Q166" s="222"/>
      <c r="R166" s="222"/>
      <c r="Y166" s="303"/>
      <c r="Z166" s="304"/>
      <c r="AA166" s="304"/>
      <c r="AB166" s="304"/>
      <c r="AC166" s="303"/>
      <c r="AP166" s="305"/>
      <c r="AQ166" s="305"/>
      <c r="AR166" s="305"/>
      <c r="AS166" s="306"/>
      <c r="AT166" s="307"/>
    </row>
    <row r="167" ht="18.0" customHeight="1">
      <c r="H167" s="302"/>
      <c r="I167" s="302"/>
      <c r="L167" s="222"/>
      <c r="M167" s="222"/>
      <c r="N167" s="222"/>
      <c r="O167" s="222"/>
      <c r="P167" s="222"/>
      <c r="Q167" s="222"/>
      <c r="R167" s="222"/>
      <c r="Y167" s="303"/>
      <c r="Z167" s="304"/>
      <c r="AA167" s="304"/>
      <c r="AB167" s="304"/>
      <c r="AC167" s="303"/>
      <c r="AP167" s="305"/>
      <c r="AQ167" s="305"/>
      <c r="AR167" s="305"/>
      <c r="AS167" s="306"/>
      <c r="AT167" s="307"/>
    </row>
    <row r="168" ht="18.0" customHeight="1">
      <c r="H168" s="302"/>
      <c r="I168" s="302"/>
      <c r="L168" s="222"/>
      <c r="M168" s="222"/>
      <c r="N168" s="222"/>
      <c r="O168" s="222"/>
      <c r="P168" s="222"/>
      <c r="Q168" s="222"/>
      <c r="R168" s="222"/>
      <c r="Y168" s="303"/>
      <c r="Z168" s="304"/>
      <c r="AA168" s="304"/>
      <c r="AB168" s="304"/>
      <c r="AC168" s="303"/>
      <c r="AP168" s="305"/>
      <c r="AQ168" s="305"/>
      <c r="AR168" s="305"/>
      <c r="AS168" s="306"/>
      <c r="AT168" s="307"/>
    </row>
    <row r="169" ht="18.0" customHeight="1">
      <c r="H169" s="302"/>
      <c r="I169" s="302"/>
      <c r="L169" s="222"/>
      <c r="M169" s="222"/>
      <c r="N169" s="222"/>
      <c r="O169" s="222"/>
      <c r="P169" s="222"/>
      <c r="Q169" s="222"/>
      <c r="R169" s="222"/>
      <c r="Y169" s="303"/>
      <c r="Z169" s="304"/>
      <c r="AA169" s="304"/>
      <c r="AB169" s="304"/>
      <c r="AC169" s="303"/>
      <c r="AP169" s="305"/>
      <c r="AQ169" s="305"/>
      <c r="AR169" s="305"/>
      <c r="AS169" s="306"/>
      <c r="AT169" s="307"/>
    </row>
    <row r="170" ht="18.0" customHeight="1">
      <c r="H170" s="302"/>
      <c r="I170" s="302"/>
      <c r="L170" s="222"/>
      <c r="M170" s="222"/>
      <c r="N170" s="222"/>
      <c r="O170" s="222"/>
      <c r="P170" s="222"/>
      <c r="Q170" s="222"/>
      <c r="R170" s="222"/>
      <c r="Y170" s="303"/>
      <c r="Z170" s="304"/>
      <c r="AA170" s="304"/>
      <c r="AB170" s="304"/>
      <c r="AC170" s="303"/>
      <c r="AP170" s="305"/>
      <c r="AQ170" s="305"/>
      <c r="AR170" s="305"/>
      <c r="AS170" s="306"/>
      <c r="AT170" s="307"/>
    </row>
    <row r="171" ht="18.0" customHeight="1">
      <c r="H171" s="302"/>
      <c r="I171" s="302"/>
      <c r="L171" s="222"/>
      <c r="M171" s="222"/>
      <c r="N171" s="222"/>
      <c r="O171" s="222"/>
      <c r="P171" s="222"/>
      <c r="Q171" s="222"/>
      <c r="R171" s="222"/>
      <c r="Y171" s="303"/>
      <c r="Z171" s="304"/>
      <c r="AA171" s="304"/>
      <c r="AB171" s="304"/>
      <c r="AC171" s="303"/>
      <c r="AP171" s="305"/>
      <c r="AQ171" s="305"/>
      <c r="AR171" s="305"/>
      <c r="AS171" s="306"/>
      <c r="AT171" s="307"/>
    </row>
    <row r="172" ht="18.0" customHeight="1">
      <c r="H172" s="302"/>
      <c r="I172" s="302"/>
      <c r="L172" s="222"/>
      <c r="M172" s="222"/>
      <c r="N172" s="222"/>
      <c r="O172" s="222"/>
      <c r="P172" s="222"/>
      <c r="Q172" s="222"/>
      <c r="R172" s="222"/>
      <c r="Y172" s="303"/>
      <c r="Z172" s="304"/>
      <c r="AA172" s="304"/>
      <c r="AB172" s="304"/>
      <c r="AC172" s="303"/>
      <c r="AP172" s="305"/>
      <c r="AQ172" s="305"/>
      <c r="AR172" s="305"/>
      <c r="AS172" s="306"/>
      <c r="AT172" s="307"/>
    </row>
    <row r="173" ht="18.0" customHeight="1">
      <c r="H173" s="302"/>
      <c r="I173" s="302"/>
      <c r="L173" s="222"/>
      <c r="M173" s="222"/>
      <c r="N173" s="222"/>
      <c r="O173" s="222"/>
      <c r="P173" s="222"/>
      <c r="Q173" s="222"/>
      <c r="R173" s="222"/>
      <c r="Y173" s="303"/>
      <c r="Z173" s="304"/>
      <c r="AA173" s="304"/>
      <c r="AB173" s="304"/>
      <c r="AC173" s="303"/>
      <c r="AP173" s="305"/>
      <c r="AQ173" s="305"/>
      <c r="AR173" s="305"/>
      <c r="AS173" s="306"/>
      <c r="AT173" s="307"/>
    </row>
    <row r="174" ht="18.0" customHeight="1">
      <c r="H174" s="302"/>
      <c r="I174" s="302"/>
      <c r="L174" s="222"/>
      <c r="M174" s="222"/>
      <c r="N174" s="222"/>
      <c r="O174" s="222"/>
      <c r="P174" s="222"/>
      <c r="Q174" s="222"/>
      <c r="R174" s="222"/>
      <c r="Y174" s="303"/>
      <c r="Z174" s="304"/>
      <c r="AA174" s="304"/>
      <c r="AB174" s="304"/>
      <c r="AC174" s="303"/>
      <c r="AP174" s="305"/>
      <c r="AQ174" s="305"/>
      <c r="AR174" s="305"/>
      <c r="AS174" s="306"/>
      <c r="AT174" s="307"/>
    </row>
    <row r="175" ht="18.0" customHeight="1">
      <c r="H175" s="302"/>
      <c r="I175" s="302"/>
      <c r="L175" s="222"/>
      <c r="M175" s="222"/>
      <c r="N175" s="222"/>
      <c r="O175" s="222"/>
      <c r="P175" s="222"/>
      <c r="Q175" s="222"/>
      <c r="R175" s="222"/>
      <c r="Y175" s="303"/>
      <c r="Z175" s="304"/>
      <c r="AA175" s="304"/>
      <c r="AB175" s="304"/>
      <c r="AC175" s="303"/>
      <c r="AP175" s="305"/>
      <c r="AQ175" s="305"/>
      <c r="AR175" s="305"/>
      <c r="AS175" s="306"/>
      <c r="AT175" s="307"/>
    </row>
    <row r="176" ht="18.0" customHeight="1">
      <c r="H176" s="302"/>
      <c r="I176" s="302"/>
      <c r="L176" s="222"/>
      <c r="M176" s="222"/>
      <c r="N176" s="222"/>
      <c r="O176" s="222"/>
      <c r="P176" s="222"/>
      <c r="Q176" s="222"/>
      <c r="R176" s="222"/>
      <c r="Y176" s="303"/>
      <c r="Z176" s="304"/>
      <c r="AA176" s="304"/>
      <c r="AB176" s="304"/>
      <c r="AC176" s="303"/>
      <c r="AP176" s="305"/>
      <c r="AQ176" s="305"/>
      <c r="AR176" s="305"/>
      <c r="AS176" s="306"/>
      <c r="AT176" s="307"/>
    </row>
    <row r="177" ht="18.0" customHeight="1">
      <c r="H177" s="302"/>
      <c r="I177" s="302"/>
      <c r="L177" s="222"/>
      <c r="M177" s="222"/>
      <c r="N177" s="222"/>
      <c r="O177" s="222"/>
      <c r="P177" s="222"/>
      <c r="Q177" s="222"/>
      <c r="R177" s="222"/>
      <c r="Y177" s="303"/>
      <c r="Z177" s="304"/>
      <c r="AA177" s="304"/>
      <c r="AB177" s="304"/>
      <c r="AC177" s="303"/>
      <c r="AP177" s="305"/>
      <c r="AQ177" s="305"/>
      <c r="AR177" s="305"/>
      <c r="AS177" s="306"/>
      <c r="AT177" s="307"/>
    </row>
    <row r="178" ht="18.0" customHeight="1">
      <c r="H178" s="302"/>
      <c r="I178" s="302"/>
      <c r="L178" s="222"/>
      <c r="M178" s="222"/>
      <c r="N178" s="222"/>
      <c r="O178" s="222"/>
      <c r="P178" s="222"/>
      <c r="Q178" s="222"/>
      <c r="R178" s="222"/>
      <c r="Y178" s="303"/>
      <c r="Z178" s="304"/>
      <c r="AA178" s="304"/>
      <c r="AB178" s="304"/>
      <c r="AC178" s="303"/>
      <c r="AP178" s="305"/>
      <c r="AQ178" s="305"/>
      <c r="AR178" s="305"/>
      <c r="AS178" s="306"/>
      <c r="AT178" s="307"/>
    </row>
    <row r="179" ht="18.0" customHeight="1">
      <c r="H179" s="302"/>
      <c r="I179" s="302"/>
      <c r="L179" s="222"/>
      <c r="M179" s="222"/>
      <c r="N179" s="222"/>
      <c r="O179" s="222"/>
      <c r="P179" s="222"/>
      <c r="Q179" s="222"/>
      <c r="R179" s="222"/>
      <c r="Y179" s="303"/>
      <c r="Z179" s="304"/>
      <c r="AA179" s="304"/>
      <c r="AB179" s="304"/>
      <c r="AC179" s="303"/>
      <c r="AP179" s="305"/>
      <c r="AQ179" s="305"/>
      <c r="AR179" s="305"/>
      <c r="AS179" s="306"/>
      <c r="AT179" s="307"/>
    </row>
    <row r="180" ht="18.0" customHeight="1">
      <c r="H180" s="302"/>
      <c r="I180" s="302"/>
      <c r="L180" s="222"/>
      <c r="M180" s="222"/>
      <c r="N180" s="222"/>
      <c r="O180" s="222"/>
      <c r="P180" s="222"/>
      <c r="Q180" s="222"/>
      <c r="R180" s="222"/>
      <c r="Y180" s="303"/>
      <c r="Z180" s="304"/>
      <c r="AA180" s="304"/>
      <c r="AB180" s="304"/>
      <c r="AC180" s="303"/>
      <c r="AP180" s="305"/>
      <c r="AQ180" s="305"/>
      <c r="AR180" s="305"/>
      <c r="AS180" s="306"/>
      <c r="AT180" s="307"/>
    </row>
    <row r="181" ht="18.0" customHeight="1">
      <c r="H181" s="302"/>
      <c r="I181" s="302"/>
      <c r="L181" s="222"/>
      <c r="M181" s="222"/>
      <c r="N181" s="222"/>
      <c r="O181" s="222"/>
      <c r="P181" s="222"/>
      <c r="Q181" s="222"/>
      <c r="R181" s="222"/>
      <c r="Y181" s="303"/>
      <c r="Z181" s="304"/>
      <c r="AA181" s="304"/>
      <c r="AB181" s="304"/>
      <c r="AC181" s="303"/>
      <c r="AP181" s="305"/>
      <c r="AQ181" s="305"/>
      <c r="AR181" s="305"/>
      <c r="AS181" s="306"/>
      <c r="AT181" s="307"/>
    </row>
    <row r="182" ht="18.0" customHeight="1">
      <c r="H182" s="302"/>
      <c r="I182" s="302"/>
      <c r="L182" s="222"/>
      <c r="M182" s="222"/>
      <c r="N182" s="222"/>
      <c r="O182" s="222"/>
      <c r="P182" s="222"/>
      <c r="Q182" s="222"/>
      <c r="R182" s="222"/>
      <c r="Y182" s="303"/>
      <c r="Z182" s="304"/>
      <c r="AA182" s="304"/>
      <c r="AB182" s="304"/>
      <c r="AC182" s="303"/>
      <c r="AP182" s="305"/>
      <c r="AQ182" s="305"/>
      <c r="AR182" s="305"/>
      <c r="AS182" s="306"/>
      <c r="AT182" s="307"/>
    </row>
    <row r="183" ht="18.0" customHeight="1">
      <c r="H183" s="302"/>
      <c r="I183" s="302"/>
      <c r="L183" s="222"/>
      <c r="M183" s="222"/>
      <c r="N183" s="222"/>
      <c r="O183" s="222"/>
      <c r="P183" s="222"/>
      <c r="Q183" s="222"/>
      <c r="R183" s="222"/>
      <c r="Y183" s="303"/>
      <c r="Z183" s="304"/>
      <c r="AA183" s="304"/>
      <c r="AB183" s="304"/>
      <c r="AC183" s="303"/>
      <c r="AP183" s="305"/>
      <c r="AQ183" s="305"/>
      <c r="AR183" s="305"/>
      <c r="AS183" s="306"/>
      <c r="AT183" s="307"/>
    </row>
    <row r="184" ht="18.0" customHeight="1">
      <c r="H184" s="302"/>
      <c r="I184" s="302"/>
      <c r="L184" s="222"/>
      <c r="M184" s="222"/>
      <c r="N184" s="222"/>
      <c r="O184" s="222"/>
      <c r="P184" s="222"/>
      <c r="Q184" s="222"/>
      <c r="R184" s="222"/>
      <c r="Y184" s="303"/>
      <c r="Z184" s="304"/>
      <c r="AA184" s="304"/>
      <c r="AB184" s="304"/>
      <c r="AC184" s="303"/>
      <c r="AP184" s="305"/>
      <c r="AQ184" s="305"/>
      <c r="AR184" s="305"/>
      <c r="AS184" s="306"/>
      <c r="AT184" s="307"/>
    </row>
    <row r="185" ht="18.0" customHeight="1">
      <c r="H185" s="302"/>
      <c r="I185" s="302"/>
      <c r="L185" s="222"/>
      <c r="M185" s="222"/>
      <c r="N185" s="222"/>
      <c r="O185" s="222"/>
      <c r="P185" s="222"/>
      <c r="Q185" s="222"/>
      <c r="R185" s="222"/>
      <c r="Y185" s="303"/>
      <c r="Z185" s="304"/>
      <c r="AA185" s="304"/>
      <c r="AB185" s="304"/>
      <c r="AC185" s="303"/>
      <c r="AP185" s="305"/>
      <c r="AQ185" s="305"/>
      <c r="AR185" s="305"/>
      <c r="AS185" s="306"/>
      <c r="AT185" s="307"/>
    </row>
    <row r="186" ht="18.0" customHeight="1">
      <c r="H186" s="302"/>
      <c r="I186" s="302"/>
      <c r="L186" s="222"/>
      <c r="M186" s="222"/>
      <c r="N186" s="222"/>
      <c r="O186" s="222"/>
      <c r="P186" s="222"/>
      <c r="Q186" s="222"/>
      <c r="R186" s="222"/>
      <c r="Y186" s="303"/>
      <c r="Z186" s="304"/>
      <c r="AA186" s="304"/>
      <c r="AB186" s="304"/>
      <c r="AC186" s="303"/>
      <c r="AP186" s="305"/>
      <c r="AQ186" s="305"/>
      <c r="AR186" s="305"/>
      <c r="AS186" s="306"/>
      <c r="AT186" s="307"/>
    </row>
    <row r="187" ht="18.0" customHeight="1">
      <c r="H187" s="302"/>
      <c r="I187" s="302"/>
      <c r="L187" s="222"/>
      <c r="M187" s="222"/>
      <c r="N187" s="222"/>
      <c r="O187" s="222"/>
      <c r="P187" s="222"/>
      <c r="Q187" s="222"/>
      <c r="R187" s="222"/>
      <c r="Y187" s="303"/>
      <c r="Z187" s="304"/>
      <c r="AA187" s="304"/>
      <c r="AB187" s="304"/>
      <c r="AC187" s="303"/>
      <c r="AP187" s="305"/>
      <c r="AQ187" s="305"/>
      <c r="AR187" s="305"/>
      <c r="AS187" s="306"/>
      <c r="AT187" s="307"/>
    </row>
    <row r="188" ht="18.0" customHeight="1">
      <c r="H188" s="302"/>
      <c r="I188" s="302"/>
      <c r="L188" s="222"/>
      <c r="M188" s="222"/>
      <c r="N188" s="222"/>
      <c r="O188" s="222"/>
      <c r="P188" s="222"/>
      <c r="Q188" s="222"/>
      <c r="R188" s="222"/>
      <c r="Y188" s="303"/>
      <c r="Z188" s="304"/>
      <c r="AA188" s="304"/>
      <c r="AB188" s="304"/>
      <c r="AC188" s="303"/>
      <c r="AP188" s="305"/>
      <c r="AQ188" s="305"/>
      <c r="AR188" s="305"/>
      <c r="AS188" s="306"/>
      <c r="AT188" s="307"/>
    </row>
    <row r="189" ht="18.0" customHeight="1">
      <c r="H189" s="302"/>
      <c r="I189" s="302"/>
      <c r="L189" s="222"/>
      <c r="M189" s="222"/>
      <c r="N189" s="222"/>
      <c r="O189" s="222"/>
      <c r="P189" s="222"/>
      <c r="Q189" s="222"/>
      <c r="R189" s="222"/>
      <c r="Y189" s="303"/>
      <c r="Z189" s="304"/>
      <c r="AA189" s="304"/>
      <c r="AB189" s="304"/>
      <c r="AC189" s="303"/>
      <c r="AP189" s="305"/>
      <c r="AQ189" s="305"/>
      <c r="AR189" s="305"/>
      <c r="AS189" s="306"/>
      <c r="AT189" s="307"/>
    </row>
    <row r="190" ht="18.0" customHeight="1">
      <c r="H190" s="302"/>
      <c r="I190" s="302"/>
      <c r="L190" s="222"/>
      <c r="M190" s="222"/>
      <c r="N190" s="222"/>
      <c r="O190" s="222"/>
      <c r="P190" s="222"/>
      <c r="Q190" s="222"/>
      <c r="R190" s="222"/>
      <c r="Y190" s="303"/>
      <c r="Z190" s="304"/>
      <c r="AA190" s="304"/>
      <c r="AB190" s="304"/>
      <c r="AC190" s="303"/>
      <c r="AP190" s="305"/>
      <c r="AQ190" s="305"/>
      <c r="AR190" s="305"/>
      <c r="AS190" s="306"/>
      <c r="AT190" s="307"/>
    </row>
    <row r="191" ht="18.0" customHeight="1">
      <c r="H191" s="302"/>
      <c r="I191" s="302"/>
      <c r="L191" s="222"/>
      <c r="M191" s="222"/>
      <c r="N191" s="222"/>
      <c r="O191" s="222"/>
      <c r="P191" s="222"/>
      <c r="Q191" s="222"/>
      <c r="R191" s="222"/>
      <c r="Y191" s="303"/>
      <c r="Z191" s="304"/>
      <c r="AA191" s="304"/>
      <c r="AB191" s="304"/>
      <c r="AC191" s="303"/>
      <c r="AP191" s="305"/>
      <c r="AQ191" s="305"/>
      <c r="AR191" s="305"/>
      <c r="AS191" s="306"/>
      <c r="AT191" s="307"/>
    </row>
    <row r="192" ht="18.0" customHeight="1">
      <c r="H192" s="302"/>
      <c r="I192" s="302"/>
      <c r="L192" s="222"/>
      <c r="M192" s="222"/>
      <c r="N192" s="222"/>
      <c r="O192" s="222"/>
      <c r="P192" s="222"/>
      <c r="Q192" s="222"/>
      <c r="R192" s="222"/>
      <c r="Y192" s="303"/>
      <c r="Z192" s="304"/>
      <c r="AA192" s="304"/>
      <c r="AB192" s="304"/>
      <c r="AC192" s="303"/>
      <c r="AP192" s="305"/>
      <c r="AQ192" s="305"/>
      <c r="AR192" s="305"/>
      <c r="AS192" s="306"/>
      <c r="AT192" s="307"/>
    </row>
    <row r="193" ht="18.0" customHeight="1">
      <c r="H193" s="302"/>
      <c r="I193" s="302"/>
      <c r="L193" s="222"/>
      <c r="M193" s="222"/>
      <c r="N193" s="222"/>
      <c r="O193" s="222"/>
      <c r="P193" s="222"/>
      <c r="Q193" s="222"/>
      <c r="R193" s="222"/>
      <c r="Y193" s="303"/>
      <c r="Z193" s="304"/>
      <c r="AA193" s="304"/>
      <c r="AB193" s="304"/>
      <c r="AC193" s="303"/>
      <c r="AP193" s="305"/>
      <c r="AQ193" s="305"/>
      <c r="AR193" s="305"/>
      <c r="AS193" s="306"/>
      <c r="AT193" s="307"/>
    </row>
    <row r="194" ht="18.0" customHeight="1">
      <c r="H194" s="302"/>
      <c r="I194" s="302"/>
      <c r="L194" s="222"/>
      <c r="M194" s="222"/>
      <c r="N194" s="222"/>
      <c r="O194" s="222"/>
      <c r="P194" s="222"/>
      <c r="Q194" s="222"/>
      <c r="R194" s="222"/>
      <c r="Y194" s="303"/>
      <c r="Z194" s="304"/>
      <c r="AA194" s="304"/>
      <c r="AB194" s="304"/>
      <c r="AC194" s="303"/>
      <c r="AP194" s="305"/>
      <c r="AQ194" s="305"/>
      <c r="AR194" s="305"/>
      <c r="AS194" s="306"/>
      <c r="AT194" s="307"/>
    </row>
    <row r="195" ht="18.0" customHeight="1">
      <c r="H195" s="302"/>
      <c r="I195" s="302"/>
      <c r="L195" s="222"/>
      <c r="M195" s="222"/>
      <c r="N195" s="222"/>
      <c r="O195" s="222"/>
      <c r="P195" s="222"/>
      <c r="Q195" s="222"/>
      <c r="R195" s="222"/>
      <c r="Y195" s="303"/>
      <c r="Z195" s="304"/>
      <c r="AA195" s="304"/>
      <c r="AB195" s="304"/>
      <c r="AC195" s="303"/>
      <c r="AP195" s="305"/>
      <c r="AQ195" s="305"/>
      <c r="AR195" s="305"/>
      <c r="AS195" s="306"/>
      <c r="AT195" s="307"/>
    </row>
    <row r="196" ht="18.0" customHeight="1">
      <c r="H196" s="302"/>
      <c r="I196" s="302"/>
      <c r="L196" s="222"/>
      <c r="M196" s="222"/>
      <c r="N196" s="222"/>
      <c r="O196" s="222"/>
      <c r="P196" s="222"/>
      <c r="Q196" s="222"/>
      <c r="R196" s="222"/>
      <c r="Y196" s="303"/>
      <c r="Z196" s="304"/>
      <c r="AA196" s="304"/>
      <c r="AB196" s="304"/>
      <c r="AC196" s="303"/>
      <c r="AP196" s="305"/>
      <c r="AQ196" s="305"/>
      <c r="AR196" s="305"/>
      <c r="AS196" s="306"/>
      <c r="AT196" s="307"/>
    </row>
    <row r="197" ht="18.0" customHeight="1">
      <c r="H197" s="302"/>
      <c r="I197" s="302"/>
      <c r="L197" s="222"/>
      <c r="M197" s="222"/>
      <c r="N197" s="222"/>
      <c r="O197" s="222"/>
      <c r="P197" s="222"/>
      <c r="Q197" s="222"/>
      <c r="R197" s="222"/>
      <c r="Y197" s="303"/>
      <c r="Z197" s="304"/>
      <c r="AA197" s="304"/>
      <c r="AB197" s="304"/>
      <c r="AC197" s="303"/>
      <c r="AP197" s="305"/>
      <c r="AQ197" s="305"/>
      <c r="AR197" s="305"/>
      <c r="AS197" s="306"/>
      <c r="AT197" s="307"/>
    </row>
    <row r="198" ht="18.0" customHeight="1">
      <c r="H198" s="302"/>
      <c r="I198" s="302"/>
      <c r="L198" s="222"/>
      <c r="M198" s="222"/>
      <c r="N198" s="222"/>
      <c r="O198" s="222"/>
      <c r="P198" s="222"/>
      <c r="Q198" s="222"/>
      <c r="R198" s="222"/>
      <c r="Y198" s="303"/>
      <c r="Z198" s="304"/>
      <c r="AA198" s="304"/>
      <c r="AB198" s="304"/>
      <c r="AC198" s="303"/>
      <c r="AP198" s="305"/>
      <c r="AQ198" s="305"/>
      <c r="AR198" s="305"/>
      <c r="AS198" s="306"/>
      <c r="AT198" s="307"/>
    </row>
    <row r="199" ht="18.0" customHeight="1">
      <c r="H199" s="302"/>
      <c r="I199" s="302"/>
      <c r="L199" s="222"/>
      <c r="M199" s="222"/>
      <c r="N199" s="222"/>
      <c r="O199" s="222"/>
      <c r="P199" s="222"/>
      <c r="Q199" s="222"/>
      <c r="R199" s="222"/>
      <c r="Y199" s="303"/>
      <c r="Z199" s="304"/>
      <c r="AA199" s="304"/>
      <c r="AB199" s="304"/>
      <c r="AC199" s="303"/>
      <c r="AP199" s="305"/>
      <c r="AQ199" s="305"/>
      <c r="AR199" s="305"/>
      <c r="AS199" s="306"/>
      <c r="AT199" s="307"/>
    </row>
    <row r="200" ht="18.0" customHeight="1">
      <c r="H200" s="302"/>
      <c r="I200" s="302"/>
      <c r="L200" s="222"/>
      <c r="M200" s="222"/>
      <c r="N200" s="222"/>
      <c r="O200" s="222"/>
      <c r="P200" s="222"/>
      <c r="Q200" s="222"/>
      <c r="R200" s="222"/>
      <c r="Y200" s="303"/>
      <c r="Z200" s="304"/>
      <c r="AA200" s="304"/>
      <c r="AB200" s="304"/>
      <c r="AC200" s="303"/>
      <c r="AP200" s="305"/>
      <c r="AQ200" s="305"/>
      <c r="AR200" s="305"/>
      <c r="AS200" s="306"/>
      <c r="AT200" s="307"/>
    </row>
    <row r="201" ht="18.0" customHeight="1">
      <c r="H201" s="302"/>
      <c r="I201" s="302"/>
      <c r="L201" s="222"/>
      <c r="M201" s="222"/>
      <c r="N201" s="222"/>
      <c r="O201" s="222"/>
      <c r="P201" s="222"/>
      <c r="Q201" s="222"/>
      <c r="R201" s="222"/>
      <c r="Y201" s="303"/>
      <c r="Z201" s="304"/>
      <c r="AA201" s="304"/>
      <c r="AB201" s="304"/>
      <c r="AC201" s="303"/>
      <c r="AP201" s="305"/>
      <c r="AQ201" s="305"/>
      <c r="AR201" s="305"/>
      <c r="AS201" s="306"/>
      <c r="AT201" s="307"/>
    </row>
    <row r="202" ht="18.0" customHeight="1">
      <c r="H202" s="302"/>
      <c r="I202" s="302"/>
      <c r="L202" s="222"/>
      <c r="M202" s="222"/>
      <c r="N202" s="222"/>
      <c r="O202" s="222"/>
      <c r="P202" s="222"/>
      <c r="Q202" s="222"/>
      <c r="R202" s="222"/>
      <c r="Y202" s="303"/>
      <c r="Z202" s="304"/>
      <c r="AA202" s="304"/>
      <c r="AB202" s="304"/>
      <c r="AC202" s="303"/>
      <c r="AP202" s="305"/>
      <c r="AQ202" s="305"/>
      <c r="AR202" s="305"/>
      <c r="AS202" s="306"/>
      <c r="AT202" s="307"/>
    </row>
    <row r="203" ht="18.0" customHeight="1">
      <c r="H203" s="302"/>
      <c r="I203" s="302"/>
      <c r="L203" s="222"/>
      <c r="M203" s="222"/>
      <c r="N203" s="222"/>
      <c r="O203" s="222"/>
      <c r="P203" s="222"/>
      <c r="Q203" s="222"/>
      <c r="R203" s="222"/>
      <c r="Y203" s="303"/>
      <c r="Z203" s="304"/>
      <c r="AA203" s="304"/>
      <c r="AB203" s="304"/>
      <c r="AC203" s="303"/>
      <c r="AP203" s="305"/>
      <c r="AQ203" s="305"/>
      <c r="AR203" s="305"/>
      <c r="AS203" s="306"/>
      <c r="AT203" s="307"/>
    </row>
    <row r="204" ht="18.0" customHeight="1">
      <c r="H204" s="302"/>
      <c r="I204" s="302"/>
      <c r="L204" s="222"/>
      <c r="M204" s="222"/>
      <c r="N204" s="222"/>
      <c r="O204" s="222"/>
      <c r="P204" s="222"/>
      <c r="Q204" s="222"/>
      <c r="R204" s="222"/>
      <c r="Y204" s="303"/>
      <c r="Z204" s="304"/>
      <c r="AA204" s="304"/>
      <c r="AB204" s="304"/>
      <c r="AC204" s="303"/>
      <c r="AP204" s="305"/>
      <c r="AQ204" s="305"/>
      <c r="AR204" s="305"/>
      <c r="AS204" s="306"/>
      <c r="AT204" s="307"/>
    </row>
    <row r="205" ht="18.0" customHeight="1">
      <c r="H205" s="302"/>
      <c r="I205" s="302"/>
      <c r="L205" s="222"/>
      <c r="M205" s="222"/>
      <c r="N205" s="222"/>
      <c r="O205" s="222"/>
      <c r="P205" s="222"/>
      <c r="Q205" s="222"/>
      <c r="R205" s="222"/>
      <c r="Y205" s="303"/>
      <c r="Z205" s="304"/>
      <c r="AA205" s="304"/>
      <c r="AB205" s="304"/>
      <c r="AC205" s="303"/>
      <c r="AP205" s="305"/>
      <c r="AQ205" s="305"/>
      <c r="AR205" s="305"/>
      <c r="AS205" s="306"/>
      <c r="AT205" s="307"/>
    </row>
    <row r="206" ht="18.0" customHeight="1">
      <c r="H206" s="302"/>
      <c r="I206" s="302"/>
      <c r="L206" s="222"/>
      <c r="M206" s="222"/>
      <c r="N206" s="222"/>
      <c r="O206" s="222"/>
      <c r="P206" s="222"/>
      <c r="Q206" s="222"/>
      <c r="R206" s="222"/>
      <c r="Y206" s="303"/>
      <c r="Z206" s="304"/>
      <c r="AA206" s="304"/>
      <c r="AB206" s="304"/>
      <c r="AC206" s="303"/>
      <c r="AP206" s="305"/>
      <c r="AQ206" s="305"/>
      <c r="AR206" s="305"/>
      <c r="AS206" s="306"/>
      <c r="AT206" s="307"/>
    </row>
    <row r="207" ht="18.0" customHeight="1">
      <c r="H207" s="302"/>
      <c r="I207" s="302"/>
      <c r="L207" s="222"/>
      <c r="M207" s="222"/>
      <c r="N207" s="222"/>
      <c r="O207" s="222"/>
      <c r="P207" s="222"/>
      <c r="Q207" s="222"/>
      <c r="R207" s="222"/>
      <c r="Y207" s="303"/>
      <c r="Z207" s="304"/>
      <c r="AA207" s="304"/>
      <c r="AB207" s="304"/>
      <c r="AC207" s="303"/>
      <c r="AP207" s="305"/>
      <c r="AQ207" s="305"/>
      <c r="AR207" s="305"/>
      <c r="AS207" s="306"/>
      <c r="AT207" s="307"/>
    </row>
    <row r="208" ht="18.0" customHeight="1">
      <c r="H208" s="302"/>
      <c r="I208" s="302"/>
      <c r="L208" s="222"/>
      <c r="M208" s="222"/>
      <c r="N208" s="222"/>
      <c r="O208" s="222"/>
      <c r="P208" s="222"/>
      <c r="Q208" s="222"/>
      <c r="R208" s="222"/>
      <c r="Y208" s="303"/>
      <c r="Z208" s="304"/>
      <c r="AA208" s="304"/>
      <c r="AB208" s="304"/>
      <c r="AC208" s="303"/>
      <c r="AP208" s="305"/>
      <c r="AQ208" s="305"/>
      <c r="AR208" s="305"/>
      <c r="AS208" s="306"/>
      <c r="AT208" s="307"/>
    </row>
    <row r="209" ht="18.0" customHeight="1">
      <c r="H209" s="302"/>
      <c r="I209" s="302"/>
      <c r="L209" s="222"/>
      <c r="M209" s="222"/>
      <c r="N209" s="222"/>
      <c r="O209" s="222"/>
      <c r="P209" s="222"/>
      <c r="Q209" s="222"/>
      <c r="R209" s="222"/>
      <c r="Y209" s="303"/>
      <c r="Z209" s="304"/>
      <c r="AA209" s="304"/>
      <c r="AB209" s="304"/>
      <c r="AC209" s="303"/>
      <c r="AP209" s="305"/>
      <c r="AQ209" s="305"/>
      <c r="AR209" s="305"/>
      <c r="AS209" s="306"/>
      <c r="AT209" s="307"/>
    </row>
    <row r="210" ht="18.0" customHeight="1">
      <c r="H210" s="302"/>
      <c r="I210" s="302"/>
      <c r="L210" s="222"/>
      <c r="M210" s="222"/>
      <c r="N210" s="222"/>
      <c r="O210" s="222"/>
      <c r="P210" s="222"/>
      <c r="Q210" s="222"/>
      <c r="R210" s="222"/>
      <c r="Y210" s="303"/>
      <c r="Z210" s="304"/>
      <c r="AA210" s="304"/>
      <c r="AB210" s="304"/>
      <c r="AC210" s="303"/>
      <c r="AP210" s="305"/>
      <c r="AQ210" s="305"/>
      <c r="AR210" s="305"/>
      <c r="AS210" s="306"/>
      <c r="AT210" s="307"/>
    </row>
    <row r="211" ht="18.0" customHeight="1">
      <c r="H211" s="302"/>
      <c r="I211" s="302"/>
      <c r="L211" s="222"/>
      <c r="M211" s="222"/>
      <c r="N211" s="222"/>
      <c r="O211" s="222"/>
      <c r="P211" s="222"/>
      <c r="Q211" s="222"/>
      <c r="R211" s="222"/>
      <c r="Y211" s="303"/>
      <c r="Z211" s="304"/>
      <c r="AA211" s="304"/>
      <c r="AB211" s="304"/>
      <c r="AC211" s="303"/>
      <c r="AP211" s="305"/>
      <c r="AQ211" s="305"/>
      <c r="AR211" s="305"/>
      <c r="AS211" s="306"/>
      <c r="AT211" s="307"/>
    </row>
    <row r="212" ht="18.0" customHeight="1">
      <c r="H212" s="302"/>
      <c r="I212" s="302"/>
      <c r="L212" s="222"/>
      <c r="M212" s="222"/>
      <c r="N212" s="222"/>
      <c r="O212" s="222"/>
      <c r="P212" s="222"/>
      <c r="Q212" s="222"/>
      <c r="R212" s="222"/>
      <c r="Y212" s="303"/>
      <c r="Z212" s="304"/>
      <c r="AA212" s="304"/>
      <c r="AB212" s="304"/>
      <c r="AC212" s="303"/>
      <c r="AP212" s="305"/>
      <c r="AQ212" s="305"/>
      <c r="AR212" s="305"/>
      <c r="AS212" s="306"/>
      <c r="AT212" s="307"/>
    </row>
    <row r="213" ht="18.0" customHeight="1">
      <c r="H213" s="302"/>
      <c r="I213" s="302"/>
      <c r="L213" s="222"/>
      <c r="M213" s="222"/>
      <c r="N213" s="222"/>
      <c r="O213" s="222"/>
      <c r="P213" s="222"/>
      <c r="Q213" s="222"/>
      <c r="R213" s="222"/>
      <c r="Y213" s="303"/>
      <c r="Z213" s="304"/>
      <c r="AA213" s="304"/>
      <c r="AB213" s="304"/>
      <c r="AC213" s="303"/>
      <c r="AP213" s="305"/>
      <c r="AQ213" s="305"/>
      <c r="AR213" s="305"/>
      <c r="AS213" s="306"/>
      <c r="AT213" s="307"/>
    </row>
    <row r="214" ht="18.0" customHeight="1">
      <c r="H214" s="302"/>
      <c r="I214" s="302"/>
      <c r="L214" s="222"/>
      <c r="M214" s="222"/>
      <c r="N214" s="222"/>
      <c r="O214" s="222"/>
      <c r="P214" s="222"/>
      <c r="Q214" s="222"/>
      <c r="R214" s="222"/>
      <c r="Y214" s="303"/>
      <c r="Z214" s="304"/>
      <c r="AA214" s="304"/>
      <c r="AB214" s="304"/>
      <c r="AC214" s="303"/>
      <c r="AP214" s="305"/>
      <c r="AQ214" s="305"/>
      <c r="AR214" s="305"/>
      <c r="AS214" s="306"/>
      <c r="AT214" s="307"/>
    </row>
    <row r="215" ht="18.0" customHeight="1">
      <c r="H215" s="302"/>
      <c r="I215" s="302"/>
      <c r="L215" s="222"/>
      <c r="M215" s="222"/>
      <c r="N215" s="222"/>
      <c r="O215" s="222"/>
      <c r="P215" s="222"/>
      <c r="Q215" s="222"/>
      <c r="R215" s="222"/>
      <c r="Y215" s="303"/>
      <c r="Z215" s="304"/>
      <c r="AA215" s="304"/>
      <c r="AB215" s="304"/>
      <c r="AC215" s="303"/>
      <c r="AP215" s="305"/>
      <c r="AQ215" s="305"/>
      <c r="AR215" s="305"/>
      <c r="AS215" s="306"/>
      <c r="AT215" s="307"/>
    </row>
    <row r="216" ht="18.0" customHeight="1">
      <c r="H216" s="302"/>
      <c r="I216" s="302"/>
      <c r="L216" s="222"/>
      <c r="M216" s="222"/>
      <c r="N216" s="222"/>
      <c r="O216" s="222"/>
      <c r="P216" s="222"/>
      <c r="Q216" s="222"/>
      <c r="R216" s="222"/>
      <c r="Y216" s="303"/>
      <c r="Z216" s="304"/>
      <c r="AA216" s="304"/>
      <c r="AB216" s="304"/>
      <c r="AC216" s="303"/>
      <c r="AP216" s="305"/>
      <c r="AQ216" s="305"/>
      <c r="AR216" s="305"/>
      <c r="AS216" s="306"/>
      <c r="AT216" s="307"/>
    </row>
    <row r="217" ht="18.0" customHeight="1">
      <c r="H217" s="302"/>
      <c r="I217" s="302"/>
      <c r="L217" s="222"/>
      <c r="M217" s="222"/>
      <c r="N217" s="222"/>
      <c r="O217" s="222"/>
      <c r="P217" s="222"/>
      <c r="Q217" s="222"/>
      <c r="R217" s="222"/>
      <c r="Y217" s="303"/>
      <c r="Z217" s="304"/>
      <c r="AA217" s="304"/>
      <c r="AB217" s="304"/>
      <c r="AC217" s="303"/>
      <c r="AP217" s="305"/>
      <c r="AQ217" s="305"/>
      <c r="AR217" s="305"/>
      <c r="AS217" s="306"/>
      <c r="AT217" s="307"/>
    </row>
    <row r="218" ht="18.0" customHeight="1">
      <c r="H218" s="302"/>
      <c r="I218" s="302"/>
      <c r="L218" s="222"/>
      <c r="M218" s="222"/>
      <c r="N218" s="222"/>
      <c r="O218" s="222"/>
      <c r="P218" s="222"/>
      <c r="Q218" s="222"/>
      <c r="R218" s="222"/>
      <c r="Y218" s="303"/>
      <c r="Z218" s="304"/>
      <c r="AA218" s="304"/>
      <c r="AB218" s="304"/>
      <c r="AC218" s="303"/>
      <c r="AP218" s="305"/>
      <c r="AQ218" s="305"/>
      <c r="AR218" s="305"/>
      <c r="AS218" s="306"/>
      <c r="AT218" s="307"/>
    </row>
    <row r="219" ht="18.0" customHeight="1">
      <c r="H219" s="302"/>
      <c r="I219" s="302"/>
      <c r="L219" s="222"/>
      <c r="M219" s="222"/>
      <c r="N219" s="222"/>
      <c r="O219" s="222"/>
      <c r="P219" s="222"/>
      <c r="Q219" s="222"/>
      <c r="R219" s="222"/>
      <c r="Y219" s="303"/>
      <c r="Z219" s="304"/>
      <c r="AA219" s="304"/>
      <c r="AB219" s="304"/>
      <c r="AC219" s="303"/>
      <c r="AP219" s="305"/>
      <c r="AQ219" s="305"/>
      <c r="AR219" s="305"/>
      <c r="AS219" s="306"/>
      <c r="AT219" s="307"/>
    </row>
    <row r="220" ht="18.0" customHeight="1">
      <c r="H220" s="302"/>
      <c r="I220" s="302"/>
      <c r="L220" s="222"/>
      <c r="M220" s="222"/>
      <c r="N220" s="222"/>
      <c r="O220" s="222"/>
      <c r="P220" s="222"/>
      <c r="Q220" s="222"/>
      <c r="R220" s="222"/>
      <c r="Y220" s="303"/>
      <c r="Z220" s="304"/>
      <c r="AA220" s="304"/>
      <c r="AB220" s="304"/>
      <c r="AC220" s="303"/>
      <c r="AP220" s="305"/>
      <c r="AQ220" s="305"/>
      <c r="AR220" s="305"/>
      <c r="AS220" s="306"/>
      <c r="AT220" s="307"/>
    </row>
    <row r="221" ht="18.0" customHeight="1">
      <c r="H221" s="302"/>
      <c r="I221" s="302"/>
      <c r="L221" s="222"/>
      <c r="M221" s="222"/>
      <c r="N221" s="222"/>
      <c r="O221" s="222"/>
      <c r="P221" s="222"/>
      <c r="Q221" s="222"/>
      <c r="R221" s="222"/>
      <c r="Y221" s="303"/>
      <c r="Z221" s="304"/>
      <c r="AA221" s="304"/>
      <c r="AB221" s="304"/>
      <c r="AC221" s="303"/>
      <c r="AP221" s="305"/>
      <c r="AQ221" s="305"/>
      <c r="AR221" s="305"/>
      <c r="AS221" s="306"/>
      <c r="AT221" s="307"/>
    </row>
    <row r="222" ht="18.0" customHeight="1">
      <c r="H222" s="302"/>
      <c r="I222" s="302"/>
      <c r="L222" s="222"/>
      <c r="M222" s="222"/>
      <c r="N222" s="222"/>
      <c r="O222" s="222"/>
      <c r="P222" s="222"/>
      <c r="Q222" s="222"/>
      <c r="R222" s="222"/>
      <c r="Y222" s="303"/>
      <c r="Z222" s="304"/>
      <c r="AA222" s="304"/>
      <c r="AB222" s="304"/>
      <c r="AC222" s="303"/>
      <c r="AP222" s="305"/>
      <c r="AQ222" s="305"/>
      <c r="AR222" s="305"/>
      <c r="AS222" s="306"/>
      <c r="AT222" s="307"/>
    </row>
    <row r="223" ht="18.0" customHeight="1">
      <c r="H223" s="302"/>
      <c r="I223" s="302"/>
      <c r="L223" s="222"/>
      <c r="M223" s="222"/>
      <c r="N223" s="222"/>
      <c r="O223" s="222"/>
      <c r="P223" s="222"/>
      <c r="Q223" s="222"/>
      <c r="R223" s="222"/>
      <c r="Y223" s="303"/>
      <c r="Z223" s="304"/>
      <c r="AA223" s="304"/>
      <c r="AB223" s="304"/>
      <c r="AC223" s="303"/>
      <c r="AP223" s="305"/>
      <c r="AQ223" s="305"/>
      <c r="AR223" s="305"/>
      <c r="AS223" s="306"/>
      <c r="AT223" s="307"/>
    </row>
    <row r="224" ht="18.0" customHeight="1">
      <c r="H224" s="302"/>
      <c r="I224" s="302"/>
      <c r="L224" s="222"/>
      <c r="M224" s="222"/>
      <c r="N224" s="222"/>
      <c r="O224" s="222"/>
      <c r="P224" s="222"/>
      <c r="Q224" s="222"/>
      <c r="R224" s="222"/>
      <c r="Y224" s="303"/>
      <c r="Z224" s="304"/>
      <c r="AA224" s="304"/>
      <c r="AB224" s="304"/>
      <c r="AC224" s="303"/>
      <c r="AP224" s="305"/>
      <c r="AQ224" s="305"/>
      <c r="AR224" s="305"/>
      <c r="AS224" s="306"/>
      <c r="AT224" s="307"/>
    </row>
    <row r="225" ht="18.0" customHeight="1">
      <c r="H225" s="302"/>
      <c r="I225" s="302"/>
      <c r="L225" s="222"/>
      <c r="M225" s="222"/>
      <c r="N225" s="222"/>
      <c r="O225" s="222"/>
      <c r="P225" s="222"/>
      <c r="Q225" s="222"/>
      <c r="R225" s="222"/>
      <c r="Y225" s="303"/>
      <c r="Z225" s="304"/>
      <c r="AA225" s="304"/>
      <c r="AB225" s="304"/>
      <c r="AC225" s="303"/>
      <c r="AP225" s="305"/>
      <c r="AQ225" s="305"/>
      <c r="AR225" s="305"/>
      <c r="AS225" s="306"/>
      <c r="AT225" s="307"/>
    </row>
    <row r="226" ht="18.0" customHeight="1">
      <c r="H226" s="302"/>
      <c r="I226" s="302"/>
      <c r="L226" s="222"/>
      <c r="M226" s="222"/>
      <c r="N226" s="222"/>
      <c r="O226" s="222"/>
      <c r="P226" s="222"/>
      <c r="Q226" s="222"/>
      <c r="R226" s="222"/>
      <c r="Y226" s="303"/>
      <c r="Z226" s="304"/>
      <c r="AA226" s="304"/>
      <c r="AB226" s="304"/>
      <c r="AC226" s="303"/>
      <c r="AP226" s="305"/>
      <c r="AQ226" s="305"/>
      <c r="AR226" s="305"/>
      <c r="AS226" s="306"/>
      <c r="AT226" s="307"/>
    </row>
    <row r="227" ht="18.0" customHeight="1">
      <c r="H227" s="302"/>
      <c r="I227" s="302"/>
      <c r="L227" s="222"/>
      <c r="M227" s="222"/>
      <c r="N227" s="222"/>
      <c r="O227" s="222"/>
      <c r="P227" s="222"/>
      <c r="Q227" s="222"/>
      <c r="R227" s="222"/>
      <c r="Y227" s="303"/>
      <c r="Z227" s="304"/>
      <c r="AA227" s="304"/>
      <c r="AB227" s="304"/>
      <c r="AC227" s="303"/>
      <c r="AP227" s="305"/>
      <c r="AQ227" s="305"/>
      <c r="AR227" s="305"/>
      <c r="AS227" s="306"/>
      <c r="AT227" s="307"/>
    </row>
    <row r="228" ht="18.0" customHeight="1">
      <c r="H228" s="302"/>
      <c r="I228" s="302"/>
      <c r="L228" s="222"/>
      <c r="M228" s="222"/>
      <c r="N228" s="222"/>
      <c r="O228" s="222"/>
      <c r="P228" s="222"/>
      <c r="Q228" s="222"/>
      <c r="R228" s="222"/>
      <c r="Y228" s="303"/>
      <c r="Z228" s="304"/>
      <c r="AA228" s="304"/>
      <c r="AB228" s="304"/>
      <c r="AC228" s="303"/>
      <c r="AP228" s="305"/>
      <c r="AQ228" s="305"/>
      <c r="AR228" s="305"/>
      <c r="AS228" s="306"/>
      <c r="AT228" s="307"/>
    </row>
    <row r="229" ht="18.0" customHeight="1">
      <c r="H229" s="302"/>
      <c r="I229" s="302"/>
      <c r="L229" s="222"/>
      <c r="M229" s="222"/>
      <c r="N229" s="222"/>
      <c r="O229" s="222"/>
      <c r="P229" s="222"/>
      <c r="Q229" s="222"/>
      <c r="R229" s="222"/>
      <c r="Y229" s="303"/>
      <c r="Z229" s="304"/>
      <c r="AA229" s="304"/>
      <c r="AB229" s="304"/>
      <c r="AC229" s="303"/>
      <c r="AP229" s="305"/>
      <c r="AQ229" s="305"/>
      <c r="AR229" s="305"/>
      <c r="AS229" s="306"/>
      <c r="AT229" s="307"/>
    </row>
    <row r="230" ht="18.0" customHeight="1">
      <c r="H230" s="302"/>
      <c r="I230" s="302"/>
      <c r="L230" s="222"/>
      <c r="M230" s="222"/>
      <c r="N230" s="222"/>
      <c r="O230" s="222"/>
      <c r="P230" s="222"/>
      <c r="Q230" s="222"/>
      <c r="R230" s="222"/>
      <c r="Y230" s="303"/>
      <c r="Z230" s="304"/>
      <c r="AA230" s="304"/>
      <c r="AB230" s="304"/>
      <c r="AC230" s="303"/>
      <c r="AP230" s="305"/>
      <c r="AQ230" s="305"/>
      <c r="AR230" s="305"/>
      <c r="AS230" s="306"/>
      <c r="AT230" s="307"/>
    </row>
    <row r="231" ht="18.0" customHeight="1">
      <c r="H231" s="302"/>
      <c r="I231" s="302"/>
      <c r="L231" s="222"/>
      <c r="M231" s="222"/>
      <c r="N231" s="222"/>
      <c r="O231" s="222"/>
      <c r="P231" s="222"/>
      <c r="Q231" s="222"/>
      <c r="R231" s="222"/>
      <c r="Y231" s="303"/>
      <c r="Z231" s="304"/>
      <c r="AA231" s="304"/>
      <c r="AB231" s="304"/>
      <c r="AC231" s="303"/>
      <c r="AP231" s="305"/>
      <c r="AQ231" s="305"/>
      <c r="AR231" s="305"/>
      <c r="AS231" s="306"/>
      <c r="AT231" s="307"/>
    </row>
    <row r="232" ht="18.0" customHeight="1">
      <c r="H232" s="302"/>
      <c r="I232" s="302"/>
      <c r="L232" s="222"/>
      <c r="M232" s="222"/>
      <c r="N232" s="222"/>
      <c r="O232" s="222"/>
      <c r="P232" s="222"/>
      <c r="Q232" s="222"/>
      <c r="R232" s="222"/>
      <c r="Y232" s="303"/>
      <c r="Z232" s="304"/>
      <c r="AA232" s="304"/>
      <c r="AB232" s="304"/>
      <c r="AC232" s="303"/>
      <c r="AP232" s="305"/>
      <c r="AQ232" s="305"/>
      <c r="AR232" s="305"/>
      <c r="AS232" s="306"/>
      <c r="AT232" s="307"/>
    </row>
    <row r="233" ht="18.0" customHeight="1">
      <c r="H233" s="302"/>
      <c r="I233" s="302"/>
      <c r="L233" s="222"/>
      <c r="M233" s="222"/>
      <c r="N233" s="222"/>
      <c r="O233" s="222"/>
      <c r="P233" s="222"/>
      <c r="Q233" s="222"/>
      <c r="R233" s="222"/>
      <c r="Y233" s="303"/>
      <c r="Z233" s="304"/>
      <c r="AA233" s="304"/>
      <c r="AB233" s="304"/>
      <c r="AC233" s="303"/>
      <c r="AP233" s="305"/>
      <c r="AQ233" s="305"/>
      <c r="AR233" s="305"/>
      <c r="AS233" s="306"/>
      <c r="AT233" s="307"/>
    </row>
    <row r="234" ht="18.0" customHeight="1">
      <c r="H234" s="302"/>
      <c r="I234" s="302"/>
      <c r="L234" s="222"/>
      <c r="M234" s="222"/>
      <c r="N234" s="222"/>
      <c r="O234" s="222"/>
      <c r="P234" s="222"/>
      <c r="Q234" s="222"/>
      <c r="R234" s="222"/>
      <c r="Y234" s="303"/>
      <c r="Z234" s="304"/>
      <c r="AA234" s="304"/>
      <c r="AB234" s="304"/>
      <c r="AC234" s="303"/>
      <c r="AP234" s="305"/>
      <c r="AQ234" s="305"/>
      <c r="AR234" s="305"/>
      <c r="AS234" s="306"/>
      <c r="AT234" s="307"/>
    </row>
    <row r="235" ht="18.0" customHeight="1">
      <c r="H235" s="302"/>
      <c r="I235" s="302"/>
      <c r="L235" s="222"/>
      <c r="M235" s="222"/>
      <c r="N235" s="222"/>
      <c r="O235" s="222"/>
      <c r="P235" s="222"/>
      <c r="Q235" s="222"/>
      <c r="R235" s="222"/>
      <c r="Y235" s="303"/>
      <c r="Z235" s="304"/>
      <c r="AA235" s="304"/>
      <c r="AB235" s="304"/>
      <c r="AC235" s="303"/>
      <c r="AP235" s="305"/>
      <c r="AQ235" s="305"/>
      <c r="AR235" s="305"/>
      <c r="AS235" s="306"/>
      <c r="AT235" s="307"/>
    </row>
    <row r="236" ht="18.0" customHeight="1">
      <c r="H236" s="302"/>
      <c r="I236" s="302"/>
      <c r="L236" s="222"/>
      <c r="M236" s="222"/>
      <c r="N236" s="222"/>
      <c r="O236" s="222"/>
      <c r="P236" s="222"/>
      <c r="Q236" s="222"/>
      <c r="R236" s="222"/>
      <c r="Y236" s="303"/>
      <c r="Z236" s="304"/>
      <c r="AA236" s="304"/>
      <c r="AB236" s="304"/>
      <c r="AC236" s="303"/>
      <c r="AP236" s="305"/>
      <c r="AQ236" s="305"/>
      <c r="AR236" s="305"/>
      <c r="AS236" s="306"/>
      <c r="AT236" s="307"/>
    </row>
    <row r="237" ht="18.0" customHeight="1">
      <c r="H237" s="302"/>
      <c r="I237" s="302"/>
      <c r="L237" s="222"/>
      <c r="M237" s="222"/>
      <c r="N237" s="222"/>
      <c r="O237" s="222"/>
      <c r="P237" s="222"/>
      <c r="Q237" s="222"/>
      <c r="R237" s="222"/>
      <c r="Y237" s="303"/>
      <c r="Z237" s="304"/>
      <c r="AA237" s="304"/>
      <c r="AB237" s="304"/>
      <c r="AC237" s="303"/>
      <c r="AP237" s="305"/>
      <c r="AQ237" s="305"/>
      <c r="AR237" s="305"/>
      <c r="AS237" s="306"/>
      <c r="AT237" s="307"/>
    </row>
    <row r="238" ht="18.0" customHeight="1">
      <c r="H238" s="302"/>
      <c r="I238" s="302"/>
      <c r="L238" s="222"/>
      <c r="M238" s="222"/>
      <c r="N238" s="222"/>
      <c r="O238" s="222"/>
      <c r="P238" s="222"/>
      <c r="Q238" s="222"/>
      <c r="R238" s="222"/>
      <c r="Y238" s="303"/>
      <c r="Z238" s="304"/>
      <c r="AA238" s="304"/>
      <c r="AB238" s="304"/>
      <c r="AC238" s="303"/>
      <c r="AP238" s="305"/>
      <c r="AQ238" s="305"/>
      <c r="AR238" s="305"/>
      <c r="AS238" s="306"/>
      <c r="AT238" s="307"/>
    </row>
    <row r="239" ht="18.0" customHeight="1">
      <c r="H239" s="302"/>
      <c r="I239" s="302"/>
      <c r="L239" s="222"/>
      <c r="M239" s="222"/>
      <c r="N239" s="222"/>
      <c r="O239" s="222"/>
      <c r="P239" s="222"/>
      <c r="Q239" s="222"/>
      <c r="R239" s="222"/>
      <c r="Y239" s="303"/>
      <c r="Z239" s="304"/>
      <c r="AA239" s="304"/>
      <c r="AB239" s="304"/>
      <c r="AC239" s="303"/>
      <c r="AP239" s="305"/>
      <c r="AQ239" s="305"/>
      <c r="AR239" s="305"/>
      <c r="AS239" s="306"/>
      <c r="AT239" s="307"/>
    </row>
    <row r="240" ht="18.0" customHeight="1">
      <c r="H240" s="302"/>
      <c r="I240" s="302"/>
      <c r="L240" s="222"/>
      <c r="M240" s="222"/>
      <c r="N240" s="222"/>
      <c r="O240" s="222"/>
      <c r="P240" s="222"/>
      <c r="Q240" s="222"/>
      <c r="R240" s="222"/>
      <c r="Y240" s="303"/>
      <c r="Z240" s="304"/>
      <c r="AA240" s="304"/>
      <c r="AB240" s="304"/>
      <c r="AC240" s="303"/>
      <c r="AP240" s="305"/>
      <c r="AQ240" s="305"/>
      <c r="AR240" s="305"/>
      <c r="AS240" s="306"/>
      <c r="AT240" s="307"/>
    </row>
    <row r="241" ht="18.0" customHeight="1">
      <c r="H241" s="302"/>
      <c r="I241" s="302"/>
      <c r="L241" s="222"/>
      <c r="M241" s="222"/>
      <c r="N241" s="222"/>
      <c r="O241" s="222"/>
      <c r="P241" s="222"/>
      <c r="Q241" s="222"/>
      <c r="R241" s="222"/>
      <c r="Y241" s="303"/>
      <c r="Z241" s="304"/>
      <c r="AA241" s="304"/>
      <c r="AB241" s="304"/>
      <c r="AC241" s="303"/>
      <c r="AP241" s="305"/>
      <c r="AQ241" s="305"/>
      <c r="AR241" s="305"/>
      <c r="AS241" s="306"/>
      <c r="AT241" s="307"/>
    </row>
    <row r="242" ht="18.0" customHeight="1">
      <c r="H242" s="302"/>
      <c r="I242" s="302"/>
      <c r="L242" s="222"/>
      <c r="M242" s="222"/>
      <c r="N242" s="222"/>
      <c r="O242" s="222"/>
      <c r="P242" s="222"/>
      <c r="Q242" s="222"/>
      <c r="R242" s="222"/>
      <c r="Y242" s="303"/>
      <c r="Z242" s="304"/>
      <c r="AA242" s="304"/>
      <c r="AB242" s="304"/>
      <c r="AC242" s="303"/>
      <c r="AP242" s="305"/>
      <c r="AQ242" s="305"/>
      <c r="AR242" s="305"/>
      <c r="AS242" s="306"/>
      <c r="AT242" s="307"/>
    </row>
    <row r="243" ht="18.0" customHeight="1">
      <c r="H243" s="302"/>
      <c r="I243" s="302"/>
      <c r="L243" s="222"/>
      <c r="M243" s="222"/>
      <c r="N243" s="222"/>
      <c r="O243" s="222"/>
      <c r="P243" s="222"/>
      <c r="Q243" s="222"/>
      <c r="R243" s="222"/>
      <c r="Y243" s="303"/>
      <c r="Z243" s="304"/>
      <c r="AA243" s="304"/>
      <c r="AB243" s="304"/>
    </row>
    <row r="244" ht="18.0" customHeight="1">
      <c r="H244" s="302"/>
      <c r="I244" s="302"/>
      <c r="L244" s="222"/>
      <c r="M244" s="222"/>
      <c r="N244" s="222"/>
      <c r="O244" s="222"/>
      <c r="P244" s="222"/>
      <c r="Q244" s="222"/>
      <c r="R244" s="222"/>
      <c r="Y244" s="303"/>
      <c r="Z244" s="304"/>
      <c r="AA244" s="304"/>
      <c r="AB244" s="30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31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303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222"/>
      <c r="BU1" s="222"/>
      <c r="BV1" s="222"/>
      <c r="BW1" s="222"/>
      <c r="BX1" s="222"/>
      <c r="BY1" s="222"/>
      <c r="BZ1" s="222"/>
      <c r="CA1" s="222"/>
      <c r="CB1" s="222"/>
      <c r="CC1" s="222"/>
      <c r="CD1" s="222"/>
      <c r="CE1" s="222"/>
      <c r="CF1" s="222"/>
      <c r="CG1" s="222"/>
      <c r="CH1" s="222"/>
      <c r="CI1" s="222"/>
      <c r="CJ1" s="222"/>
      <c r="CK1" s="222"/>
      <c r="CL1" s="222"/>
      <c r="CM1" s="222"/>
      <c r="CN1" s="222"/>
      <c r="CO1" s="222"/>
      <c r="CP1" s="222"/>
      <c r="CQ1" s="222"/>
      <c r="CR1" s="222"/>
      <c r="CS1" s="222"/>
    </row>
    <row r="2">
      <c r="A2" s="432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</row>
    <row r="3">
      <c r="A3" s="433"/>
      <c r="B3" s="434" t="s">
        <v>152</v>
      </c>
      <c r="C3" s="435"/>
      <c r="D3" s="435"/>
      <c r="E3" s="435"/>
      <c r="F3" s="435"/>
      <c r="G3" s="435"/>
      <c r="H3" s="435"/>
      <c r="I3" s="436"/>
      <c r="J3" s="437" t="s">
        <v>134</v>
      </c>
      <c r="K3" s="435"/>
      <c r="L3" s="435"/>
      <c r="M3" s="435"/>
      <c r="N3" s="435"/>
      <c r="O3" s="435"/>
      <c r="P3" s="435"/>
      <c r="Q3" s="436"/>
      <c r="R3" s="434" t="s">
        <v>153</v>
      </c>
      <c r="S3" s="435"/>
      <c r="T3" s="435"/>
      <c r="U3" s="435"/>
      <c r="V3" s="435"/>
      <c r="W3" s="435"/>
      <c r="X3" s="435"/>
      <c r="Y3" s="436"/>
      <c r="Z3" s="437" t="s">
        <v>121</v>
      </c>
      <c r="AA3" s="435"/>
      <c r="AB3" s="435"/>
      <c r="AC3" s="435"/>
      <c r="AD3" s="435"/>
      <c r="AE3" s="435"/>
      <c r="AF3" s="435"/>
      <c r="AG3" s="436"/>
      <c r="AH3" s="438" t="s">
        <v>176</v>
      </c>
      <c r="AI3" s="435"/>
      <c r="AJ3" s="435"/>
      <c r="AK3" s="435"/>
      <c r="AL3" s="435"/>
      <c r="AM3" s="435"/>
      <c r="AN3" s="435"/>
      <c r="AO3" s="436"/>
      <c r="AP3" s="437" t="s">
        <v>129</v>
      </c>
      <c r="AQ3" s="435"/>
      <c r="AR3" s="435"/>
      <c r="AS3" s="435"/>
      <c r="AT3" s="435"/>
      <c r="AU3" s="435"/>
      <c r="AV3" s="435"/>
      <c r="AW3" s="436"/>
      <c r="AX3" s="437" t="s">
        <v>139</v>
      </c>
      <c r="AY3" s="435"/>
      <c r="AZ3" s="435"/>
      <c r="BA3" s="435"/>
      <c r="BB3" s="435"/>
      <c r="BC3" s="435"/>
      <c r="BD3" s="435"/>
      <c r="BE3" s="436"/>
      <c r="BF3" s="437" t="s">
        <v>177</v>
      </c>
      <c r="BG3" s="435"/>
      <c r="BH3" s="435"/>
      <c r="BI3" s="435"/>
      <c r="BJ3" s="435"/>
      <c r="BK3" s="435"/>
      <c r="BL3" s="435"/>
      <c r="BM3" s="436"/>
      <c r="BN3" s="437" t="s">
        <v>178</v>
      </c>
      <c r="BO3" s="435"/>
      <c r="BP3" s="435"/>
      <c r="BQ3" s="435"/>
      <c r="BR3" s="435"/>
      <c r="BS3" s="435"/>
      <c r="BT3" s="435"/>
      <c r="BU3" s="436"/>
      <c r="BV3" s="437" t="s">
        <v>140</v>
      </c>
      <c r="BW3" s="435"/>
      <c r="BX3" s="435"/>
      <c r="BY3" s="435"/>
      <c r="BZ3" s="435"/>
      <c r="CA3" s="435"/>
      <c r="CB3" s="435"/>
      <c r="CC3" s="436"/>
      <c r="CD3" s="437" t="s">
        <v>179</v>
      </c>
      <c r="CE3" s="435"/>
      <c r="CF3" s="435"/>
      <c r="CG3" s="435"/>
      <c r="CH3" s="435"/>
      <c r="CI3" s="435"/>
      <c r="CJ3" s="435"/>
      <c r="CK3" s="436"/>
      <c r="CL3" s="437" t="s">
        <v>144</v>
      </c>
      <c r="CM3" s="435"/>
      <c r="CN3" s="435"/>
      <c r="CO3" s="435"/>
      <c r="CP3" s="435"/>
      <c r="CQ3" s="435"/>
      <c r="CR3" s="435"/>
      <c r="CS3" s="436"/>
    </row>
    <row r="4">
      <c r="A4" s="439" t="s">
        <v>16</v>
      </c>
      <c r="B4" s="440" t="s">
        <v>180</v>
      </c>
      <c r="C4" s="441" t="s">
        <v>113</v>
      </c>
      <c r="D4" s="442" t="s">
        <v>181</v>
      </c>
      <c r="E4" s="443" t="s">
        <v>182</v>
      </c>
      <c r="F4" s="443" t="s">
        <v>183</v>
      </c>
      <c r="G4" s="443" t="s">
        <v>184</v>
      </c>
      <c r="H4" s="443" t="s">
        <v>185</v>
      </c>
      <c r="I4" s="444" t="s">
        <v>186</v>
      </c>
      <c r="J4" s="440" t="s">
        <v>180</v>
      </c>
      <c r="K4" s="441" t="s">
        <v>113</v>
      </c>
      <c r="L4" s="442" t="s">
        <v>181</v>
      </c>
      <c r="M4" s="443" t="s">
        <v>182</v>
      </c>
      <c r="N4" s="443" t="s">
        <v>183</v>
      </c>
      <c r="O4" s="443" t="s">
        <v>184</v>
      </c>
      <c r="P4" s="443" t="s">
        <v>185</v>
      </c>
      <c r="Q4" s="444" t="s">
        <v>186</v>
      </c>
      <c r="R4" s="440" t="s">
        <v>180</v>
      </c>
      <c r="S4" s="441" t="s">
        <v>113</v>
      </c>
      <c r="T4" s="442" t="s">
        <v>181</v>
      </c>
      <c r="U4" s="443" t="s">
        <v>182</v>
      </c>
      <c r="V4" s="443" t="s">
        <v>183</v>
      </c>
      <c r="W4" s="443" t="s">
        <v>184</v>
      </c>
      <c r="X4" s="443" t="s">
        <v>185</v>
      </c>
      <c r="Y4" s="444" t="s">
        <v>186</v>
      </c>
      <c r="Z4" s="440" t="s">
        <v>180</v>
      </c>
      <c r="AA4" s="441" t="s">
        <v>113</v>
      </c>
      <c r="AB4" s="442" t="s">
        <v>181</v>
      </c>
      <c r="AC4" s="443" t="s">
        <v>182</v>
      </c>
      <c r="AD4" s="443" t="s">
        <v>183</v>
      </c>
      <c r="AE4" s="443" t="s">
        <v>184</v>
      </c>
      <c r="AF4" s="443" t="s">
        <v>185</v>
      </c>
      <c r="AG4" s="444" t="s">
        <v>186</v>
      </c>
      <c r="AH4" s="440" t="s">
        <v>180</v>
      </c>
      <c r="AI4" s="441" t="s">
        <v>113</v>
      </c>
      <c r="AJ4" s="442" t="s">
        <v>181</v>
      </c>
      <c r="AK4" s="443" t="s">
        <v>182</v>
      </c>
      <c r="AL4" s="443" t="s">
        <v>183</v>
      </c>
      <c r="AM4" s="443" t="s">
        <v>184</v>
      </c>
      <c r="AN4" s="443" t="s">
        <v>185</v>
      </c>
      <c r="AO4" s="444" t="s">
        <v>186</v>
      </c>
      <c r="AP4" s="440" t="s">
        <v>180</v>
      </c>
      <c r="AQ4" s="441" t="s">
        <v>113</v>
      </c>
      <c r="AR4" s="442" t="s">
        <v>181</v>
      </c>
      <c r="AS4" s="443" t="s">
        <v>182</v>
      </c>
      <c r="AT4" s="443" t="s">
        <v>183</v>
      </c>
      <c r="AU4" s="443" t="s">
        <v>184</v>
      </c>
      <c r="AV4" s="443" t="s">
        <v>185</v>
      </c>
      <c r="AW4" s="444" t="s">
        <v>186</v>
      </c>
      <c r="AX4" s="440" t="s">
        <v>180</v>
      </c>
      <c r="AY4" s="441" t="s">
        <v>113</v>
      </c>
      <c r="AZ4" s="442" t="s">
        <v>181</v>
      </c>
      <c r="BA4" s="443" t="s">
        <v>182</v>
      </c>
      <c r="BB4" s="443" t="s">
        <v>183</v>
      </c>
      <c r="BC4" s="443" t="s">
        <v>184</v>
      </c>
      <c r="BD4" s="443" t="s">
        <v>185</v>
      </c>
      <c r="BE4" s="444" t="s">
        <v>186</v>
      </c>
      <c r="BF4" s="440" t="s">
        <v>180</v>
      </c>
      <c r="BG4" s="441" t="s">
        <v>113</v>
      </c>
      <c r="BH4" s="442" t="s">
        <v>181</v>
      </c>
      <c r="BI4" s="443" t="s">
        <v>182</v>
      </c>
      <c r="BJ4" s="443" t="s">
        <v>183</v>
      </c>
      <c r="BK4" s="443" t="s">
        <v>184</v>
      </c>
      <c r="BL4" s="443" t="s">
        <v>185</v>
      </c>
      <c r="BM4" s="444" t="s">
        <v>186</v>
      </c>
      <c r="BN4" s="440" t="s">
        <v>180</v>
      </c>
      <c r="BO4" s="441" t="s">
        <v>113</v>
      </c>
      <c r="BP4" s="442" t="s">
        <v>181</v>
      </c>
      <c r="BQ4" s="443" t="s">
        <v>182</v>
      </c>
      <c r="BR4" s="443" t="s">
        <v>187</v>
      </c>
      <c r="BS4" s="443" t="s">
        <v>184</v>
      </c>
      <c r="BT4" s="443" t="s">
        <v>185</v>
      </c>
      <c r="BU4" s="444" t="s">
        <v>186</v>
      </c>
      <c r="BV4" s="440" t="s">
        <v>180</v>
      </c>
      <c r="BW4" s="441" t="s">
        <v>113</v>
      </c>
      <c r="BX4" s="442" t="s">
        <v>181</v>
      </c>
      <c r="BY4" s="443" t="s">
        <v>182</v>
      </c>
      <c r="BZ4" s="443" t="s">
        <v>183</v>
      </c>
      <c r="CA4" s="443" t="s">
        <v>184</v>
      </c>
      <c r="CB4" s="443" t="s">
        <v>185</v>
      </c>
      <c r="CC4" s="444" t="s">
        <v>186</v>
      </c>
      <c r="CD4" s="440" t="s">
        <v>180</v>
      </c>
      <c r="CE4" s="441" t="s">
        <v>113</v>
      </c>
      <c r="CF4" s="442" t="s">
        <v>181</v>
      </c>
      <c r="CG4" s="443" t="s">
        <v>182</v>
      </c>
      <c r="CH4" s="443" t="s">
        <v>183</v>
      </c>
      <c r="CI4" s="443" t="s">
        <v>184</v>
      </c>
      <c r="CJ4" s="443" t="s">
        <v>185</v>
      </c>
      <c r="CK4" s="444" t="s">
        <v>186</v>
      </c>
      <c r="CL4" s="440" t="s">
        <v>180</v>
      </c>
      <c r="CM4" s="441" t="s">
        <v>113</v>
      </c>
      <c r="CN4" s="442" t="s">
        <v>181</v>
      </c>
      <c r="CO4" s="443" t="s">
        <v>182</v>
      </c>
      <c r="CP4" s="443" t="s">
        <v>183</v>
      </c>
      <c r="CQ4" s="443" t="s">
        <v>184</v>
      </c>
      <c r="CR4" s="443" t="s">
        <v>185</v>
      </c>
      <c r="CS4" s="444" t="s">
        <v>186</v>
      </c>
    </row>
    <row r="5" ht="15.0" customHeight="1">
      <c r="A5" s="445">
        <f>+'LUCERO GUEMES'!A9</f>
        <v>46143</v>
      </c>
      <c r="B5" s="446" t="str">
        <f>'AS SAN TELMO'!AR9</f>
        <v/>
      </c>
      <c r="C5" s="447" t="str">
        <f>'AS SAN TELMO'!AQ9</f>
        <v/>
      </c>
      <c r="D5" s="448" t="str">
        <f>'AS SAN TELMO'!BA9</f>
        <v/>
      </c>
      <c r="E5" s="449" t="str">
        <f>'AS SAN TELMO'!BC9</f>
        <v/>
      </c>
      <c r="F5" s="449" t="str">
        <f>'AS SAN TELMO'!BE9</f>
        <v/>
      </c>
      <c r="G5" s="449" t="str">
        <f>'AS SAN TELMO'!BG9</f>
        <v/>
      </c>
      <c r="H5" s="449" t="str">
        <f>'AS SAN TELMO'!AY9</f>
        <v/>
      </c>
      <c r="I5" s="450" t="str">
        <f>'AS SAN TELMO'!BI9</f>
        <v/>
      </c>
      <c r="J5" s="451" t="str">
        <f>'LUCERO SAN TELMO'!$AR9</f>
        <v/>
      </c>
      <c r="K5" s="447" t="str">
        <f>'LUCERO SAN TELMO'!$AQ9</f>
        <v/>
      </c>
      <c r="L5" s="448" t="str">
        <f>'LUCERO SAN TELMO'!$BA9</f>
        <v/>
      </c>
      <c r="M5" s="449" t="str">
        <f>'LUCERO SAN TELMO'!$BC9</f>
        <v/>
      </c>
      <c r="N5" s="449" t="str">
        <f>'LUCERO SAN TELMO'!$BE9</f>
        <v/>
      </c>
      <c r="O5" s="449" t="str">
        <f>'LUCERO SAN TELMO'!$BG9</f>
        <v/>
      </c>
      <c r="P5" s="449" t="str">
        <f>'LUCERO SAN TELMO'!$AY9</f>
        <v/>
      </c>
      <c r="Q5" s="450" t="str">
        <f>'LUCERO SAN TELMO'!$BI9</f>
        <v/>
      </c>
      <c r="R5" s="451" t="str">
        <f>'AS GUEMES'!$AR9</f>
        <v/>
      </c>
      <c r="S5" s="447" t="str">
        <f>'AS GUEMES'!$AQ9</f>
        <v/>
      </c>
      <c r="T5" s="448" t="str">
        <f>'AS GUEMES'!$BA9</f>
        <v/>
      </c>
      <c r="U5" s="449" t="str">
        <f>'AS GUEMES'!$BC9</f>
        <v/>
      </c>
      <c r="V5" s="449" t="str">
        <f>'AS GUEMES'!$BE9</f>
        <v/>
      </c>
      <c r="W5" s="449" t="str">
        <f>'AS GUEMES'!$BG9</f>
        <v/>
      </c>
      <c r="X5" s="449" t="str">
        <f>'AS GUEMES'!$AY9</f>
        <v/>
      </c>
      <c r="Y5" s="450" t="str">
        <f>'AS GUEMES'!$BI9</f>
        <v/>
      </c>
      <c r="Z5" s="451" t="str">
        <f>'LUCERO RECOLETA'!$AR9</f>
        <v/>
      </c>
      <c r="AA5" s="447" t="str">
        <f>'LUCERO RECOLETA'!$AQ9</f>
        <v/>
      </c>
      <c r="AB5" s="448" t="str">
        <f>'LUCERO RECOLETA'!$BA9</f>
        <v/>
      </c>
      <c r="AC5" s="449" t="str">
        <f>'LUCERO RECOLETA'!$BC9</f>
        <v/>
      </c>
      <c r="AD5" s="449" t="str">
        <f>'LUCERO RECOLETA'!$BE9</f>
        <v/>
      </c>
      <c r="AE5" s="449" t="str">
        <f>'LUCERO RECOLETA'!$BG9</f>
        <v/>
      </c>
      <c r="AF5" s="449" t="str">
        <f>'LUCERO RECOLETA'!$AY9</f>
        <v/>
      </c>
      <c r="AG5" s="450" t="str">
        <f>'LUCERO RECOLETA'!$BI9</f>
        <v/>
      </c>
      <c r="AH5" s="451">
        <v>0.0</v>
      </c>
      <c r="AI5" s="447">
        <v>0.0</v>
      </c>
      <c r="AJ5" s="448">
        <v>0.0</v>
      </c>
      <c r="AK5" s="449">
        <v>0.0</v>
      </c>
      <c r="AL5" s="449">
        <v>0.0</v>
      </c>
      <c r="AM5" s="449">
        <v>0.0</v>
      </c>
      <c r="AN5" s="449">
        <v>0.0</v>
      </c>
      <c r="AO5" s="450">
        <v>0.0</v>
      </c>
      <c r="AP5" s="451" t="str">
        <f>'LUCERO FRENCH'!$AR9</f>
        <v/>
      </c>
      <c r="AQ5" s="447" t="str">
        <f>'LUCERO FRENCH'!$AQ9</f>
        <v/>
      </c>
      <c r="AR5" s="448" t="str">
        <f>'LUCERO FRENCH'!$BA9</f>
        <v/>
      </c>
      <c r="AS5" s="449" t="str">
        <f>'LUCERO FRENCH'!$BC9</f>
        <v/>
      </c>
      <c r="AT5" s="449" t="str">
        <f>'LUCERO FRENCH'!$BE9</f>
        <v/>
      </c>
      <c r="AU5" s="449" t="str">
        <f>'LUCERO FRENCH'!$BG9</f>
        <v/>
      </c>
      <c r="AV5" s="449" t="str">
        <f>'LUCERO FRENCH'!$AY9</f>
        <v/>
      </c>
      <c r="AW5" s="450" t="str">
        <f>'LUCERO FRENCH'!$BI9</f>
        <v/>
      </c>
      <c r="AX5" s="451" t="str">
        <f>'LUCERO SAN TELMO 2'!$AR9</f>
        <v/>
      </c>
      <c r="AY5" s="447" t="str">
        <f>'LUCERO SAN TELMO 2'!$AQ9</f>
        <v/>
      </c>
      <c r="AZ5" s="448" t="str">
        <f>'LUCERO SAN TELMO 2'!$BA9</f>
        <v/>
      </c>
      <c r="BA5" s="449" t="str">
        <f>'LUCERO SAN TELMO 2'!$BC9</f>
        <v/>
      </c>
      <c r="BB5" s="449" t="str">
        <f>'LUCERO SAN TELMO 2'!$BE9</f>
        <v/>
      </c>
      <c r="BC5" s="449" t="str">
        <f>'LUCERO SAN TELMO 2'!$BG9</f>
        <v/>
      </c>
      <c r="BD5" s="449" t="str">
        <f>'LUCERO SAN TELMO 2'!$AY9</f>
        <v/>
      </c>
      <c r="BE5" s="450" t="str">
        <f>'LUCERO SAN TELMO 2'!$BI9</f>
        <v/>
      </c>
      <c r="BF5" s="451" t="str">
        <f>RESERVA!$AO9</f>
        <v/>
      </c>
      <c r="BG5" s="447" t="str">
        <f>RESERVA!$AN9</f>
        <v/>
      </c>
      <c r="BH5" s="448" t="str">
        <f>RESERVA!$AX9</f>
        <v/>
      </c>
      <c r="BI5" s="449" t="str">
        <f>RESERVA!$AZ9</f>
        <v/>
      </c>
      <c r="BJ5" s="449" t="str">
        <f>RESERVA!$BB9</f>
        <v/>
      </c>
      <c r="BK5" s="449" t="str">
        <f>RESERVA!$BD9</f>
        <v/>
      </c>
      <c r="BL5" s="449" t="str">
        <f>RESERVA!$AV9</f>
        <v/>
      </c>
      <c r="BM5" s="450" t="str">
        <f>RESERVA!$BF9</f>
        <v/>
      </c>
      <c r="BN5" s="451" t="str">
        <f>'LUCERO FLORIDA'!$AR9</f>
        <v/>
      </c>
      <c r="BO5" s="447" t="str">
        <f>'LUCERO FLORIDA'!$AQ9</f>
        <v/>
      </c>
      <c r="BP5" s="448" t="str">
        <f>'LUCERO FLORIDA'!$BA9</f>
        <v/>
      </c>
      <c r="BQ5" s="449" t="str">
        <f>'LUCERO FLORIDA'!$BC9</f>
        <v/>
      </c>
      <c r="BR5" s="449" t="str">
        <f>'LUCERO FLORIDA'!$BE9</f>
        <v/>
      </c>
      <c r="BS5" s="449" t="str">
        <f>'LUCERO FLORIDA'!$BG9</f>
        <v/>
      </c>
      <c r="BT5" s="449" t="str">
        <f>'LUCERO FLORIDA'!$AY9</f>
        <v/>
      </c>
      <c r="BU5" s="450" t="str">
        <f>'LUCERO FLORIDA'!$BI9</f>
        <v/>
      </c>
      <c r="BV5" s="451" t="str">
        <f>'LUCERO GUEMES'!$AR9</f>
        <v/>
      </c>
      <c r="BW5" s="447" t="str">
        <f>'LUCERO GUEMES'!$AQ9</f>
        <v/>
      </c>
      <c r="BX5" s="448" t="str">
        <f>'LUCERO GUEMES'!$BA9</f>
        <v/>
      </c>
      <c r="BY5" s="449" t="str">
        <f>'LUCERO GUEMES'!$BC9</f>
        <v/>
      </c>
      <c r="BZ5" s="449" t="str">
        <f>'LUCERO GUEMES'!$BE9</f>
        <v/>
      </c>
      <c r="CA5" s="449" t="str">
        <f>'LUCERO GUEMES'!$BG9</f>
        <v/>
      </c>
      <c r="CB5" s="449" t="str">
        <f>'LUCERO GUEMES'!$AY9</f>
        <v/>
      </c>
      <c r="CC5" s="450" t="str">
        <f>'LUCERO GUEMES'!$BI9</f>
        <v/>
      </c>
      <c r="CD5" s="451" t="str">
        <f>'LUCERO EL SOLAR'!AR9</f>
        <v/>
      </c>
      <c r="CE5" s="447" t="str">
        <f>'LUCERO EL SOLAR'!$AQ9</f>
        <v/>
      </c>
      <c r="CF5" s="448" t="str">
        <f>'LUCERO EL SOLAR'!$BA9</f>
        <v/>
      </c>
      <c r="CG5" s="449" t="str">
        <f>'LUCERO EL SOLAR'!$BC9</f>
        <v/>
      </c>
      <c r="CH5" s="449" t="str">
        <f>'LUCERO EL SOLAR'!$BE9</f>
        <v/>
      </c>
      <c r="CI5" s="449" t="str">
        <f>'LUCERO EL SOLAR'!$BG9</f>
        <v/>
      </c>
      <c r="CJ5" s="449" t="str">
        <f>'LUCERO EL SOLAR'!$AY9</f>
        <v/>
      </c>
      <c r="CK5" s="450" t="str">
        <f>'LUCERO EL SOLAR'!$BI9</f>
        <v/>
      </c>
      <c r="CL5" s="451" t="str">
        <f>'LUCERO GUEMES 2'!$AS9</f>
        <v/>
      </c>
      <c r="CM5" s="447" t="str">
        <f>'LUCERO GUEMES 2'!$AQ9</f>
        <v/>
      </c>
      <c r="CN5" s="448">
        <f>'LUCERO GUEMES 2'!$BB9</f>
        <v>0</v>
      </c>
      <c r="CO5" s="449">
        <f>'LUCERO GUEMES 2'!$BD9</f>
        <v>0</v>
      </c>
      <c r="CP5" s="449">
        <f>'LUCERO GUEMES 2'!$BF9</f>
        <v>0</v>
      </c>
      <c r="CQ5" s="449">
        <f>'LUCERO GUEMES 2'!$BH9</f>
        <v>0</v>
      </c>
      <c r="CR5" s="449">
        <f>'LUCERO GUEMES 2'!$AZ9</f>
        <v>0</v>
      </c>
      <c r="CS5" s="450">
        <f>'LUCERO GUEMES 2'!$BJ9</f>
        <v>0</v>
      </c>
    </row>
    <row r="6">
      <c r="A6" s="445">
        <f>+'LUCERO GUEMES'!A10</f>
        <v>46144</v>
      </c>
      <c r="B6" s="446" t="str">
        <f>'AS SAN TELMO'!AR10</f>
        <v/>
      </c>
      <c r="C6" s="447">
        <f>'AS SAN TELMO'!AQ10</f>
        <v>93300</v>
      </c>
      <c r="D6" s="448" t="str">
        <f>'AS SAN TELMO'!BA10</f>
        <v/>
      </c>
      <c r="E6" s="449" t="str">
        <f>'AS SAN TELMO'!BC10</f>
        <v/>
      </c>
      <c r="F6" s="449" t="str">
        <f>'AS SAN TELMO'!BE10</f>
        <v/>
      </c>
      <c r="G6" s="449" t="str">
        <f>'AS SAN TELMO'!BG10</f>
        <v/>
      </c>
      <c r="H6" s="449" t="str">
        <f>'AS SAN TELMO'!AY10</f>
        <v/>
      </c>
      <c r="I6" s="450" t="str">
        <f>'AS SAN TELMO'!BI10</f>
        <v/>
      </c>
      <c r="J6" s="451" t="str">
        <f>'LUCERO SAN TELMO'!$AR10</f>
        <v/>
      </c>
      <c r="K6" s="447">
        <f>'LUCERO SAN TELMO'!$AQ10</f>
        <v>214000</v>
      </c>
      <c r="L6" s="448">
        <f>'LUCERO SAN TELMO'!$BA10</f>
        <v>200</v>
      </c>
      <c r="M6" s="449">
        <f>'LUCERO SAN TELMO'!$BC10</f>
        <v>80</v>
      </c>
      <c r="N6" s="449" t="str">
        <f>'LUCERO SAN TELMO'!$BE10</f>
        <v/>
      </c>
      <c r="O6" s="449" t="str">
        <f>'LUCERO SAN TELMO'!$BG10</f>
        <v/>
      </c>
      <c r="P6" s="449" t="str">
        <f>'LUCERO SAN TELMO'!$AY10</f>
        <v/>
      </c>
      <c r="Q6" s="450" t="str">
        <f>'LUCERO SAN TELMO'!$BI10</f>
        <v/>
      </c>
      <c r="R6" s="451" t="str">
        <f>'AS GUEMES'!$AR10</f>
        <v/>
      </c>
      <c r="S6" s="447" t="str">
        <f>'AS GUEMES'!$AQ10</f>
        <v/>
      </c>
      <c r="T6" s="448" t="str">
        <f>'AS GUEMES'!$BA10</f>
        <v/>
      </c>
      <c r="U6" s="449" t="str">
        <f>'AS GUEMES'!$BC10</f>
        <v/>
      </c>
      <c r="V6" s="449" t="str">
        <f>'AS GUEMES'!$BE10</f>
        <v/>
      </c>
      <c r="W6" s="449" t="str">
        <f>'AS GUEMES'!$BG10</f>
        <v/>
      </c>
      <c r="X6" s="449" t="str">
        <f>'AS GUEMES'!$AY10</f>
        <v/>
      </c>
      <c r="Y6" s="450" t="str">
        <f>'AS GUEMES'!$BI10</f>
        <v/>
      </c>
      <c r="Z6" s="451" t="str">
        <f>'LUCERO RECOLETA'!$AR10</f>
        <v/>
      </c>
      <c r="AA6" s="447">
        <f>'LUCERO RECOLETA'!$AQ10</f>
        <v>100000</v>
      </c>
      <c r="AB6" s="448">
        <f>'LUCERO RECOLETA'!$BA10</f>
        <v>200</v>
      </c>
      <c r="AC6" s="449" t="str">
        <f>'LUCERO RECOLETA'!$BC10</f>
        <v/>
      </c>
      <c r="AD6" s="449" t="str">
        <f>'LUCERO RECOLETA'!$BE10</f>
        <v/>
      </c>
      <c r="AE6" s="449" t="str">
        <f>'LUCERO RECOLETA'!$BG10</f>
        <v/>
      </c>
      <c r="AF6" s="449" t="str">
        <f>'LUCERO RECOLETA'!$AY10</f>
        <v/>
      </c>
      <c r="AG6" s="450" t="str">
        <f>'LUCERO RECOLETA'!$BI10</f>
        <v/>
      </c>
      <c r="AH6" s="451">
        <v>0.0</v>
      </c>
      <c r="AI6" s="447">
        <v>0.0</v>
      </c>
      <c r="AJ6" s="448">
        <v>0.0</v>
      </c>
      <c r="AK6" s="449">
        <v>0.0</v>
      </c>
      <c r="AL6" s="449">
        <v>0.0</v>
      </c>
      <c r="AM6" s="449">
        <v>0.0</v>
      </c>
      <c r="AN6" s="449">
        <v>0.0</v>
      </c>
      <c r="AO6" s="450">
        <v>0.0</v>
      </c>
      <c r="AP6" s="451" t="str">
        <f>'LUCERO FRENCH'!$AR10</f>
        <v/>
      </c>
      <c r="AQ6" s="447">
        <f>'LUCERO FRENCH'!$AQ10</f>
        <v>0</v>
      </c>
      <c r="AR6" s="448" t="str">
        <f>'LUCERO FRENCH'!$BA10</f>
        <v/>
      </c>
      <c r="AS6" s="449" t="str">
        <f>'LUCERO FRENCH'!$BC10</f>
        <v/>
      </c>
      <c r="AT6" s="449" t="str">
        <f>'LUCERO FRENCH'!$BE10</f>
        <v/>
      </c>
      <c r="AU6" s="449" t="str">
        <f>'LUCERO FRENCH'!$BG10</f>
        <v/>
      </c>
      <c r="AV6" s="449" t="str">
        <f>'LUCERO FRENCH'!$AY10</f>
        <v/>
      </c>
      <c r="AW6" s="450" t="str">
        <f>'LUCERO FRENCH'!$BI10</f>
        <v/>
      </c>
      <c r="AX6" s="451" t="str">
        <f>'LUCERO SAN TELMO 2'!$AR10</f>
        <v/>
      </c>
      <c r="AY6" s="447">
        <f>'LUCERO SAN TELMO 2'!$AQ10</f>
        <v>0</v>
      </c>
      <c r="AZ6" s="448" t="str">
        <f>'LUCERO SAN TELMO 2'!$BA10</f>
        <v/>
      </c>
      <c r="BA6" s="449" t="str">
        <f>'LUCERO SAN TELMO 2'!$BC10</f>
        <v/>
      </c>
      <c r="BB6" s="449" t="str">
        <f>'LUCERO SAN TELMO 2'!$BE10</f>
        <v/>
      </c>
      <c r="BC6" s="449" t="str">
        <f>'LUCERO SAN TELMO 2'!$BG10</f>
        <v/>
      </c>
      <c r="BD6" s="449" t="str">
        <f>'LUCERO SAN TELMO 2'!$AY10</f>
        <v/>
      </c>
      <c r="BE6" s="450" t="str">
        <f>'LUCERO SAN TELMO 2'!$BI10</f>
        <v/>
      </c>
      <c r="BF6" s="451" t="str">
        <f>RESERVA!$AO10</f>
        <v/>
      </c>
      <c r="BG6" s="447" t="str">
        <f>RESERVA!$AN10</f>
        <v/>
      </c>
      <c r="BH6" s="448" t="str">
        <f>RESERVA!$AX10</f>
        <v/>
      </c>
      <c r="BI6" s="449" t="str">
        <f>RESERVA!$AZ10</f>
        <v/>
      </c>
      <c r="BJ6" s="449" t="str">
        <f>RESERVA!$BB10</f>
        <v/>
      </c>
      <c r="BK6" s="449" t="str">
        <f>RESERVA!$BD10</f>
        <v/>
      </c>
      <c r="BL6" s="449" t="str">
        <f>RESERVA!$AV10</f>
        <v/>
      </c>
      <c r="BM6" s="450" t="str">
        <f>RESERVA!$BF10</f>
        <v/>
      </c>
      <c r="BN6" s="451" t="str">
        <f>'LUCERO FLORIDA'!$AR10</f>
        <v/>
      </c>
      <c r="BO6" s="447">
        <f>'LUCERO FLORIDA'!$AQ10</f>
        <v>90000</v>
      </c>
      <c r="BP6" s="448" t="str">
        <f>'LUCERO FLORIDA'!$BA10</f>
        <v/>
      </c>
      <c r="BQ6" s="449" t="str">
        <f>'LUCERO FLORIDA'!$BC10</f>
        <v/>
      </c>
      <c r="BR6" s="449" t="str">
        <f>'LUCERO FLORIDA'!$BE10</f>
        <v/>
      </c>
      <c r="BS6" s="449" t="str">
        <f>'LUCERO FLORIDA'!$BG10</f>
        <v/>
      </c>
      <c r="BT6" s="449" t="str">
        <f>'LUCERO FLORIDA'!$AY10</f>
        <v/>
      </c>
      <c r="BU6" s="450" t="str">
        <f>'LUCERO FLORIDA'!$BI10</f>
        <v/>
      </c>
      <c r="BV6" s="451" t="str">
        <f>'LUCERO GUEMES'!$AR10</f>
        <v/>
      </c>
      <c r="BW6" s="447" t="str">
        <f>'LUCERO GUEMES'!$AQ10</f>
        <v/>
      </c>
      <c r="BX6" s="448" t="str">
        <f>'LUCERO GUEMES'!$BA10</f>
        <v/>
      </c>
      <c r="BY6" s="449" t="str">
        <f>'LUCERO GUEMES'!$BC10</f>
        <v/>
      </c>
      <c r="BZ6" s="449" t="str">
        <f>'LUCERO GUEMES'!$BE10</f>
        <v/>
      </c>
      <c r="CA6" s="449" t="str">
        <f>'LUCERO GUEMES'!$BG10</f>
        <v/>
      </c>
      <c r="CB6" s="449" t="str">
        <f>'LUCERO GUEMES'!$AY10</f>
        <v/>
      </c>
      <c r="CC6" s="450" t="str">
        <f>'LUCERO GUEMES'!$BI10</f>
        <v/>
      </c>
      <c r="CD6" s="451" t="str">
        <f>'LUCERO EL SOLAR'!AR10</f>
        <v/>
      </c>
      <c r="CE6" s="447">
        <f>'LUCERO EL SOLAR'!$AQ10</f>
        <v>185000</v>
      </c>
      <c r="CF6" s="448" t="str">
        <f>'LUCERO EL SOLAR'!$BA10</f>
        <v/>
      </c>
      <c r="CG6" s="449" t="str">
        <f>'LUCERO EL SOLAR'!$BC10</f>
        <v/>
      </c>
      <c r="CH6" s="449" t="str">
        <f>'LUCERO EL SOLAR'!$BE10</f>
        <v/>
      </c>
      <c r="CI6" s="449" t="str">
        <f>'LUCERO EL SOLAR'!$BG10</f>
        <v/>
      </c>
      <c r="CJ6" s="449" t="str">
        <f>'LUCERO EL SOLAR'!$AY10</f>
        <v/>
      </c>
      <c r="CK6" s="450" t="str">
        <f>'LUCERO EL SOLAR'!$BI10</f>
        <v/>
      </c>
      <c r="CL6" s="451" t="str">
        <f>'LUCERO GUEMES 2'!$AS10</f>
        <v/>
      </c>
      <c r="CM6" s="447" t="str">
        <f>'LUCERO GUEMES 2'!$AQ10</f>
        <v/>
      </c>
      <c r="CN6" s="448">
        <f>'LUCERO GUEMES 2'!$BB10</f>
        <v>0</v>
      </c>
      <c r="CO6" s="449">
        <f>'LUCERO GUEMES 2'!$BD10</f>
        <v>0</v>
      </c>
      <c r="CP6" s="449">
        <f>'LUCERO GUEMES 2'!$BF10</f>
        <v>0</v>
      </c>
      <c r="CQ6" s="449">
        <f>'LUCERO GUEMES 2'!$BH10</f>
        <v>0</v>
      </c>
      <c r="CR6" s="449">
        <f>'LUCERO GUEMES 2'!$AZ10</f>
        <v>0</v>
      </c>
      <c r="CS6" s="450">
        <f>'LUCERO GUEMES 2'!$BJ10</f>
        <v>0</v>
      </c>
    </row>
    <row r="7">
      <c r="A7" s="445">
        <f>+'LUCERO GUEMES'!A11</f>
        <v>46145</v>
      </c>
      <c r="B7" s="446" t="str">
        <f>'AS SAN TELMO'!AR11</f>
        <v/>
      </c>
      <c r="C7" s="447">
        <f>'AS SAN TELMO'!AQ11</f>
        <v>234000</v>
      </c>
      <c r="D7" s="448" t="str">
        <f>'AS SAN TELMO'!BA11</f>
        <v/>
      </c>
      <c r="E7" s="449" t="str">
        <f>'AS SAN TELMO'!BC11</f>
        <v/>
      </c>
      <c r="F7" s="449" t="str">
        <f>'AS SAN TELMO'!BE11</f>
        <v/>
      </c>
      <c r="G7" s="449" t="str">
        <f>'AS SAN TELMO'!BG11</f>
        <v/>
      </c>
      <c r="H7" s="449" t="str">
        <f>'AS SAN TELMO'!AY11</f>
        <v/>
      </c>
      <c r="I7" s="450" t="str">
        <f>'AS SAN TELMO'!BI11</f>
        <v/>
      </c>
      <c r="J7" s="451" t="str">
        <f>'LUCERO SAN TELMO'!$AR11</f>
        <v/>
      </c>
      <c r="K7" s="447">
        <f>'LUCERO SAN TELMO'!$AQ11</f>
        <v>269000</v>
      </c>
      <c r="L7" s="448" t="str">
        <f>'LUCERO SAN TELMO'!$BA11</f>
        <v/>
      </c>
      <c r="M7" s="449" t="str">
        <f>'LUCERO SAN TELMO'!$BC11</f>
        <v/>
      </c>
      <c r="N7" s="449" t="str">
        <f>'LUCERO SAN TELMO'!$BE11</f>
        <v/>
      </c>
      <c r="O7" s="449" t="str">
        <f>'LUCERO SAN TELMO'!$BG11</f>
        <v/>
      </c>
      <c r="P7" s="449" t="str">
        <f>'LUCERO SAN TELMO'!$AY11</f>
        <v/>
      </c>
      <c r="Q7" s="450" t="str">
        <f>'LUCERO SAN TELMO'!$BI11</f>
        <v/>
      </c>
      <c r="R7" s="451" t="str">
        <f>'AS GUEMES'!$AR11</f>
        <v/>
      </c>
      <c r="S7" s="447" t="str">
        <f>'AS GUEMES'!$AQ11</f>
        <v/>
      </c>
      <c r="T7" s="448" t="str">
        <f>'AS GUEMES'!$BA11</f>
        <v/>
      </c>
      <c r="U7" s="449" t="str">
        <f>'AS GUEMES'!$BC11</f>
        <v/>
      </c>
      <c r="V7" s="449" t="str">
        <f>'AS GUEMES'!$BE11</f>
        <v/>
      </c>
      <c r="W7" s="449" t="str">
        <f>'AS GUEMES'!$BG11</f>
        <v/>
      </c>
      <c r="X7" s="449" t="str">
        <f>'AS GUEMES'!$AY11</f>
        <v/>
      </c>
      <c r="Y7" s="450" t="str">
        <f>'AS GUEMES'!$BI11</f>
        <v/>
      </c>
      <c r="Z7" s="451" t="str">
        <f>'LUCERO RECOLETA'!$AR11</f>
        <v/>
      </c>
      <c r="AA7" s="447">
        <f>'LUCERO RECOLETA'!$AQ11</f>
        <v>0</v>
      </c>
      <c r="AB7" s="448" t="str">
        <f>'LUCERO RECOLETA'!$BA11</f>
        <v/>
      </c>
      <c r="AC7" s="449" t="str">
        <f>'LUCERO RECOLETA'!$BC11</f>
        <v/>
      </c>
      <c r="AD7" s="449" t="str">
        <f>'LUCERO RECOLETA'!$BE11</f>
        <v/>
      </c>
      <c r="AE7" s="449" t="str">
        <f>'LUCERO RECOLETA'!$BG11</f>
        <v/>
      </c>
      <c r="AF7" s="449" t="str">
        <f>'LUCERO RECOLETA'!$AY11</f>
        <v/>
      </c>
      <c r="AG7" s="450" t="str">
        <f>'LUCERO RECOLETA'!$BI11</f>
        <v/>
      </c>
      <c r="AH7" s="451">
        <v>0.0</v>
      </c>
      <c r="AI7" s="447">
        <v>0.0</v>
      </c>
      <c r="AJ7" s="448">
        <v>0.0</v>
      </c>
      <c r="AK7" s="449">
        <v>0.0</v>
      </c>
      <c r="AL7" s="449">
        <v>0.0</v>
      </c>
      <c r="AM7" s="449">
        <v>0.0</v>
      </c>
      <c r="AN7" s="449">
        <v>0.0</v>
      </c>
      <c r="AO7" s="450">
        <v>0.0</v>
      </c>
      <c r="AP7" s="451" t="str">
        <f>'LUCERO FRENCH'!$AR11</f>
        <v/>
      </c>
      <c r="AQ7" s="447">
        <f>'LUCERO FRENCH'!$AQ11</f>
        <v>0</v>
      </c>
      <c r="AR7" s="448">
        <f>'LUCERO FRENCH'!$BA11</f>
        <v>40</v>
      </c>
      <c r="AS7" s="449" t="str">
        <f>'LUCERO FRENCH'!$BC11</f>
        <v/>
      </c>
      <c r="AT7" s="449" t="str">
        <f>'LUCERO FRENCH'!$BE11</f>
        <v/>
      </c>
      <c r="AU7" s="449" t="str">
        <f>'LUCERO FRENCH'!$BG11</f>
        <v/>
      </c>
      <c r="AV7" s="449" t="str">
        <f>'LUCERO FRENCH'!$AY11</f>
        <v/>
      </c>
      <c r="AW7" s="450" t="str">
        <f>'LUCERO FRENCH'!$BI11</f>
        <v/>
      </c>
      <c r="AX7" s="451" t="str">
        <f>'LUCERO SAN TELMO 2'!$AR11</f>
        <v/>
      </c>
      <c r="AY7" s="447">
        <f>'LUCERO SAN TELMO 2'!$AQ11</f>
        <v>40000</v>
      </c>
      <c r="AZ7" s="448">
        <f>'LUCERO SAN TELMO 2'!$BA11</f>
        <v>100</v>
      </c>
      <c r="BA7" s="449" t="str">
        <f>'LUCERO SAN TELMO 2'!$BC11</f>
        <v/>
      </c>
      <c r="BB7" s="449" t="str">
        <f>'LUCERO SAN TELMO 2'!$BE11</f>
        <v/>
      </c>
      <c r="BC7" s="449" t="str">
        <f>'LUCERO SAN TELMO 2'!$BG11</f>
        <v/>
      </c>
      <c r="BD7" s="449" t="str">
        <f>'LUCERO SAN TELMO 2'!$AY11</f>
        <v/>
      </c>
      <c r="BE7" s="450" t="str">
        <f>'LUCERO SAN TELMO 2'!$BI11</f>
        <v/>
      </c>
      <c r="BF7" s="451" t="str">
        <f>RESERVA!$AO11</f>
        <v/>
      </c>
      <c r="BG7" s="447" t="str">
        <f>RESERVA!$AN11</f>
        <v/>
      </c>
      <c r="BH7" s="448" t="str">
        <f>RESERVA!$AX11</f>
        <v/>
      </c>
      <c r="BI7" s="449" t="str">
        <f>RESERVA!$AZ11</f>
        <v/>
      </c>
      <c r="BJ7" s="449" t="str">
        <f>RESERVA!$BB11</f>
        <v/>
      </c>
      <c r="BK7" s="449" t="str">
        <f>RESERVA!$BD11</f>
        <v/>
      </c>
      <c r="BL7" s="449" t="str">
        <f>RESERVA!$AV11</f>
        <v/>
      </c>
      <c r="BM7" s="450" t="str">
        <f>RESERVA!$BF11</f>
        <v/>
      </c>
      <c r="BN7" s="451" t="str">
        <f>'LUCERO FLORIDA'!$AR11</f>
        <v/>
      </c>
      <c r="BO7" s="447">
        <f>'LUCERO FLORIDA'!$AQ11</f>
        <v>15000</v>
      </c>
      <c r="BP7" s="448">
        <f>'LUCERO FLORIDA'!$BA11</f>
        <v>100</v>
      </c>
      <c r="BQ7" s="449">
        <f>'LUCERO FLORIDA'!$BC11</f>
        <v>40</v>
      </c>
      <c r="BR7" s="449" t="str">
        <f>'LUCERO FLORIDA'!$BE11</f>
        <v/>
      </c>
      <c r="BS7" s="449" t="str">
        <f>'LUCERO FLORIDA'!$BG11</f>
        <v/>
      </c>
      <c r="BT7" s="449" t="str">
        <f>'LUCERO FLORIDA'!$AY11</f>
        <v/>
      </c>
      <c r="BU7" s="450" t="str">
        <f>'LUCERO FLORIDA'!$BI11</f>
        <v/>
      </c>
      <c r="BV7" s="451" t="str">
        <f>'LUCERO GUEMES'!$AR11</f>
        <v/>
      </c>
      <c r="BW7" s="447" t="str">
        <f>'LUCERO GUEMES'!$AQ11</f>
        <v/>
      </c>
      <c r="BX7" s="448" t="str">
        <f>'LUCERO GUEMES'!$BA11</f>
        <v/>
      </c>
      <c r="BY7" s="449" t="str">
        <f>'LUCERO GUEMES'!$BC11</f>
        <v/>
      </c>
      <c r="BZ7" s="449" t="str">
        <f>'LUCERO GUEMES'!$BE11</f>
        <v/>
      </c>
      <c r="CA7" s="449" t="str">
        <f>'LUCERO GUEMES'!$BG11</f>
        <v/>
      </c>
      <c r="CB7" s="449" t="str">
        <f>'LUCERO GUEMES'!$AY11</f>
        <v/>
      </c>
      <c r="CC7" s="450" t="str">
        <f>'LUCERO GUEMES'!$BI11</f>
        <v/>
      </c>
      <c r="CD7" s="451" t="str">
        <f>'LUCERO EL SOLAR'!AR11</f>
        <v/>
      </c>
      <c r="CE7" s="447">
        <f>'LUCERO EL SOLAR'!$AQ11</f>
        <v>25000</v>
      </c>
      <c r="CF7" s="448" t="str">
        <f>'LUCERO EL SOLAR'!$BA11</f>
        <v/>
      </c>
      <c r="CG7" s="449" t="str">
        <f>'LUCERO EL SOLAR'!$BC11</f>
        <v/>
      </c>
      <c r="CH7" s="449" t="str">
        <f>'LUCERO EL SOLAR'!$BE11</f>
        <v/>
      </c>
      <c r="CI7" s="449" t="str">
        <f>'LUCERO EL SOLAR'!$BG11</f>
        <v/>
      </c>
      <c r="CJ7" s="449" t="str">
        <f>'LUCERO EL SOLAR'!$AY11</f>
        <v/>
      </c>
      <c r="CK7" s="450" t="str">
        <f>'LUCERO EL SOLAR'!$BI11</f>
        <v/>
      </c>
      <c r="CL7" s="451" t="str">
        <f>'LUCERO GUEMES 2'!$AS11</f>
        <v/>
      </c>
      <c r="CM7" s="447" t="str">
        <f>'LUCERO GUEMES 2'!$AQ11</f>
        <v/>
      </c>
      <c r="CN7" s="448">
        <f>'LUCERO GUEMES 2'!$BB11</f>
        <v>0</v>
      </c>
      <c r="CO7" s="449">
        <f>'LUCERO GUEMES 2'!$BD11</f>
        <v>0</v>
      </c>
      <c r="CP7" s="449">
        <f>'LUCERO GUEMES 2'!$BF11</f>
        <v>0</v>
      </c>
      <c r="CQ7" s="449">
        <f>'LUCERO GUEMES 2'!$BH11</f>
        <v>0</v>
      </c>
      <c r="CR7" s="449">
        <f>'LUCERO GUEMES 2'!$AZ11</f>
        <v>0</v>
      </c>
      <c r="CS7" s="450">
        <f>'LUCERO GUEMES 2'!$BJ11</f>
        <v>0</v>
      </c>
    </row>
    <row r="8">
      <c r="A8" s="445">
        <f>+'LUCERO GUEMES'!A12</f>
        <v>46146</v>
      </c>
      <c r="B8" s="446" t="str">
        <f>'AS SAN TELMO'!AR12</f>
        <v/>
      </c>
      <c r="C8" s="447">
        <f>'AS SAN TELMO'!AQ12</f>
        <v>33900</v>
      </c>
      <c r="D8" s="448" t="str">
        <f>'AS SAN TELMO'!BA12</f>
        <v/>
      </c>
      <c r="E8" s="449" t="str">
        <f>'AS SAN TELMO'!BC12</f>
        <v/>
      </c>
      <c r="F8" s="449" t="str">
        <f>'AS SAN TELMO'!BE12</f>
        <v/>
      </c>
      <c r="G8" s="449" t="str">
        <f>'AS SAN TELMO'!BG12</f>
        <v/>
      </c>
      <c r="H8" s="449" t="str">
        <f>'AS SAN TELMO'!AY12</f>
        <v/>
      </c>
      <c r="I8" s="450" t="str">
        <f>'AS SAN TELMO'!BI12</f>
        <v/>
      </c>
      <c r="J8" s="451" t="str">
        <f>'LUCERO SAN TELMO'!$AR12</f>
        <v/>
      </c>
      <c r="K8" s="447">
        <f>'LUCERO SAN TELMO'!$AQ12</f>
        <v>0</v>
      </c>
      <c r="L8" s="448" t="str">
        <f>'LUCERO SAN TELMO'!$BA12</f>
        <v/>
      </c>
      <c r="M8" s="449" t="str">
        <f>'LUCERO SAN TELMO'!$BC12</f>
        <v/>
      </c>
      <c r="N8" s="449" t="str">
        <f>'LUCERO SAN TELMO'!$BE12</f>
        <v/>
      </c>
      <c r="O8" s="449" t="str">
        <f>'LUCERO SAN TELMO'!$BG12</f>
        <v/>
      </c>
      <c r="P8" s="449" t="str">
        <f>'LUCERO SAN TELMO'!$AY12</f>
        <v/>
      </c>
      <c r="Q8" s="450" t="str">
        <f>'LUCERO SAN TELMO'!$BI12</f>
        <v/>
      </c>
      <c r="R8" s="451" t="str">
        <f>'AS GUEMES'!$AR12</f>
        <v/>
      </c>
      <c r="S8" s="447" t="str">
        <f>'AS GUEMES'!$AQ12</f>
        <v/>
      </c>
      <c r="T8" s="448" t="str">
        <f>'AS GUEMES'!$BA12</f>
        <v/>
      </c>
      <c r="U8" s="449" t="str">
        <f>'AS GUEMES'!$BC12</f>
        <v/>
      </c>
      <c r="V8" s="449" t="str">
        <f>'AS GUEMES'!$BE12</f>
        <v/>
      </c>
      <c r="W8" s="449" t="str">
        <f>'AS GUEMES'!$BG12</f>
        <v/>
      </c>
      <c r="X8" s="449" t="str">
        <f>'AS GUEMES'!$AY12</f>
        <v/>
      </c>
      <c r="Y8" s="450" t="str">
        <f>'AS GUEMES'!$BI12</f>
        <v/>
      </c>
      <c r="Z8" s="451" t="str">
        <f>'LUCERO RECOLETA'!$AR12</f>
        <v/>
      </c>
      <c r="AA8" s="447">
        <f>'LUCERO RECOLETA'!$AQ12</f>
        <v>20000</v>
      </c>
      <c r="AB8" s="448" t="str">
        <f>'LUCERO RECOLETA'!$BA12</f>
        <v/>
      </c>
      <c r="AC8" s="449" t="str">
        <f>'LUCERO RECOLETA'!$BC12</f>
        <v/>
      </c>
      <c r="AD8" s="449" t="str">
        <f>'LUCERO RECOLETA'!$BE12</f>
        <v/>
      </c>
      <c r="AE8" s="449" t="str">
        <f>'LUCERO RECOLETA'!$BG12</f>
        <v/>
      </c>
      <c r="AF8" s="449" t="str">
        <f>'LUCERO RECOLETA'!$AY12</f>
        <v/>
      </c>
      <c r="AG8" s="450" t="str">
        <f>'LUCERO RECOLETA'!$BI12</f>
        <v/>
      </c>
      <c r="AH8" s="451">
        <v>0.0</v>
      </c>
      <c r="AI8" s="447">
        <v>0.0</v>
      </c>
      <c r="AJ8" s="448">
        <v>0.0</v>
      </c>
      <c r="AK8" s="449">
        <v>0.0</v>
      </c>
      <c r="AL8" s="449">
        <v>0.0</v>
      </c>
      <c r="AM8" s="449">
        <v>0.0</v>
      </c>
      <c r="AN8" s="449">
        <v>0.0</v>
      </c>
      <c r="AO8" s="450">
        <v>0.0</v>
      </c>
      <c r="AP8" s="451" t="str">
        <f>'LUCERO FRENCH'!$AR12</f>
        <v/>
      </c>
      <c r="AQ8" s="447">
        <f>'LUCERO FRENCH'!$AQ12</f>
        <v>0</v>
      </c>
      <c r="AR8" s="448" t="str">
        <f>'LUCERO FRENCH'!$BA12</f>
        <v/>
      </c>
      <c r="AS8" s="449" t="str">
        <f>'LUCERO FRENCH'!$BC12</f>
        <v/>
      </c>
      <c r="AT8" s="449" t="str">
        <f>'LUCERO FRENCH'!$BE12</f>
        <v/>
      </c>
      <c r="AU8" s="449" t="str">
        <f>'LUCERO FRENCH'!$BG12</f>
        <v/>
      </c>
      <c r="AV8" s="449" t="str">
        <f>'LUCERO FRENCH'!$AY12</f>
        <v/>
      </c>
      <c r="AW8" s="450" t="str">
        <f>'LUCERO FRENCH'!$BI12</f>
        <v/>
      </c>
      <c r="AX8" s="451" t="str">
        <f>'LUCERO SAN TELMO 2'!$AR12</f>
        <v/>
      </c>
      <c r="AY8" s="447">
        <f>'LUCERO SAN TELMO 2'!$AQ12</f>
        <v>0</v>
      </c>
      <c r="AZ8" s="448" t="str">
        <f>'LUCERO SAN TELMO 2'!$BA12</f>
        <v/>
      </c>
      <c r="BA8" s="449" t="str">
        <f>'LUCERO SAN TELMO 2'!$BC12</f>
        <v/>
      </c>
      <c r="BB8" s="449" t="str">
        <f>'LUCERO SAN TELMO 2'!$BE12</f>
        <v/>
      </c>
      <c r="BC8" s="449" t="str">
        <f>'LUCERO SAN TELMO 2'!$BG12</f>
        <v/>
      </c>
      <c r="BD8" s="449" t="str">
        <f>'LUCERO SAN TELMO 2'!$AY12</f>
        <v/>
      </c>
      <c r="BE8" s="450" t="str">
        <f>'LUCERO SAN TELMO 2'!$BI12</f>
        <v/>
      </c>
      <c r="BF8" s="451" t="str">
        <f>RESERVA!$AO12</f>
        <v/>
      </c>
      <c r="BG8" s="447" t="str">
        <f>RESERVA!$AN12</f>
        <v/>
      </c>
      <c r="BH8" s="448" t="str">
        <f>RESERVA!$AX12</f>
        <v/>
      </c>
      <c r="BI8" s="449" t="str">
        <f>RESERVA!$AZ12</f>
        <v/>
      </c>
      <c r="BJ8" s="449" t="str">
        <f>RESERVA!$BB12</f>
        <v/>
      </c>
      <c r="BK8" s="449" t="str">
        <f>RESERVA!$BD12</f>
        <v/>
      </c>
      <c r="BL8" s="449" t="str">
        <f>RESERVA!$AV12</f>
        <v/>
      </c>
      <c r="BM8" s="450" t="str">
        <f>RESERVA!$BF12</f>
        <v/>
      </c>
      <c r="BN8" s="451" t="str">
        <f>'LUCERO FLORIDA'!$AR12</f>
        <v/>
      </c>
      <c r="BO8" s="447">
        <f>'LUCERO FLORIDA'!$AQ12</f>
        <v>30000</v>
      </c>
      <c r="BP8" s="448">
        <f>'LUCERO FLORIDA'!$BA12</f>
        <v>520</v>
      </c>
      <c r="BQ8" s="449">
        <f>'LUCERO FLORIDA'!$BC12</f>
        <v>100</v>
      </c>
      <c r="BR8" s="449" t="str">
        <f>'LUCERO FLORIDA'!$BE12</f>
        <v/>
      </c>
      <c r="BS8" s="449" t="str">
        <f>'LUCERO FLORIDA'!$BG12</f>
        <v/>
      </c>
      <c r="BT8" s="449" t="str">
        <f>'LUCERO FLORIDA'!$AY12</f>
        <v/>
      </c>
      <c r="BU8" s="450" t="str">
        <f>'LUCERO FLORIDA'!$BI12</f>
        <v/>
      </c>
      <c r="BV8" s="451" t="str">
        <f>'LUCERO GUEMES'!$AR12</f>
        <v/>
      </c>
      <c r="BW8" s="447">
        <f>'LUCERO GUEMES'!$AQ12</f>
        <v>0</v>
      </c>
      <c r="BX8" s="448" t="str">
        <f>'LUCERO GUEMES'!$BA12</f>
        <v/>
      </c>
      <c r="BY8" s="449" t="str">
        <f>'LUCERO GUEMES'!$BC12</f>
        <v/>
      </c>
      <c r="BZ8" s="449" t="str">
        <f>'LUCERO GUEMES'!$BE12</f>
        <v/>
      </c>
      <c r="CA8" s="449" t="str">
        <f>'LUCERO GUEMES'!$BG12</f>
        <v/>
      </c>
      <c r="CB8" s="449" t="str">
        <f>'LUCERO GUEMES'!$AY12</f>
        <v/>
      </c>
      <c r="CC8" s="450" t="str">
        <f>'LUCERO GUEMES'!$BI12</f>
        <v/>
      </c>
      <c r="CD8" s="451" t="str">
        <f>'LUCERO EL SOLAR'!AR12</f>
        <v/>
      </c>
      <c r="CE8" s="447">
        <f>'LUCERO EL SOLAR'!$AQ12</f>
        <v>15000</v>
      </c>
      <c r="CF8" s="448" t="str">
        <f>'LUCERO EL SOLAR'!$BA12</f>
        <v/>
      </c>
      <c r="CG8" s="449" t="str">
        <f>'LUCERO EL SOLAR'!$BC12</f>
        <v/>
      </c>
      <c r="CH8" s="449" t="str">
        <f>'LUCERO EL SOLAR'!$BE12</f>
        <v/>
      </c>
      <c r="CI8" s="449" t="str">
        <f>'LUCERO EL SOLAR'!$BG12</f>
        <v/>
      </c>
      <c r="CJ8" s="449" t="str">
        <f>'LUCERO EL SOLAR'!$AY12</f>
        <v/>
      </c>
      <c r="CK8" s="450" t="str">
        <f>'LUCERO EL SOLAR'!$BI12</f>
        <v/>
      </c>
      <c r="CL8" s="451" t="str">
        <f>'LUCERO GUEMES 2'!$AS12</f>
        <v/>
      </c>
      <c r="CM8" s="447">
        <f>'LUCERO GUEMES 2'!$AQ12</f>
        <v>0</v>
      </c>
      <c r="CN8" s="448">
        <f>'LUCERO GUEMES 2'!$BB12</f>
        <v>0</v>
      </c>
      <c r="CO8" s="449">
        <f>'LUCERO GUEMES 2'!$BD12</f>
        <v>0</v>
      </c>
      <c r="CP8" s="449">
        <f>'LUCERO GUEMES 2'!$BF12</f>
        <v>0</v>
      </c>
      <c r="CQ8" s="449">
        <f>'LUCERO GUEMES 2'!$BH12</f>
        <v>0</v>
      </c>
      <c r="CR8" s="449">
        <f>'LUCERO GUEMES 2'!$AZ12</f>
        <v>0</v>
      </c>
      <c r="CS8" s="450">
        <f>'LUCERO GUEMES 2'!$BJ12</f>
        <v>0</v>
      </c>
    </row>
    <row r="9">
      <c r="A9" s="445">
        <f>+'LUCERO GUEMES'!A13</f>
        <v>46147</v>
      </c>
      <c r="B9" s="446" t="str">
        <f>'AS SAN TELMO'!AR13</f>
        <v/>
      </c>
      <c r="C9" s="447">
        <f>'AS SAN TELMO'!AQ13</f>
        <v>42000</v>
      </c>
      <c r="D9" s="448" t="str">
        <f>'AS SAN TELMO'!BA13</f>
        <v/>
      </c>
      <c r="E9" s="449" t="str">
        <f>'AS SAN TELMO'!BC13</f>
        <v/>
      </c>
      <c r="F9" s="449" t="str">
        <f>'AS SAN TELMO'!BE13</f>
        <v/>
      </c>
      <c r="G9" s="449" t="str">
        <f>'AS SAN TELMO'!BG13</f>
        <v/>
      </c>
      <c r="H9" s="449" t="str">
        <f>'AS SAN TELMO'!AY13</f>
        <v/>
      </c>
      <c r="I9" s="450" t="str">
        <f>'AS SAN TELMO'!BI13</f>
        <v/>
      </c>
      <c r="J9" s="451" t="str">
        <f>'LUCERO SAN TELMO'!$AR13</f>
        <v/>
      </c>
      <c r="K9" s="447">
        <f>'LUCERO SAN TELMO'!$AQ13</f>
        <v>0</v>
      </c>
      <c r="L9" s="448" t="str">
        <f>'LUCERO SAN TELMO'!$BA13</f>
        <v/>
      </c>
      <c r="M9" s="449" t="str">
        <f>'LUCERO SAN TELMO'!$BC13</f>
        <v/>
      </c>
      <c r="N9" s="449" t="str">
        <f>'LUCERO SAN TELMO'!$BE13</f>
        <v/>
      </c>
      <c r="O9" s="449" t="str">
        <f>'LUCERO SAN TELMO'!$BG13</f>
        <v/>
      </c>
      <c r="P9" s="449" t="str">
        <f>'LUCERO SAN TELMO'!$AY13</f>
        <v/>
      </c>
      <c r="Q9" s="450" t="str">
        <f>'LUCERO SAN TELMO'!$BI13</f>
        <v/>
      </c>
      <c r="R9" s="451" t="str">
        <f>'AS GUEMES'!$AR13</f>
        <v/>
      </c>
      <c r="S9" s="447" t="str">
        <f>'AS GUEMES'!$AQ13</f>
        <v/>
      </c>
      <c r="T9" s="448" t="str">
        <f>'AS GUEMES'!$BA13</f>
        <v/>
      </c>
      <c r="U9" s="449" t="str">
        <f>'AS GUEMES'!$BC13</f>
        <v/>
      </c>
      <c r="V9" s="449" t="str">
        <f>'AS GUEMES'!$BE13</f>
        <v/>
      </c>
      <c r="W9" s="449" t="str">
        <f>'AS GUEMES'!$BG13</f>
        <v/>
      </c>
      <c r="X9" s="449" t="str">
        <f>'AS GUEMES'!$AY13</f>
        <v/>
      </c>
      <c r="Y9" s="450" t="str">
        <f>'AS GUEMES'!$BI13</f>
        <v/>
      </c>
      <c r="Z9" s="451" t="str">
        <f>'LUCERO RECOLETA'!$AR13</f>
        <v/>
      </c>
      <c r="AA9" s="447">
        <f>'LUCERO RECOLETA'!$AQ13</f>
        <v>130000</v>
      </c>
      <c r="AB9" s="448" t="str">
        <f>'LUCERO RECOLETA'!$BA13</f>
        <v/>
      </c>
      <c r="AC9" s="449" t="str">
        <f>'LUCERO RECOLETA'!$BC13</f>
        <v/>
      </c>
      <c r="AD9" s="449" t="str">
        <f>'LUCERO RECOLETA'!$BE13</f>
        <v/>
      </c>
      <c r="AE9" s="449" t="str">
        <f>'LUCERO RECOLETA'!$BG13</f>
        <v/>
      </c>
      <c r="AF9" s="449" t="str">
        <f>'LUCERO RECOLETA'!$AY13</f>
        <v/>
      </c>
      <c r="AG9" s="450" t="str">
        <f>'LUCERO RECOLETA'!$BI13</f>
        <v/>
      </c>
      <c r="AH9" s="451">
        <v>0.0</v>
      </c>
      <c r="AI9" s="447">
        <v>0.0</v>
      </c>
      <c r="AJ9" s="448">
        <v>0.0</v>
      </c>
      <c r="AK9" s="449">
        <v>0.0</v>
      </c>
      <c r="AL9" s="449">
        <v>0.0</v>
      </c>
      <c r="AM9" s="449">
        <v>0.0</v>
      </c>
      <c r="AN9" s="449">
        <v>0.0</v>
      </c>
      <c r="AO9" s="450">
        <v>0.0</v>
      </c>
      <c r="AP9" s="451" t="str">
        <f>'LUCERO FRENCH'!$AR13</f>
        <v/>
      </c>
      <c r="AQ9" s="447">
        <f>'LUCERO FRENCH'!$AQ13</f>
        <v>100000</v>
      </c>
      <c r="AR9" s="448" t="str">
        <f>'LUCERO FRENCH'!$BA13</f>
        <v/>
      </c>
      <c r="AS9" s="449" t="str">
        <f>'LUCERO FRENCH'!$BC13</f>
        <v/>
      </c>
      <c r="AT9" s="449" t="str">
        <f>'LUCERO FRENCH'!$BE13</f>
        <v/>
      </c>
      <c r="AU9" s="449" t="str">
        <f>'LUCERO FRENCH'!$BG13</f>
        <v/>
      </c>
      <c r="AV9" s="449" t="str">
        <f>'LUCERO FRENCH'!$AY13</f>
        <v/>
      </c>
      <c r="AW9" s="450" t="str">
        <f>'LUCERO FRENCH'!$BI13</f>
        <v/>
      </c>
      <c r="AX9" s="451" t="str">
        <f>'LUCERO SAN TELMO 2'!$AR13</f>
        <v/>
      </c>
      <c r="AY9" s="447">
        <f>'LUCERO SAN TELMO 2'!$AQ13</f>
        <v>90000</v>
      </c>
      <c r="AZ9" s="448" t="str">
        <f>'LUCERO SAN TELMO 2'!$BA13</f>
        <v/>
      </c>
      <c r="BA9" s="449" t="str">
        <f>'LUCERO SAN TELMO 2'!$BC13</f>
        <v/>
      </c>
      <c r="BB9" s="449" t="str">
        <f>'LUCERO SAN TELMO 2'!$BE13</f>
        <v/>
      </c>
      <c r="BC9" s="449" t="str">
        <f>'LUCERO SAN TELMO 2'!$BG13</f>
        <v/>
      </c>
      <c r="BD9" s="449" t="str">
        <f>'LUCERO SAN TELMO 2'!$AY13</f>
        <v/>
      </c>
      <c r="BE9" s="450" t="str">
        <f>'LUCERO SAN TELMO 2'!$BI13</f>
        <v/>
      </c>
      <c r="BF9" s="451" t="str">
        <f>RESERVA!$AO13</f>
        <v/>
      </c>
      <c r="BG9" s="447" t="str">
        <f>RESERVA!$AN13</f>
        <v/>
      </c>
      <c r="BH9" s="448" t="str">
        <f>RESERVA!$AX13</f>
        <v/>
      </c>
      <c r="BI9" s="449" t="str">
        <f>RESERVA!$AZ13</f>
        <v/>
      </c>
      <c r="BJ9" s="449" t="str">
        <f>RESERVA!$BB13</f>
        <v/>
      </c>
      <c r="BK9" s="449" t="str">
        <f>RESERVA!$BD13</f>
        <v/>
      </c>
      <c r="BL9" s="449" t="str">
        <f>RESERVA!$AV13</f>
        <v/>
      </c>
      <c r="BM9" s="450" t="str">
        <f>RESERVA!$BF13</f>
        <v/>
      </c>
      <c r="BN9" s="451" t="str">
        <f>'LUCERO FLORIDA'!$AR13</f>
        <v/>
      </c>
      <c r="BO9" s="447">
        <f>'LUCERO FLORIDA'!$AQ13</f>
        <v>89000</v>
      </c>
      <c r="BP9" s="448">
        <f>'LUCERO FLORIDA'!$BA13</f>
        <v>140</v>
      </c>
      <c r="BQ9" s="449" t="str">
        <f>'LUCERO FLORIDA'!$BC13</f>
        <v/>
      </c>
      <c r="BR9" s="449" t="str">
        <f>'LUCERO FLORIDA'!$BE13</f>
        <v/>
      </c>
      <c r="BS9" s="449" t="str">
        <f>'LUCERO FLORIDA'!$BG13</f>
        <v/>
      </c>
      <c r="BT9" s="449" t="str">
        <f>'LUCERO FLORIDA'!$AY13</f>
        <v/>
      </c>
      <c r="BU9" s="450" t="str">
        <f>'LUCERO FLORIDA'!$BI13</f>
        <v/>
      </c>
      <c r="BV9" s="451" t="str">
        <f>'LUCERO GUEMES'!$AR13</f>
        <v/>
      </c>
      <c r="BW9" s="447">
        <f>'LUCERO GUEMES'!$AQ13</f>
        <v>0</v>
      </c>
      <c r="BX9" s="448" t="str">
        <f>'LUCERO GUEMES'!$BA13</f>
        <v/>
      </c>
      <c r="BY9" s="449" t="str">
        <f>'LUCERO GUEMES'!$BC13</f>
        <v/>
      </c>
      <c r="BZ9" s="449" t="str">
        <f>'LUCERO GUEMES'!$BE13</f>
        <v/>
      </c>
      <c r="CA9" s="449" t="str">
        <f>'LUCERO GUEMES'!$BG13</f>
        <v/>
      </c>
      <c r="CB9" s="449" t="str">
        <f>'LUCERO GUEMES'!$AY13</f>
        <v/>
      </c>
      <c r="CC9" s="450" t="str">
        <f>'LUCERO GUEMES'!$BI13</f>
        <v/>
      </c>
      <c r="CD9" s="451" t="str">
        <f>'LUCERO EL SOLAR'!AR13</f>
        <v/>
      </c>
      <c r="CE9" s="447">
        <f>'LUCERO EL SOLAR'!$AQ13</f>
        <v>0</v>
      </c>
      <c r="CF9" s="448" t="str">
        <f>'LUCERO EL SOLAR'!$BA13</f>
        <v/>
      </c>
      <c r="CG9" s="449" t="str">
        <f>'LUCERO EL SOLAR'!$BC13</f>
        <v/>
      </c>
      <c r="CH9" s="449" t="str">
        <f>'LUCERO EL SOLAR'!$BE13</f>
        <v/>
      </c>
      <c r="CI9" s="449" t="str">
        <f>'LUCERO EL SOLAR'!$BG13</f>
        <v/>
      </c>
      <c r="CJ9" s="449" t="str">
        <f>'LUCERO EL SOLAR'!$AY13</f>
        <v/>
      </c>
      <c r="CK9" s="450" t="str">
        <f>'LUCERO EL SOLAR'!$BI13</f>
        <v/>
      </c>
      <c r="CL9" s="451" t="str">
        <f>'LUCERO GUEMES 2'!$AS13</f>
        <v/>
      </c>
      <c r="CM9" s="447">
        <f>'LUCERO GUEMES 2'!$AQ13</f>
        <v>60000</v>
      </c>
      <c r="CN9" s="448">
        <f>'LUCERO GUEMES 2'!$BB13</f>
        <v>0</v>
      </c>
      <c r="CO9" s="449">
        <f>'LUCERO GUEMES 2'!$BD13</f>
        <v>0</v>
      </c>
      <c r="CP9" s="449">
        <f>'LUCERO GUEMES 2'!$BF13</f>
        <v>0</v>
      </c>
      <c r="CQ9" s="449">
        <f>'LUCERO GUEMES 2'!$BH13</f>
        <v>0</v>
      </c>
      <c r="CR9" s="449">
        <f>'LUCERO GUEMES 2'!$AZ13</f>
        <v>0</v>
      </c>
      <c r="CS9" s="450">
        <f>'LUCERO GUEMES 2'!$BJ13</f>
        <v>0</v>
      </c>
    </row>
    <row r="10">
      <c r="A10" s="445">
        <f>+'LUCERO GUEMES'!A14</f>
        <v>46148</v>
      </c>
      <c r="B10" s="446" t="str">
        <f>'AS SAN TELMO'!AR14</f>
        <v/>
      </c>
      <c r="C10" s="447">
        <f>'AS SAN TELMO'!AQ14</f>
        <v>94000</v>
      </c>
      <c r="D10" s="448" t="str">
        <f>'AS SAN TELMO'!BA14</f>
        <v/>
      </c>
      <c r="E10" s="449" t="str">
        <f>'AS SAN TELMO'!BC14</f>
        <v/>
      </c>
      <c r="F10" s="449" t="str">
        <f>'AS SAN TELMO'!BE14</f>
        <v/>
      </c>
      <c r="G10" s="449" t="str">
        <f>'AS SAN TELMO'!BG14</f>
        <v/>
      </c>
      <c r="H10" s="449" t="str">
        <f>'AS SAN TELMO'!AY14</f>
        <v/>
      </c>
      <c r="I10" s="450" t="str">
        <f>'AS SAN TELMO'!BI14</f>
        <v/>
      </c>
      <c r="J10" s="451" t="str">
        <f>'LUCERO SAN TELMO'!$AR14</f>
        <v/>
      </c>
      <c r="K10" s="447">
        <f>'LUCERO SAN TELMO'!$AQ14</f>
        <v>34000</v>
      </c>
      <c r="L10" s="448" t="str">
        <f>'LUCERO SAN TELMO'!$BA14</f>
        <v/>
      </c>
      <c r="M10" s="449" t="str">
        <f>'LUCERO SAN TELMO'!$BC14</f>
        <v/>
      </c>
      <c r="N10" s="449" t="str">
        <f>'LUCERO SAN TELMO'!$BE14</f>
        <v/>
      </c>
      <c r="O10" s="449" t="str">
        <f>'LUCERO SAN TELMO'!$BG14</f>
        <v/>
      </c>
      <c r="P10" s="449">
        <f>'LUCERO SAN TELMO'!$AY14</f>
        <v>200</v>
      </c>
      <c r="Q10" s="450" t="str">
        <f>'LUCERO SAN TELMO'!$BI14</f>
        <v/>
      </c>
      <c r="R10" s="451" t="str">
        <f>'AS GUEMES'!$AR14</f>
        <v/>
      </c>
      <c r="S10" s="447" t="str">
        <f>'AS GUEMES'!$AQ14</f>
        <v/>
      </c>
      <c r="T10" s="448" t="str">
        <f>'AS GUEMES'!$BA14</f>
        <v/>
      </c>
      <c r="U10" s="449" t="str">
        <f>'AS GUEMES'!$BC14</f>
        <v/>
      </c>
      <c r="V10" s="449" t="str">
        <f>'AS GUEMES'!$BE14</f>
        <v/>
      </c>
      <c r="W10" s="449" t="str">
        <f>'AS GUEMES'!$BG14</f>
        <v/>
      </c>
      <c r="X10" s="449" t="str">
        <f>'AS GUEMES'!$AY14</f>
        <v/>
      </c>
      <c r="Y10" s="450" t="str">
        <f>'AS GUEMES'!$BI14</f>
        <v/>
      </c>
      <c r="Z10" s="451" t="str">
        <f>'LUCERO RECOLETA'!$AR14</f>
        <v/>
      </c>
      <c r="AA10" s="447">
        <f>'LUCERO RECOLETA'!$AQ14</f>
        <v>0</v>
      </c>
      <c r="AB10" s="448" t="str">
        <f>'LUCERO RECOLETA'!$BA14</f>
        <v/>
      </c>
      <c r="AC10" s="449" t="str">
        <f>'LUCERO RECOLETA'!$BC14</f>
        <v/>
      </c>
      <c r="AD10" s="449" t="str">
        <f>'LUCERO RECOLETA'!$BE14</f>
        <v/>
      </c>
      <c r="AE10" s="449" t="str">
        <f>'LUCERO RECOLETA'!$BG14</f>
        <v/>
      </c>
      <c r="AF10" s="449" t="str">
        <f>'LUCERO RECOLETA'!$AY14</f>
        <v/>
      </c>
      <c r="AG10" s="450" t="str">
        <f>'LUCERO RECOLETA'!$BI14</f>
        <v/>
      </c>
      <c r="AH10" s="451">
        <v>0.0</v>
      </c>
      <c r="AI10" s="447">
        <v>0.0</v>
      </c>
      <c r="AJ10" s="448">
        <v>0.0</v>
      </c>
      <c r="AK10" s="449">
        <v>0.0</v>
      </c>
      <c r="AL10" s="449">
        <v>0.0</v>
      </c>
      <c r="AM10" s="449">
        <v>0.0</v>
      </c>
      <c r="AN10" s="449">
        <v>0.0</v>
      </c>
      <c r="AO10" s="450">
        <v>0.0</v>
      </c>
      <c r="AP10" s="451" t="str">
        <f>'LUCERO FRENCH'!$AR14</f>
        <v/>
      </c>
      <c r="AQ10" s="447">
        <f>'LUCERO FRENCH'!$AQ14</f>
        <v>0</v>
      </c>
      <c r="AR10" s="448" t="str">
        <f>'LUCERO FRENCH'!$BA14</f>
        <v/>
      </c>
      <c r="AS10" s="449" t="str">
        <f>'LUCERO FRENCH'!$BC14</f>
        <v/>
      </c>
      <c r="AT10" s="449" t="str">
        <f>'LUCERO FRENCH'!$BE14</f>
        <v/>
      </c>
      <c r="AU10" s="449" t="str">
        <f>'LUCERO FRENCH'!$BG14</f>
        <v/>
      </c>
      <c r="AV10" s="449" t="str">
        <f>'LUCERO FRENCH'!$AY14</f>
        <v/>
      </c>
      <c r="AW10" s="450" t="str">
        <f>'LUCERO FRENCH'!$BI14</f>
        <v/>
      </c>
      <c r="AX10" s="451" t="str">
        <f>'LUCERO SAN TELMO 2'!$AR14</f>
        <v/>
      </c>
      <c r="AY10" s="447">
        <f>'LUCERO SAN TELMO 2'!$AQ14</f>
        <v>0</v>
      </c>
      <c r="AZ10" s="448" t="str">
        <f>'LUCERO SAN TELMO 2'!$BA14</f>
        <v/>
      </c>
      <c r="BA10" s="449" t="str">
        <f>'LUCERO SAN TELMO 2'!$BC14</f>
        <v/>
      </c>
      <c r="BB10" s="449" t="str">
        <f>'LUCERO SAN TELMO 2'!$BE14</f>
        <v/>
      </c>
      <c r="BC10" s="449" t="str">
        <f>'LUCERO SAN TELMO 2'!$BG14</f>
        <v/>
      </c>
      <c r="BD10" s="449" t="str">
        <f>'LUCERO SAN TELMO 2'!$AY14</f>
        <v/>
      </c>
      <c r="BE10" s="450" t="str">
        <f>'LUCERO SAN TELMO 2'!$BI14</f>
        <v/>
      </c>
      <c r="BF10" s="451" t="str">
        <f>RESERVA!$AO14</f>
        <v/>
      </c>
      <c r="BG10" s="447" t="str">
        <f>RESERVA!$AN14</f>
        <v/>
      </c>
      <c r="BH10" s="448" t="str">
        <f>RESERVA!$AX14</f>
        <v/>
      </c>
      <c r="BI10" s="449" t="str">
        <f>RESERVA!$AZ14</f>
        <v/>
      </c>
      <c r="BJ10" s="449" t="str">
        <f>RESERVA!$BB14</f>
        <v/>
      </c>
      <c r="BK10" s="449" t="str">
        <f>RESERVA!$BD14</f>
        <v/>
      </c>
      <c r="BL10" s="449" t="str">
        <f>RESERVA!$AV14</f>
        <v/>
      </c>
      <c r="BM10" s="450" t="str">
        <f>RESERVA!$BF14</f>
        <v/>
      </c>
      <c r="BN10" s="451" t="str">
        <f>'LUCERO FLORIDA'!$AR14</f>
        <v/>
      </c>
      <c r="BO10" s="447">
        <f>'LUCERO FLORIDA'!$AQ14</f>
        <v>160000</v>
      </c>
      <c r="BP10" s="448" t="str">
        <f>'LUCERO FLORIDA'!$BA14</f>
        <v/>
      </c>
      <c r="BQ10" s="449" t="str">
        <f>'LUCERO FLORIDA'!$BC14</f>
        <v/>
      </c>
      <c r="BR10" s="449" t="str">
        <f>'LUCERO FLORIDA'!$BE14</f>
        <v/>
      </c>
      <c r="BS10" s="449" t="str">
        <f>'LUCERO FLORIDA'!$BG14</f>
        <v/>
      </c>
      <c r="BT10" s="449" t="str">
        <f>'LUCERO FLORIDA'!$AY14</f>
        <v/>
      </c>
      <c r="BU10" s="450" t="str">
        <f>'LUCERO FLORIDA'!$BI14</f>
        <v/>
      </c>
      <c r="BV10" s="451" t="str">
        <f>'LUCERO GUEMES'!$AR14</f>
        <v/>
      </c>
      <c r="BW10" s="447">
        <f>'LUCERO GUEMES'!$AQ14</f>
        <v>0</v>
      </c>
      <c r="BX10" s="448" t="str">
        <f>'LUCERO GUEMES'!$BA14</f>
        <v/>
      </c>
      <c r="BY10" s="449" t="str">
        <f>'LUCERO GUEMES'!$BC14</f>
        <v/>
      </c>
      <c r="BZ10" s="449" t="str">
        <f>'LUCERO GUEMES'!$BE14</f>
        <v/>
      </c>
      <c r="CA10" s="449" t="str">
        <f>'LUCERO GUEMES'!$BG14</f>
        <v/>
      </c>
      <c r="CB10" s="449" t="str">
        <f>'LUCERO GUEMES'!$AY14</f>
        <v/>
      </c>
      <c r="CC10" s="450" t="str">
        <f>'LUCERO GUEMES'!$BI14</f>
        <v/>
      </c>
      <c r="CD10" s="451" t="str">
        <f>'LUCERO EL SOLAR'!AR14</f>
        <v/>
      </c>
      <c r="CE10" s="447">
        <f>'LUCERO EL SOLAR'!$AQ14</f>
        <v>0</v>
      </c>
      <c r="CF10" s="448" t="str">
        <f>'LUCERO EL SOLAR'!$BA14</f>
        <v/>
      </c>
      <c r="CG10" s="449" t="str">
        <f>'LUCERO EL SOLAR'!$BC14</f>
        <v/>
      </c>
      <c r="CH10" s="449" t="str">
        <f>'LUCERO EL SOLAR'!$BE14</f>
        <v/>
      </c>
      <c r="CI10" s="449" t="str">
        <f>'LUCERO EL SOLAR'!$BG14</f>
        <v/>
      </c>
      <c r="CJ10" s="449" t="str">
        <f>'LUCERO EL SOLAR'!$AY14</f>
        <v/>
      </c>
      <c r="CK10" s="450" t="str">
        <f>'LUCERO EL SOLAR'!$BI14</f>
        <v/>
      </c>
      <c r="CL10" s="451" t="str">
        <f>'LUCERO GUEMES 2'!$AS14</f>
        <v/>
      </c>
      <c r="CM10" s="447">
        <f>'LUCERO GUEMES 2'!$AQ14</f>
        <v>0</v>
      </c>
      <c r="CN10" s="448">
        <f>'LUCERO GUEMES 2'!$BB14</f>
        <v>0</v>
      </c>
      <c r="CO10" s="449">
        <f>'LUCERO GUEMES 2'!$BD14</f>
        <v>0</v>
      </c>
      <c r="CP10" s="449">
        <f>'LUCERO GUEMES 2'!$BF14</f>
        <v>0</v>
      </c>
      <c r="CQ10" s="449">
        <f>'LUCERO GUEMES 2'!$BH14</f>
        <v>0</v>
      </c>
      <c r="CR10" s="449">
        <f>'LUCERO GUEMES 2'!$AZ14</f>
        <v>0</v>
      </c>
      <c r="CS10" s="450">
        <f>'LUCERO GUEMES 2'!$BJ14</f>
        <v>0</v>
      </c>
    </row>
    <row r="11">
      <c r="A11" s="445">
        <f>+'LUCERO GUEMES'!A15</f>
        <v>46149</v>
      </c>
      <c r="B11" s="446" t="str">
        <f>'AS SAN TELMO'!AR15</f>
        <v/>
      </c>
      <c r="C11" s="447">
        <f>'AS SAN TELMO'!AQ15</f>
        <v>304000</v>
      </c>
      <c r="D11" s="448" t="str">
        <f>'AS SAN TELMO'!BA15</f>
        <v/>
      </c>
      <c r="E11" s="449" t="str">
        <f>'AS SAN TELMO'!BC15</f>
        <v/>
      </c>
      <c r="F11" s="449" t="str">
        <f>'AS SAN TELMO'!BE15</f>
        <v/>
      </c>
      <c r="G11" s="449" t="str">
        <f>'AS SAN TELMO'!BG15</f>
        <v/>
      </c>
      <c r="H11" s="449" t="str">
        <f>'AS SAN TELMO'!AY15</f>
        <v/>
      </c>
      <c r="I11" s="450" t="str">
        <f>'AS SAN TELMO'!BI15</f>
        <v/>
      </c>
      <c r="J11" s="451" t="str">
        <f>'LUCERO SAN TELMO'!$AR15</f>
        <v/>
      </c>
      <c r="K11" s="447">
        <f>'LUCERO SAN TELMO'!$AQ15</f>
        <v>145000</v>
      </c>
      <c r="L11" s="448" t="str">
        <f>'LUCERO SAN TELMO'!$BA15</f>
        <v/>
      </c>
      <c r="M11" s="449" t="str">
        <f>'LUCERO SAN TELMO'!$BC15</f>
        <v/>
      </c>
      <c r="N11" s="449" t="str">
        <f>'LUCERO SAN TELMO'!$BE15</f>
        <v/>
      </c>
      <c r="O11" s="449" t="str">
        <f>'LUCERO SAN TELMO'!$BG15</f>
        <v/>
      </c>
      <c r="P11" s="449" t="str">
        <f>'LUCERO SAN TELMO'!$AY15</f>
        <v/>
      </c>
      <c r="Q11" s="450" t="str">
        <f>'LUCERO SAN TELMO'!$BI15</f>
        <v/>
      </c>
      <c r="R11" s="451" t="str">
        <f>'AS GUEMES'!$AR15</f>
        <v/>
      </c>
      <c r="S11" s="447" t="str">
        <f>'AS GUEMES'!$AQ15</f>
        <v/>
      </c>
      <c r="T11" s="448" t="str">
        <f>'AS GUEMES'!$BA15</f>
        <v/>
      </c>
      <c r="U11" s="449" t="str">
        <f>'AS GUEMES'!$BC15</f>
        <v/>
      </c>
      <c r="V11" s="449" t="str">
        <f>'AS GUEMES'!$BE15</f>
        <v/>
      </c>
      <c r="W11" s="449" t="str">
        <f>'AS GUEMES'!$BG15</f>
        <v/>
      </c>
      <c r="X11" s="449" t="str">
        <f>'AS GUEMES'!$AY15</f>
        <v/>
      </c>
      <c r="Y11" s="450" t="str">
        <f>'AS GUEMES'!$BI15</f>
        <v/>
      </c>
      <c r="Z11" s="451" t="str">
        <f>'LUCERO RECOLETA'!$AR15</f>
        <v/>
      </c>
      <c r="AA11" s="447">
        <f>'LUCERO RECOLETA'!$AQ15</f>
        <v>10000</v>
      </c>
      <c r="AB11" s="448" t="str">
        <f>'LUCERO RECOLETA'!$BA15</f>
        <v/>
      </c>
      <c r="AC11" s="449" t="str">
        <f>'LUCERO RECOLETA'!$BC15</f>
        <v/>
      </c>
      <c r="AD11" s="449" t="str">
        <f>'LUCERO RECOLETA'!$BE15</f>
        <v/>
      </c>
      <c r="AE11" s="449" t="str">
        <f>'LUCERO RECOLETA'!$BG15</f>
        <v/>
      </c>
      <c r="AF11" s="449" t="str">
        <f>'LUCERO RECOLETA'!$AY15</f>
        <v/>
      </c>
      <c r="AG11" s="450" t="str">
        <f>'LUCERO RECOLETA'!$BI15</f>
        <v/>
      </c>
      <c r="AH11" s="451">
        <v>0.0</v>
      </c>
      <c r="AI11" s="447">
        <v>0.0</v>
      </c>
      <c r="AJ11" s="448">
        <v>0.0</v>
      </c>
      <c r="AK11" s="449">
        <v>0.0</v>
      </c>
      <c r="AL11" s="449">
        <v>0.0</v>
      </c>
      <c r="AM11" s="449">
        <v>0.0</v>
      </c>
      <c r="AN11" s="449">
        <v>0.0</v>
      </c>
      <c r="AO11" s="450">
        <v>0.0</v>
      </c>
      <c r="AP11" s="451" t="str">
        <f>'LUCERO FRENCH'!$AR15</f>
        <v/>
      </c>
      <c r="AQ11" s="447">
        <f>'LUCERO FRENCH'!$AQ15</f>
        <v>0</v>
      </c>
      <c r="AR11" s="448" t="str">
        <f>'LUCERO FRENCH'!$BA15</f>
        <v/>
      </c>
      <c r="AS11" s="449" t="str">
        <f>'LUCERO FRENCH'!$BC15</f>
        <v/>
      </c>
      <c r="AT11" s="449" t="str">
        <f>'LUCERO FRENCH'!$BE15</f>
        <v/>
      </c>
      <c r="AU11" s="449" t="str">
        <f>'LUCERO FRENCH'!$BG15</f>
        <v/>
      </c>
      <c r="AV11" s="449" t="str">
        <f>'LUCERO FRENCH'!$AY15</f>
        <v/>
      </c>
      <c r="AW11" s="450" t="str">
        <f>'LUCERO FRENCH'!$BI15</f>
        <v/>
      </c>
      <c r="AX11" s="451" t="str">
        <f>'LUCERO SAN TELMO 2'!$AR15</f>
        <v/>
      </c>
      <c r="AY11" s="447">
        <f>'LUCERO SAN TELMO 2'!$AQ15</f>
        <v>208000</v>
      </c>
      <c r="AZ11" s="448" t="str">
        <f>'LUCERO SAN TELMO 2'!$BA15</f>
        <v/>
      </c>
      <c r="BA11" s="449" t="str">
        <f>'LUCERO SAN TELMO 2'!$BC15</f>
        <v/>
      </c>
      <c r="BB11" s="449" t="str">
        <f>'LUCERO SAN TELMO 2'!$BE15</f>
        <v/>
      </c>
      <c r="BC11" s="449" t="str">
        <f>'LUCERO SAN TELMO 2'!$BG15</f>
        <v/>
      </c>
      <c r="BD11" s="449" t="str">
        <f>'LUCERO SAN TELMO 2'!$AY15</f>
        <v/>
      </c>
      <c r="BE11" s="450" t="str">
        <f>'LUCERO SAN TELMO 2'!$BI15</f>
        <v/>
      </c>
      <c r="BF11" s="451" t="str">
        <f>RESERVA!$AO15</f>
        <v/>
      </c>
      <c r="BG11" s="447" t="str">
        <f>RESERVA!$AN15</f>
        <v/>
      </c>
      <c r="BH11" s="448" t="str">
        <f>RESERVA!$AX15</f>
        <v/>
      </c>
      <c r="BI11" s="449" t="str">
        <f>RESERVA!$AZ15</f>
        <v/>
      </c>
      <c r="BJ11" s="449" t="str">
        <f>RESERVA!$BB15</f>
        <v/>
      </c>
      <c r="BK11" s="449" t="str">
        <f>RESERVA!$BD15</f>
        <v/>
      </c>
      <c r="BL11" s="449" t="str">
        <f>RESERVA!$AV15</f>
        <v/>
      </c>
      <c r="BM11" s="450" t="str">
        <f>RESERVA!$BF15</f>
        <v/>
      </c>
      <c r="BN11" s="451" t="str">
        <f>'LUCERO FLORIDA'!$AR15</f>
        <v/>
      </c>
      <c r="BO11" s="447">
        <f>'LUCERO FLORIDA'!$AQ15</f>
        <v>125000</v>
      </c>
      <c r="BP11" s="448">
        <f>'LUCERO FLORIDA'!$BA15</f>
        <v>200</v>
      </c>
      <c r="BQ11" s="449" t="str">
        <f>'LUCERO FLORIDA'!$BC15</f>
        <v/>
      </c>
      <c r="BR11" s="449" t="str">
        <f>'LUCERO FLORIDA'!$BE15</f>
        <v/>
      </c>
      <c r="BS11" s="449" t="str">
        <f>'LUCERO FLORIDA'!$BG15</f>
        <v/>
      </c>
      <c r="BT11" s="449" t="str">
        <f>'LUCERO FLORIDA'!$AY15</f>
        <v/>
      </c>
      <c r="BU11" s="450" t="str">
        <f>'LUCERO FLORIDA'!$BI15</f>
        <v/>
      </c>
      <c r="BV11" s="451" t="str">
        <f>'LUCERO GUEMES'!$AR15</f>
        <v/>
      </c>
      <c r="BW11" s="447">
        <f>'LUCERO GUEMES'!$AQ15</f>
        <v>0</v>
      </c>
      <c r="BX11" s="448" t="str">
        <f>'LUCERO GUEMES'!$BA15</f>
        <v/>
      </c>
      <c r="BY11" s="449" t="str">
        <f>'LUCERO GUEMES'!$BC15</f>
        <v/>
      </c>
      <c r="BZ11" s="449" t="str">
        <f>'LUCERO GUEMES'!$BE15</f>
        <v/>
      </c>
      <c r="CA11" s="449" t="str">
        <f>'LUCERO GUEMES'!$BG15</f>
        <v/>
      </c>
      <c r="CB11" s="449" t="str">
        <f>'LUCERO GUEMES'!$AY15</f>
        <v/>
      </c>
      <c r="CC11" s="450" t="str">
        <f>'LUCERO GUEMES'!$BI15</f>
        <v/>
      </c>
      <c r="CD11" s="451" t="str">
        <f>'LUCERO EL SOLAR'!AR15</f>
        <v/>
      </c>
      <c r="CE11" s="447">
        <f>'LUCERO EL SOLAR'!$AQ15</f>
        <v>0</v>
      </c>
      <c r="CF11" s="448" t="str">
        <f>'LUCERO EL SOLAR'!$BA15</f>
        <v/>
      </c>
      <c r="CG11" s="449" t="str">
        <f>'LUCERO EL SOLAR'!$BC15</f>
        <v/>
      </c>
      <c r="CH11" s="449" t="str">
        <f>'LUCERO EL SOLAR'!$BE15</f>
        <v/>
      </c>
      <c r="CI11" s="449" t="str">
        <f>'LUCERO EL SOLAR'!$BG15</f>
        <v/>
      </c>
      <c r="CJ11" s="449" t="str">
        <f>'LUCERO EL SOLAR'!$AY15</f>
        <v/>
      </c>
      <c r="CK11" s="450" t="str">
        <f>'LUCERO EL SOLAR'!$BI15</f>
        <v/>
      </c>
      <c r="CL11" s="451" t="str">
        <f>'LUCERO GUEMES 2'!$AS15</f>
        <v/>
      </c>
      <c r="CM11" s="447">
        <f>'LUCERO GUEMES 2'!$AQ15</f>
        <v>0</v>
      </c>
      <c r="CN11" s="448">
        <f>'LUCERO GUEMES 2'!$BB15</f>
        <v>0</v>
      </c>
      <c r="CO11" s="449">
        <f>'LUCERO GUEMES 2'!$BD15</f>
        <v>0</v>
      </c>
      <c r="CP11" s="449">
        <f>'LUCERO GUEMES 2'!$BF15</f>
        <v>0</v>
      </c>
      <c r="CQ11" s="449">
        <f>'LUCERO GUEMES 2'!$BH15</f>
        <v>0</v>
      </c>
      <c r="CR11" s="449">
        <f>'LUCERO GUEMES 2'!$AZ15</f>
        <v>0</v>
      </c>
      <c r="CS11" s="450">
        <f>'LUCERO GUEMES 2'!$BJ15</f>
        <v>0</v>
      </c>
    </row>
    <row r="12">
      <c r="A12" s="445">
        <f>+'LUCERO GUEMES'!A16</f>
        <v>46150</v>
      </c>
      <c r="B12" s="446" t="str">
        <f>'AS SAN TELMO'!AR16</f>
        <v/>
      </c>
      <c r="C12" s="447">
        <f>'AS SAN TELMO'!AQ16</f>
        <v>170100</v>
      </c>
      <c r="D12" s="448" t="str">
        <f>'AS SAN TELMO'!BA16</f>
        <v/>
      </c>
      <c r="E12" s="449" t="str">
        <f>'AS SAN TELMO'!BC16</f>
        <v/>
      </c>
      <c r="F12" s="449" t="str">
        <f>'AS SAN TELMO'!BE16</f>
        <v/>
      </c>
      <c r="G12" s="449" t="str">
        <f>'AS SAN TELMO'!BG16</f>
        <v/>
      </c>
      <c r="H12" s="449" t="str">
        <f>'AS SAN TELMO'!AY16</f>
        <v/>
      </c>
      <c r="I12" s="450" t="str">
        <f>'AS SAN TELMO'!BI16</f>
        <v/>
      </c>
      <c r="J12" s="451" t="str">
        <f>'LUCERO SAN TELMO'!$AR16</f>
        <v/>
      </c>
      <c r="K12" s="447">
        <f>'LUCERO SAN TELMO'!$AQ16</f>
        <v>0</v>
      </c>
      <c r="L12" s="448" t="str">
        <f>'LUCERO SAN TELMO'!$BA16</f>
        <v/>
      </c>
      <c r="M12" s="449" t="str">
        <f>'LUCERO SAN TELMO'!$BC16</f>
        <v/>
      </c>
      <c r="N12" s="449" t="str">
        <f>'LUCERO SAN TELMO'!$BE16</f>
        <v/>
      </c>
      <c r="O12" s="449" t="str">
        <f>'LUCERO SAN TELMO'!$BG16</f>
        <v/>
      </c>
      <c r="P12" s="449" t="str">
        <f>'LUCERO SAN TELMO'!$AY16</f>
        <v/>
      </c>
      <c r="Q12" s="450" t="str">
        <f>'LUCERO SAN TELMO'!$BI16</f>
        <v/>
      </c>
      <c r="R12" s="451" t="str">
        <f>'AS GUEMES'!$AR16</f>
        <v/>
      </c>
      <c r="S12" s="447" t="str">
        <f>'AS GUEMES'!$AQ16</f>
        <v/>
      </c>
      <c r="T12" s="448" t="str">
        <f>'AS GUEMES'!$BA16</f>
        <v/>
      </c>
      <c r="U12" s="449" t="str">
        <f>'AS GUEMES'!$BC16</f>
        <v/>
      </c>
      <c r="V12" s="449" t="str">
        <f>'AS GUEMES'!$BE16</f>
        <v/>
      </c>
      <c r="W12" s="449" t="str">
        <f>'AS GUEMES'!$BG16</f>
        <v/>
      </c>
      <c r="X12" s="449" t="str">
        <f>'AS GUEMES'!$AY16</f>
        <v/>
      </c>
      <c r="Y12" s="450" t="str">
        <f>'AS GUEMES'!$BI16</f>
        <v/>
      </c>
      <c r="Z12" s="451" t="str">
        <f>'LUCERO RECOLETA'!$AR16</f>
        <v/>
      </c>
      <c r="AA12" s="447">
        <f>'LUCERO RECOLETA'!$AQ16</f>
        <v>150000</v>
      </c>
      <c r="AB12" s="448" t="str">
        <f>'LUCERO RECOLETA'!$BA16</f>
        <v/>
      </c>
      <c r="AC12" s="449" t="str">
        <f>'LUCERO RECOLETA'!$BC16</f>
        <v/>
      </c>
      <c r="AD12" s="449" t="str">
        <f>'LUCERO RECOLETA'!$BE16</f>
        <v/>
      </c>
      <c r="AE12" s="449" t="str">
        <f>'LUCERO RECOLETA'!$BG16</f>
        <v/>
      </c>
      <c r="AF12" s="449" t="str">
        <f>'LUCERO RECOLETA'!$AY16</f>
        <v/>
      </c>
      <c r="AG12" s="450" t="str">
        <f>'LUCERO RECOLETA'!$BI16</f>
        <v/>
      </c>
      <c r="AH12" s="451">
        <v>0.0</v>
      </c>
      <c r="AI12" s="447">
        <v>0.0</v>
      </c>
      <c r="AJ12" s="448">
        <v>0.0</v>
      </c>
      <c r="AK12" s="449">
        <v>0.0</v>
      </c>
      <c r="AL12" s="449">
        <v>0.0</v>
      </c>
      <c r="AM12" s="449">
        <v>0.0</v>
      </c>
      <c r="AN12" s="449">
        <v>0.0</v>
      </c>
      <c r="AO12" s="450">
        <v>0.0</v>
      </c>
      <c r="AP12" s="451" t="str">
        <f>'LUCERO FRENCH'!$AR16</f>
        <v/>
      </c>
      <c r="AQ12" s="447">
        <f>'LUCERO FRENCH'!$AQ16</f>
        <v>0</v>
      </c>
      <c r="AR12" s="448" t="str">
        <f>'LUCERO FRENCH'!$BA16</f>
        <v/>
      </c>
      <c r="AS12" s="449" t="str">
        <f>'LUCERO FRENCH'!$BC16</f>
        <v/>
      </c>
      <c r="AT12" s="449" t="str">
        <f>'LUCERO FRENCH'!$BE16</f>
        <v/>
      </c>
      <c r="AU12" s="449" t="str">
        <f>'LUCERO FRENCH'!$BG16</f>
        <v/>
      </c>
      <c r="AV12" s="449" t="str">
        <f>'LUCERO FRENCH'!$AY16</f>
        <v/>
      </c>
      <c r="AW12" s="450" t="str">
        <f>'LUCERO FRENCH'!$BI16</f>
        <v/>
      </c>
      <c r="AX12" s="451" t="str">
        <f>'LUCERO SAN TELMO 2'!$AR16</f>
        <v/>
      </c>
      <c r="AY12" s="447">
        <f>'LUCERO SAN TELMO 2'!$AQ16</f>
        <v>0</v>
      </c>
      <c r="AZ12" s="448">
        <f>'LUCERO SAN TELMO 2'!$BA16</f>
        <v>150</v>
      </c>
      <c r="BA12" s="449" t="str">
        <f>'LUCERO SAN TELMO 2'!$BC16</f>
        <v/>
      </c>
      <c r="BB12" s="449" t="str">
        <f>'LUCERO SAN TELMO 2'!$BE16</f>
        <v/>
      </c>
      <c r="BC12" s="449" t="str">
        <f>'LUCERO SAN TELMO 2'!$BG16</f>
        <v/>
      </c>
      <c r="BD12" s="449" t="str">
        <f>'LUCERO SAN TELMO 2'!$AY16</f>
        <v/>
      </c>
      <c r="BE12" s="450" t="str">
        <f>'LUCERO SAN TELMO 2'!$BI16</f>
        <v/>
      </c>
      <c r="BF12" s="451" t="str">
        <f>RESERVA!$AO16</f>
        <v/>
      </c>
      <c r="BG12" s="447" t="str">
        <f>RESERVA!$AN16</f>
        <v/>
      </c>
      <c r="BH12" s="448" t="str">
        <f>RESERVA!$AX16</f>
        <v/>
      </c>
      <c r="BI12" s="449" t="str">
        <f>RESERVA!$AZ16</f>
        <v/>
      </c>
      <c r="BJ12" s="449" t="str">
        <f>RESERVA!$BB16</f>
        <v/>
      </c>
      <c r="BK12" s="449" t="str">
        <f>RESERVA!$BD16</f>
        <v/>
      </c>
      <c r="BL12" s="449" t="str">
        <f>RESERVA!$AV16</f>
        <v/>
      </c>
      <c r="BM12" s="450" t="str">
        <f>RESERVA!$BF16</f>
        <v/>
      </c>
      <c r="BN12" s="451" t="str">
        <f>'LUCERO FLORIDA'!$AR16</f>
        <v/>
      </c>
      <c r="BO12" s="447">
        <f>'LUCERO FLORIDA'!$AQ16</f>
        <v>0</v>
      </c>
      <c r="BP12" s="448" t="str">
        <f>'LUCERO FLORIDA'!$BA16</f>
        <v/>
      </c>
      <c r="BQ12" s="449" t="str">
        <f>'LUCERO FLORIDA'!$BC16</f>
        <v/>
      </c>
      <c r="BR12" s="449" t="str">
        <f>'LUCERO FLORIDA'!$BE16</f>
        <v/>
      </c>
      <c r="BS12" s="449" t="str">
        <f>'LUCERO FLORIDA'!$BG16</f>
        <v/>
      </c>
      <c r="BT12" s="449" t="str">
        <f>'LUCERO FLORIDA'!$AY16</f>
        <v/>
      </c>
      <c r="BU12" s="450" t="str">
        <f>'LUCERO FLORIDA'!$BI16</f>
        <v/>
      </c>
      <c r="BV12" s="451" t="str">
        <f>'LUCERO GUEMES'!$AR16</f>
        <v/>
      </c>
      <c r="BW12" s="447">
        <f>'LUCERO GUEMES'!$AQ16</f>
        <v>0</v>
      </c>
      <c r="BX12" s="448" t="str">
        <f>'LUCERO GUEMES'!$BA16</f>
        <v/>
      </c>
      <c r="BY12" s="449" t="str">
        <f>'LUCERO GUEMES'!$BC16</f>
        <v/>
      </c>
      <c r="BZ12" s="449" t="str">
        <f>'LUCERO GUEMES'!$BE16</f>
        <v/>
      </c>
      <c r="CA12" s="449" t="str">
        <f>'LUCERO GUEMES'!$BG16</f>
        <v/>
      </c>
      <c r="CB12" s="449" t="str">
        <f>'LUCERO GUEMES'!$AY16</f>
        <v/>
      </c>
      <c r="CC12" s="450" t="str">
        <f>'LUCERO GUEMES'!$BI16</f>
        <v/>
      </c>
      <c r="CD12" s="451" t="str">
        <f>'LUCERO EL SOLAR'!AR16</f>
        <v/>
      </c>
      <c r="CE12" s="447">
        <f>'LUCERO EL SOLAR'!$AQ16</f>
        <v>30000</v>
      </c>
      <c r="CF12" s="448" t="str">
        <f>'LUCERO EL SOLAR'!$BA16</f>
        <v/>
      </c>
      <c r="CG12" s="449" t="str">
        <f>'LUCERO EL SOLAR'!$BC16</f>
        <v/>
      </c>
      <c r="CH12" s="449" t="str">
        <f>'LUCERO EL SOLAR'!$BE16</f>
        <v/>
      </c>
      <c r="CI12" s="449" t="str">
        <f>'LUCERO EL SOLAR'!$BG16</f>
        <v/>
      </c>
      <c r="CJ12" s="449" t="str">
        <f>'LUCERO EL SOLAR'!$AY16</f>
        <v/>
      </c>
      <c r="CK12" s="450" t="str">
        <f>'LUCERO EL SOLAR'!$BI16</f>
        <v/>
      </c>
      <c r="CL12" s="451" t="str">
        <f>'LUCERO GUEMES 2'!$AS16</f>
        <v/>
      </c>
      <c r="CM12" s="447">
        <f>'LUCERO GUEMES 2'!$AQ16</f>
        <v>0</v>
      </c>
      <c r="CN12" s="448">
        <f>'LUCERO GUEMES 2'!$BB16</f>
        <v>0</v>
      </c>
      <c r="CO12" s="449">
        <f>'LUCERO GUEMES 2'!$BD16</f>
        <v>0</v>
      </c>
      <c r="CP12" s="449">
        <f>'LUCERO GUEMES 2'!$BF16</f>
        <v>0</v>
      </c>
      <c r="CQ12" s="449">
        <f>'LUCERO GUEMES 2'!$BH16</f>
        <v>0</v>
      </c>
      <c r="CR12" s="449">
        <f>'LUCERO GUEMES 2'!$AZ16</f>
        <v>0</v>
      </c>
      <c r="CS12" s="450">
        <f>'LUCERO GUEMES 2'!$BJ16</f>
        <v>0</v>
      </c>
    </row>
    <row r="13">
      <c r="A13" s="445">
        <f>+'LUCERO GUEMES'!A17</f>
        <v>46151</v>
      </c>
      <c r="B13" s="446" t="str">
        <f>'AS SAN TELMO'!AR17</f>
        <v/>
      </c>
      <c r="C13" s="447">
        <f>'AS SAN TELMO'!AQ17</f>
        <v>493900</v>
      </c>
      <c r="D13" s="448" t="str">
        <f>'AS SAN TELMO'!BA17</f>
        <v/>
      </c>
      <c r="E13" s="449" t="str">
        <f>'AS SAN TELMO'!BC17</f>
        <v/>
      </c>
      <c r="F13" s="449" t="str">
        <f>'AS SAN TELMO'!BE17</f>
        <v/>
      </c>
      <c r="G13" s="449" t="str">
        <f>'AS SAN TELMO'!BG17</f>
        <v/>
      </c>
      <c r="H13" s="449" t="str">
        <f>'AS SAN TELMO'!AY17</f>
        <v/>
      </c>
      <c r="I13" s="450" t="str">
        <f>'AS SAN TELMO'!BI17</f>
        <v/>
      </c>
      <c r="J13" s="451" t="str">
        <f>'LUCERO SAN TELMO'!$AR17</f>
        <v/>
      </c>
      <c r="K13" s="447">
        <f>'LUCERO SAN TELMO'!$AQ17</f>
        <v>48000</v>
      </c>
      <c r="L13" s="448">
        <f>'LUCERO SAN TELMO'!$BA17</f>
        <v>90</v>
      </c>
      <c r="M13" s="449" t="str">
        <f>'LUCERO SAN TELMO'!$BC17</f>
        <v/>
      </c>
      <c r="N13" s="449" t="str">
        <f>'LUCERO SAN TELMO'!$BE17</f>
        <v/>
      </c>
      <c r="O13" s="449" t="str">
        <f>'LUCERO SAN TELMO'!$BG17</f>
        <v/>
      </c>
      <c r="P13" s="449" t="str">
        <f>'LUCERO SAN TELMO'!$AY17</f>
        <v/>
      </c>
      <c r="Q13" s="450" t="str">
        <f>'LUCERO SAN TELMO'!$BI17</f>
        <v/>
      </c>
      <c r="R13" s="451" t="str">
        <f>'AS GUEMES'!$AR17</f>
        <v/>
      </c>
      <c r="S13" s="447" t="str">
        <f>'AS GUEMES'!$AQ17</f>
        <v/>
      </c>
      <c r="T13" s="448" t="str">
        <f>'AS GUEMES'!$BA17</f>
        <v/>
      </c>
      <c r="U13" s="449" t="str">
        <f>'AS GUEMES'!$BC17</f>
        <v/>
      </c>
      <c r="V13" s="449" t="str">
        <f>'AS GUEMES'!$BE17</f>
        <v/>
      </c>
      <c r="W13" s="449" t="str">
        <f>'AS GUEMES'!$BG17</f>
        <v/>
      </c>
      <c r="X13" s="449" t="str">
        <f>'AS GUEMES'!$AY17</f>
        <v/>
      </c>
      <c r="Y13" s="450" t="str">
        <f>'AS GUEMES'!$BI17</f>
        <v/>
      </c>
      <c r="Z13" s="451" t="str">
        <f>'LUCERO RECOLETA'!$AR17</f>
        <v/>
      </c>
      <c r="AA13" s="447">
        <f>'LUCERO RECOLETA'!$AQ17</f>
        <v>30000</v>
      </c>
      <c r="AB13" s="448" t="str">
        <f>'LUCERO RECOLETA'!$BA17</f>
        <v/>
      </c>
      <c r="AC13" s="449" t="str">
        <f>'LUCERO RECOLETA'!$BC17</f>
        <v/>
      </c>
      <c r="AD13" s="449" t="str">
        <f>'LUCERO RECOLETA'!$BE17</f>
        <v/>
      </c>
      <c r="AE13" s="449" t="str">
        <f>'LUCERO RECOLETA'!$BG17</f>
        <v/>
      </c>
      <c r="AF13" s="449">
        <f>'LUCERO RECOLETA'!$AY17</f>
        <v>60</v>
      </c>
      <c r="AG13" s="450" t="str">
        <f>'LUCERO RECOLETA'!$BI17</f>
        <v/>
      </c>
      <c r="AH13" s="451">
        <v>0.0</v>
      </c>
      <c r="AI13" s="447">
        <v>0.0</v>
      </c>
      <c r="AJ13" s="448">
        <v>0.0</v>
      </c>
      <c r="AK13" s="449">
        <v>0.0</v>
      </c>
      <c r="AL13" s="449">
        <v>0.0</v>
      </c>
      <c r="AM13" s="449">
        <v>0.0</v>
      </c>
      <c r="AN13" s="449">
        <v>0.0</v>
      </c>
      <c r="AO13" s="450">
        <v>0.0</v>
      </c>
      <c r="AP13" s="451" t="str">
        <f>'LUCERO FRENCH'!$AR17</f>
        <v/>
      </c>
      <c r="AQ13" s="447">
        <f>'LUCERO FRENCH'!$AQ17</f>
        <v>0</v>
      </c>
      <c r="AR13" s="448" t="str">
        <f>'LUCERO FRENCH'!$BA17</f>
        <v/>
      </c>
      <c r="AS13" s="449" t="str">
        <f>'LUCERO FRENCH'!$BC17</f>
        <v/>
      </c>
      <c r="AT13" s="449" t="str">
        <f>'LUCERO FRENCH'!$BE17</f>
        <v/>
      </c>
      <c r="AU13" s="449" t="str">
        <f>'LUCERO FRENCH'!$BG17</f>
        <v/>
      </c>
      <c r="AV13" s="449" t="str">
        <f>'LUCERO FRENCH'!$AY17</f>
        <v/>
      </c>
      <c r="AW13" s="450" t="str">
        <f>'LUCERO FRENCH'!$BI17</f>
        <v/>
      </c>
      <c r="AX13" s="451" t="str">
        <f>'LUCERO SAN TELMO 2'!$AR17</f>
        <v/>
      </c>
      <c r="AY13" s="447">
        <f>'LUCERO SAN TELMO 2'!$AQ17</f>
        <v>0</v>
      </c>
      <c r="AZ13" s="448" t="str">
        <f>'LUCERO SAN TELMO 2'!$BA17</f>
        <v/>
      </c>
      <c r="BA13" s="449" t="str">
        <f>'LUCERO SAN TELMO 2'!$BC17</f>
        <v/>
      </c>
      <c r="BB13" s="449" t="str">
        <f>'LUCERO SAN TELMO 2'!$BE17</f>
        <v/>
      </c>
      <c r="BC13" s="449" t="str">
        <f>'LUCERO SAN TELMO 2'!$BG17</f>
        <v/>
      </c>
      <c r="BD13" s="449" t="str">
        <f>'LUCERO SAN TELMO 2'!$AY17</f>
        <v/>
      </c>
      <c r="BE13" s="450" t="str">
        <f>'LUCERO SAN TELMO 2'!$BI17</f>
        <v/>
      </c>
      <c r="BF13" s="451" t="str">
        <f>RESERVA!$AO17</f>
        <v/>
      </c>
      <c r="BG13" s="447" t="str">
        <f>RESERVA!$AN17</f>
        <v/>
      </c>
      <c r="BH13" s="448" t="str">
        <f>RESERVA!$AX17</f>
        <v/>
      </c>
      <c r="BI13" s="449" t="str">
        <f>RESERVA!$AZ17</f>
        <v/>
      </c>
      <c r="BJ13" s="449" t="str">
        <f>RESERVA!$BB17</f>
        <v/>
      </c>
      <c r="BK13" s="449" t="str">
        <f>RESERVA!$BD17</f>
        <v/>
      </c>
      <c r="BL13" s="449" t="str">
        <f>RESERVA!$AV17</f>
        <v/>
      </c>
      <c r="BM13" s="450" t="str">
        <f>RESERVA!$BF17</f>
        <v/>
      </c>
      <c r="BN13" s="451" t="str">
        <f>'LUCERO FLORIDA'!$AR17</f>
        <v/>
      </c>
      <c r="BO13" s="447">
        <f>'LUCERO FLORIDA'!$AQ17</f>
        <v>50000</v>
      </c>
      <c r="BP13" s="448" t="str">
        <f>'LUCERO FLORIDA'!$BA17</f>
        <v/>
      </c>
      <c r="BQ13" s="449" t="str">
        <f>'LUCERO FLORIDA'!$BC17</f>
        <v/>
      </c>
      <c r="BR13" s="449" t="str">
        <f>'LUCERO FLORIDA'!$BE17</f>
        <v/>
      </c>
      <c r="BS13" s="449" t="str">
        <f>'LUCERO FLORIDA'!$BG17</f>
        <v/>
      </c>
      <c r="BT13" s="449" t="str">
        <f>'LUCERO FLORIDA'!$AY17</f>
        <v/>
      </c>
      <c r="BU13" s="450" t="str">
        <f>'LUCERO FLORIDA'!$BI17</f>
        <v/>
      </c>
      <c r="BV13" s="451" t="str">
        <f>'LUCERO GUEMES'!$AR17</f>
        <v/>
      </c>
      <c r="BW13" s="447" t="str">
        <f>'LUCERO GUEMES'!$AQ17</f>
        <v/>
      </c>
      <c r="BX13" s="448" t="str">
        <f>'LUCERO GUEMES'!$BA17</f>
        <v/>
      </c>
      <c r="BY13" s="449" t="str">
        <f>'LUCERO GUEMES'!$BC17</f>
        <v/>
      </c>
      <c r="BZ13" s="449" t="str">
        <f>'LUCERO GUEMES'!$BE17</f>
        <v/>
      </c>
      <c r="CA13" s="449" t="str">
        <f>'LUCERO GUEMES'!$BG17</f>
        <v/>
      </c>
      <c r="CB13" s="449" t="str">
        <f>'LUCERO GUEMES'!$AY17</f>
        <v/>
      </c>
      <c r="CC13" s="450" t="str">
        <f>'LUCERO GUEMES'!$BI17</f>
        <v/>
      </c>
      <c r="CD13" s="451" t="str">
        <f>'LUCERO EL SOLAR'!AR17</f>
        <v/>
      </c>
      <c r="CE13" s="447">
        <f>'LUCERO EL SOLAR'!$AQ17</f>
        <v>20000</v>
      </c>
      <c r="CF13" s="448" t="str">
        <f>'LUCERO EL SOLAR'!$BA17</f>
        <v/>
      </c>
      <c r="CG13" s="449" t="str">
        <f>'LUCERO EL SOLAR'!$BC17</f>
        <v/>
      </c>
      <c r="CH13" s="449" t="str">
        <f>'LUCERO EL SOLAR'!$BE17</f>
        <v/>
      </c>
      <c r="CI13" s="449" t="str">
        <f>'LUCERO EL SOLAR'!$BG17</f>
        <v/>
      </c>
      <c r="CJ13" s="449" t="str">
        <f>'LUCERO EL SOLAR'!$AY17</f>
        <v/>
      </c>
      <c r="CK13" s="450" t="str">
        <f>'LUCERO EL SOLAR'!$BI17</f>
        <v/>
      </c>
      <c r="CL13" s="451" t="str">
        <f>'LUCERO GUEMES 2'!$AS17</f>
        <v/>
      </c>
      <c r="CM13" s="447" t="str">
        <f>'LUCERO GUEMES 2'!$AQ17</f>
        <v/>
      </c>
      <c r="CN13" s="448">
        <f>'LUCERO GUEMES 2'!$BB17</f>
        <v>0</v>
      </c>
      <c r="CO13" s="449">
        <f>'LUCERO GUEMES 2'!$BD17</f>
        <v>0</v>
      </c>
      <c r="CP13" s="449">
        <f>'LUCERO GUEMES 2'!$BF17</f>
        <v>0</v>
      </c>
      <c r="CQ13" s="449">
        <f>'LUCERO GUEMES 2'!$BH17</f>
        <v>0</v>
      </c>
      <c r="CR13" s="449">
        <f>'LUCERO GUEMES 2'!$AZ17</f>
        <v>0</v>
      </c>
      <c r="CS13" s="450">
        <f>'LUCERO GUEMES 2'!$BJ17</f>
        <v>0</v>
      </c>
    </row>
    <row r="14">
      <c r="A14" s="445">
        <f>+'LUCERO GUEMES'!A18</f>
        <v>46152</v>
      </c>
      <c r="B14" s="446" t="str">
        <f>'AS SAN TELMO'!AR18</f>
        <v/>
      </c>
      <c r="C14" s="447">
        <f>'AS SAN TELMO'!AQ18</f>
        <v>534800</v>
      </c>
      <c r="D14" s="448" t="str">
        <f>'AS SAN TELMO'!BA18</f>
        <v/>
      </c>
      <c r="E14" s="449" t="str">
        <f>'AS SAN TELMO'!BC18</f>
        <v/>
      </c>
      <c r="F14" s="449" t="str">
        <f>'AS SAN TELMO'!BE18</f>
        <v/>
      </c>
      <c r="G14" s="449" t="str">
        <f>'AS SAN TELMO'!BG18</f>
        <v/>
      </c>
      <c r="H14" s="449" t="str">
        <f>'AS SAN TELMO'!AY18</f>
        <v/>
      </c>
      <c r="I14" s="450" t="str">
        <f>'AS SAN TELMO'!BI18</f>
        <v/>
      </c>
      <c r="J14" s="451" t="str">
        <f>'LUCERO SAN TELMO'!$AR18</f>
        <v/>
      </c>
      <c r="K14" s="447">
        <f>'LUCERO SAN TELMO'!$AQ18</f>
        <v>40000</v>
      </c>
      <c r="L14" s="448">
        <f>'LUCERO SAN TELMO'!$BA18</f>
        <v>100</v>
      </c>
      <c r="M14" s="449" t="str">
        <f>'LUCERO SAN TELMO'!$BC18</f>
        <v/>
      </c>
      <c r="N14" s="449" t="str">
        <f>'LUCERO SAN TELMO'!$BE18</f>
        <v/>
      </c>
      <c r="O14" s="449" t="str">
        <f>'LUCERO SAN TELMO'!$BG18</f>
        <v/>
      </c>
      <c r="P14" s="449" t="str">
        <f>'LUCERO SAN TELMO'!$AY18</f>
        <v/>
      </c>
      <c r="Q14" s="450" t="str">
        <f>'LUCERO SAN TELMO'!$BI18</f>
        <v/>
      </c>
      <c r="R14" s="451" t="str">
        <f>'AS GUEMES'!$AR18</f>
        <v/>
      </c>
      <c r="S14" s="447" t="str">
        <f>'AS GUEMES'!$AQ18</f>
        <v/>
      </c>
      <c r="T14" s="448" t="str">
        <f>'AS GUEMES'!$BA18</f>
        <v/>
      </c>
      <c r="U14" s="449" t="str">
        <f>'AS GUEMES'!$BC18</f>
        <v/>
      </c>
      <c r="V14" s="449" t="str">
        <f>'AS GUEMES'!$BE18</f>
        <v/>
      </c>
      <c r="W14" s="449" t="str">
        <f>'AS GUEMES'!$BG18</f>
        <v/>
      </c>
      <c r="X14" s="449" t="str">
        <f>'AS GUEMES'!$AY18</f>
        <v/>
      </c>
      <c r="Y14" s="450" t="str">
        <f>'AS GUEMES'!$BI18</f>
        <v/>
      </c>
      <c r="Z14" s="451" t="str">
        <f>'LUCERO RECOLETA'!$AR18</f>
        <v/>
      </c>
      <c r="AA14" s="447">
        <f>'LUCERO RECOLETA'!$AQ18</f>
        <v>0</v>
      </c>
      <c r="AB14" s="448" t="str">
        <f>'LUCERO RECOLETA'!$BA18</f>
        <v/>
      </c>
      <c r="AC14" s="449" t="str">
        <f>'LUCERO RECOLETA'!$BC18</f>
        <v/>
      </c>
      <c r="AD14" s="449" t="str">
        <f>'LUCERO RECOLETA'!$BE18</f>
        <v/>
      </c>
      <c r="AE14" s="449" t="str">
        <f>'LUCERO RECOLETA'!$BG18</f>
        <v/>
      </c>
      <c r="AF14" s="449" t="str">
        <f>'LUCERO RECOLETA'!$AY18</f>
        <v/>
      </c>
      <c r="AG14" s="450" t="str">
        <f>'LUCERO RECOLETA'!$BI18</f>
        <v/>
      </c>
      <c r="AH14" s="451">
        <v>0.0</v>
      </c>
      <c r="AI14" s="447">
        <v>0.0</v>
      </c>
      <c r="AJ14" s="448">
        <v>0.0</v>
      </c>
      <c r="AK14" s="449">
        <v>0.0</v>
      </c>
      <c r="AL14" s="449">
        <v>0.0</v>
      </c>
      <c r="AM14" s="449">
        <v>0.0</v>
      </c>
      <c r="AN14" s="449">
        <v>0.0</v>
      </c>
      <c r="AO14" s="450">
        <v>0.0</v>
      </c>
      <c r="AP14" s="451" t="str">
        <f>'LUCERO FRENCH'!$AR18</f>
        <v/>
      </c>
      <c r="AQ14" s="447">
        <f>'LUCERO FRENCH'!$AQ18</f>
        <v>580000</v>
      </c>
      <c r="AR14" s="448" t="str">
        <f>'LUCERO FRENCH'!$BA18</f>
        <v/>
      </c>
      <c r="AS14" s="449" t="str">
        <f>'LUCERO FRENCH'!$BC18</f>
        <v/>
      </c>
      <c r="AT14" s="449" t="str">
        <f>'LUCERO FRENCH'!$BE18</f>
        <v/>
      </c>
      <c r="AU14" s="449" t="str">
        <f>'LUCERO FRENCH'!$BG18</f>
        <v/>
      </c>
      <c r="AV14" s="449" t="str">
        <f>'LUCERO FRENCH'!$AY18</f>
        <v/>
      </c>
      <c r="AW14" s="450" t="str">
        <f>'LUCERO FRENCH'!$BI18</f>
        <v/>
      </c>
      <c r="AX14" s="451" t="str">
        <f>'LUCERO SAN TELMO 2'!$AR18</f>
        <v/>
      </c>
      <c r="AY14" s="447">
        <f>'LUCERO SAN TELMO 2'!$AQ18</f>
        <v>0</v>
      </c>
      <c r="AZ14" s="448" t="str">
        <f>'LUCERO SAN TELMO 2'!$BA18</f>
        <v/>
      </c>
      <c r="BA14" s="449" t="str">
        <f>'LUCERO SAN TELMO 2'!$BC18</f>
        <v/>
      </c>
      <c r="BB14" s="449" t="str">
        <f>'LUCERO SAN TELMO 2'!$BE18</f>
        <v/>
      </c>
      <c r="BC14" s="449" t="str">
        <f>'LUCERO SAN TELMO 2'!$BG18</f>
        <v/>
      </c>
      <c r="BD14" s="449" t="str">
        <f>'LUCERO SAN TELMO 2'!$AY18</f>
        <v/>
      </c>
      <c r="BE14" s="450" t="str">
        <f>'LUCERO SAN TELMO 2'!$BI18</f>
        <v/>
      </c>
      <c r="BF14" s="451" t="str">
        <f>RESERVA!$AO18</f>
        <v/>
      </c>
      <c r="BG14" s="447" t="str">
        <f>RESERVA!$AN18</f>
        <v/>
      </c>
      <c r="BH14" s="448" t="str">
        <f>RESERVA!$AX18</f>
        <v/>
      </c>
      <c r="BI14" s="449" t="str">
        <f>RESERVA!$AZ18</f>
        <v/>
      </c>
      <c r="BJ14" s="449" t="str">
        <f>RESERVA!$BB18</f>
        <v/>
      </c>
      <c r="BK14" s="449" t="str">
        <f>RESERVA!$BD18</f>
        <v/>
      </c>
      <c r="BL14" s="449" t="str">
        <f>RESERVA!$AV18</f>
        <v/>
      </c>
      <c r="BM14" s="450" t="str">
        <f>RESERVA!$BF18</f>
        <v/>
      </c>
      <c r="BN14" s="451" t="str">
        <f>'LUCERO FLORIDA'!$AR18</f>
        <v/>
      </c>
      <c r="BO14" s="447">
        <f>'LUCERO FLORIDA'!$AQ18</f>
        <v>155000</v>
      </c>
      <c r="BP14" s="448" t="str">
        <f>'LUCERO FLORIDA'!$BA18</f>
        <v/>
      </c>
      <c r="BQ14" s="449" t="str">
        <f>'LUCERO FLORIDA'!$BC18</f>
        <v/>
      </c>
      <c r="BR14" s="449" t="str">
        <f>'LUCERO FLORIDA'!$BE18</f>
        <v/>
      </c>
      <c r="BS14" s="449" t="str">
        <f>'LUCERO FLORIDA'!$BG18</f>
        <v/>
      </c>
      <c r="BT14" s="449" t="str">
        <f>'LUCERO FLORIDA'!$AY18</f>
        <v/>
      </c>
      <c r="BU14" s="450" t="str">
        <f>'LUCERO FLORIDA'!$BI18</f>
        <v/>
      </c>
      <c r="BV14" s="451" t="str">
        <f>'LUCERO GUEMES'!$AR18</f>
        <v/>
      </c>
      <c r="BW14" s="447" t="str">
        <f>'LUCERO GUEMES'!$AQ18</f>
        <v/>
      </c>
      <c r="BX14" s="448" t="str">
        <f>'LUCERO GUEMES'!$BA18</f>
        <v/>
      </c>
      <c r="BY14" s="449" t="str">
        <f>'LUCERO GUEMES'!$BC18</f>
        <v/>
      </c>
      <c r="BZ14" s="449" t="str">
        <f>'LUCERO GUEMES'!$BE18</f>
        <v/>
      </c>
      <c r="CA14" s="449" t="str">
        <f>'LUCERO GUEMES'!$BG18</f>
        <v/>
      </c>
      <c r="CB14" s="449" t="str">
        <f>'LUCERO GUEMES'!$AY18</f>
        <v/>
      </c>
      <c r="CC14" s="450" t="str">
        <f>'LUCERO GUEMES'!$BI18</f>
        <v/>
      </c>
      <c r="CD14" s="451" t="str">
        <f>'LUCERO EL SOLAR'!AR18</f>
        <v/>
      </c>
      <c r="CE14" s="447">
        <f>'LUCERO EL SOLAR'!$AQ18</f>
        <v>0</v>
      </c>
      <c r="CF14" s="448" t="str">
        <f>'LUCERO EL SOLAR'!$BA18</f>
        <v/>
      </c>
      <c r="CG14" s="449" t="str">
        <f>'LUCERO EL SOLAR'!$BC18</f>
        <v/>
      </c>
      <c r="CH14" s="449" t="str">
        <f>'LUCERO EL SOLAR'!$BE18</f>
        <v/>
      </c>
      <c r="CI14" s="449" t="str">
        <f>'LUCERO EL SOLAR'!$BG18</f>
        <v/>
      </c>
      <c r="CJ14" s="449" t="str">
        <f>'LUCERO EL SOLAR'!$AY18</f>
        <v/>
      </c>
      <c r="CK14" s="450" t="str">
        <f>'LUCERO EL SOLAR'!$BI18</f>
        <v/>
      </c>
      <c r="CL14" s="451" t="str">
        <f>'LUCERO GUEMES 2'!$AS18</f>
        <v/>
      </c>
      <c r="CM14" s="447" t="str">
        <f>'LUCERO GUEMES 2'!$AQ18</f>
        <v/>
      </c>
      <c r="CN14" s="448">
        <f>'LUCERO GUEMES 2'!$BB18</f>
        <v>0</v>
      </c>
      <c r="CO14" s="449">
        <f>'LUCERO GUEMES 2'!$BD18</f>
        <v>0</v>
      </c>
      <c r="CP14" s="449">
        <f>'LUCERO GUEMES 2'!$BF18</f>
        <v>0</v>
      </c>
      <c r="CQ14" s="449">
        <f>'LUCERO GUEMES 2'!$BH18</f>
        <v>0</v>
      </c>
      <c r="CR14" s="449">
        <f>'LUCERO GUEMES 2'!$AZ18</f>
        <v>0</v>
      </c>
      <c r="CS14" s="450">
        <f>'LUCERO GUEMES 2'!$BJ18</f>
        <v>0</v>
      </c>
    </row>
    <row r="15">
      <c r="A15" s="445">
        <f>+'LUCERO GUEMES'!A19</f>
        <v>46153</v>
      </c>
      <c r="B15" s="446" t="str">
        <f>'AS SAN TELMO'!AR19</f>
        <v/>
      </c>
      <c r="C15" s="447">
        <f>'AS SAN TELMO'!AQ19</f>
        <v>63900</v>
      </c>
      <c r="D15" s="448" t="str">
        <f>'AS SAN TELMO'!BA19</f>
        <v/>
      </c>
      <c r="E15" s="449" t="str">
        <f>'AS SAN TELMO'!BC19</f>
        <v/>
      </c>
      <c r="F15" s="449" t="str">
        <f>'AS SAN TELMO'!BE19</f>
        <v/>
      </c>
      <c r="G15" s="449" t="str">
        <f>'AS SAN TELMO'!BG19</f>
        <v/>
      </c>
      <c r="H15" s="449" t="str">
        <f>'AS SAN TELMO'!AY19</f>
        <v/>
      </c>
      <c r="I15" s="450" t="str">
        <f>'AS SAN TELMO'!BI19</f>
        <v/>
      </c>
      <c r="J15" s="451" t="str">
        <f>'LUCERO SAN TELMO'!$AR19</f>
        <v/>
      </c>
      <c r="K15" s="447">
        <f>'LUCERO SAN TELMO'!$AQ19</f>
        <v>0</v>
      </c>
      <c r="L15" s="448" t="str">
        <f>'LUCERO SAN TELMO'!$BA19</f>
        <v/>
      </c>
      <c r="M15" s="449" t="str">
        <f>'LUCERO SAN TELMO'!$BC19</f>
        <v/>
      </c>
      <c r="N15" s="449" t="str">
        <f>'LUCERO SAN TELMO'!$BE19</f>
        <v/>
      </c>
      <c r="O15" s="449" t="str">
        <f>'LUCERO SAN TELMO'!$BG19</f>
        <v/>
      </c>
      <c r="P15" s="449" t="str">
        <f>'LUCERO SAN TELMO'!$AY19</f>
        <v/>
      </c>
      <c r="Q15" s="450" t="str">
        <f>'LUCERO SAN TELMO'!$BI19</f>
        <v/>
      </c>
      <c r="R15" s="451" t="str">
        <f>'AS GUEMES'!$AR19</f>
        <v/>
      </c>
      <c r="S15" s="447" t="str">
        <f>'AS GUEMES'!$AQ19</f>
        <v/>
      </c>
      <c r="T15" s="448" t="str">
        <f>'AS GUEMES'!$BA19</f>
        <v/>
      </c>
      <c r="U15" s="449" t="str">
        <f>'AS GUEMES'!$BC19</f>
        <v/>
      </c>
      <c r="V15" s="449" t="str">
        <f>'AS GUEMES'!$BE19</f>
        <v/>
      </c>
      <c r="W15" s="449" t="str">
        <f>'AS GUEMES'!$BG19</f>
        <v/>
      </c>
      <c r="X15" s="449" t="str">
        <f>'AS GUEMES'!$AY19</f>
        <v/>
      </c>
      <c r="Y15" s="450" t="str">
        <f>'AS GUEMES'!$BI19</f>
        <v/>
      </c>
      <c r="Z15" s="451" t="str">
        <f>'LUCERO RECOLETA'!$AR19</f>
        <v/>
      </c>
      <c r="AA15" s="447">
        <f>'LUCERO RECOLETA'!$AQ19</f>
        <v>0</v>
      </c>
      <c r="AB15" s="448" t="str">
        <f>'LUCERO RECOLETA'!$BA19</f>
        <v/>
      </c>
      <c r="AC15" s="449" t="str">
        <f>'LUCERO RECOLETA'!$BC19</f>
        <v/>
      </c>
      <c r="AD15" s="449" t="str">
        <f>'LUCERO RECOLETA'!$BE19</f>
        <v/>
      </c>
      <c r="AE15" s="449" t="str">
        <f>'LUCERO RECOLETA'!$BG19</f>
        <v/>
      </c>
      <c r="AF15" s="449" t="str">
        <f>'LUCERO RECOLETA'!$AY19</f>
        <v/>
      </c>
      <c r="AG15" s="450" t="str">
        <f>'LUCERO RECOLETA'!$BI19</f>
        <v/>
      </c>
      <c r="AH15" s="451">
        <v>0.0</v>
      </c>
      <c r="AI15" s="447">
        <v>0.0</v>
      </c>
      <c r="AJ15" s="448">
        <v>0.0</v>
      </c>
      <c r="AK15" s="449">
        <v>0.0</v>
      </c>
      <c r="AL15" s="449">
        <v>0.0</v>
      </c>
      <c r="AM15" s="449">
        <v>0.0</v>
      </c>
      <c r="AN15" s="449">
        <v>0.0</v>
      </c>
      <c r="AO15" s="450">
        <v>0.0</v>
      </c>
      <c r="AP15" s="451" t="str">
        <f>'LUCERO FRENCH'!$AR19</f>
        <v/>
      </c>
      <c r="AQ15" s="447">
        <f>'LUCERO FRENCH'!$AQ19</f>
        <v>0</v>
      </c>
      <c r="AR15" s="448" t="str">
        <f>'LUCERO FRENCH'!$BA19</f>
        <v/>
      </c>
      <c r="AS15" s="449" t="str">
        <f>'LUCERO FRENCH'!$BC19</f>
        <v/>
      </c>
      <c r="AT15" s="449" t="str">
        <f>'LUCERO FRENCH'!$BE19</f>
        <v/>
      </c>
      <c r="AU15" s="449" t="str">
        <f>'LUCERO FRENCH'!$BG19</f>
        <v/>
      </c>
      <c r="AV15" s="449" t="str">
        <f>'LUCERO FRENCH'!$AY19</f>
        <v/>
      </c>
      <c r="AW15" s="450" t="str">
        <f>'LUCERO FRENCH'!$BI19</f>
        <v/>
      </c>
      <c r="AX15" s="451" t="str">
        <f>'LUCERO SAN TELMO 2'!$AR19</f>
        <v/>
      </c>
      <c r="AY15" s="447" t="str">
        <f>'LUCERO SAN TELMO 2'!$AQ19</f>
        <v/>
      </c>
      <c r="AZ15" s="448" t="str">
        <f>'LUCERO SAN TELMO 2'!$BA19</f>
        <v/>
      </c>
      <c r="BA15" s="449" t="str">
        <f>'LUCERO SAN TELMO 2'!$BC19</f>
        <v/>
      </c>
      <c r="BB15" s="449" t="str">
        <f>'LUCERO SAN TELMO 2'!$BE19</f>
        <v/>
      </c>
      <c r="BC15" s="449" t="str">
        <f>'LUCERO SAN TELMO 2'!$BG19</f>
        <v/>
      </c>
      <c r="BD15" s="449" t="str">
        <f>'LUCERO SAN TELMO 2'!$AY19</f>
        <v/>
      </c>
      <c r="BE15" s="450" t="str">
        <f>'LUCERO SAN TELMO 2'!$BI19</f>
        <v/>
      </c>
      <c r="BF15" s="451" t="str">
        <f>RESERVA!$AO19</f>
        <v/>
      </c>
      <c r="BG15" s="447" t="str">
        <f>RESERVA!$AN19</f>
        <v/>
      </c>
      <c r="BH15" s="448" t="str">
        <f>RESERVA!$AX19</f>
        <v/>
      </c>
      <c r="BI15" s="449" t="str">
        <f>RESERVA!$AZ19</f>
        <v/>
      </c>
      <c r="BJ15" s="449" t="str">
        <f>RESERVA!$BB19</f>
        <v/>
      </c>
      <c r="BK15" s="449" t="str">
        <f>RESERVA!$BD19</f>
        <v/>
      </c>
      <c r="BL15" s="449" t="str">
        <f>RESERVA!$AV19</f>
        <v/>
      </c>
      <c r="BM15" s="450" t="str">
        <f>RESERVA!$BF19</f>
        <v/>
      </c>
      <c r="BN15" s="451" t="str">
        <f>'LUCERO FLORIDA'!$AR19</f>
        <v/>
      </c>
      <c r="BO15" s="447">
        <f>'LUCERO FLORIDA'!$AQ19</f>
        <v>40000</v>
      </c>
      <c r="BP15" s="448" t="str">
        <f>'LUCERO FLORIDA'!$BA19</f>
        <v/>
      </c>
      <c r="BQ15" s="449" t="str">
        <f>'LUCERO FLORIDA'!$BC19</f>
        <v/>
      </c>
      <c r="BR15" s="449" t="str">
        <f>'LUCERO FLORIDA'!$BE19</f>
        <v/>
      </c>
      <c r="BS15" s="449" t="str">
        <f>'LUCERO FLORIDA'!$BG19</f>
        <v/>
      </c>
      <c r="BT15" s="449" t="str">
        <f>'LUCERO FLORIDA'!$AY19</f>
        <v/>
      </c>
      <c r="BU15" s="450" t="str">
        <f>'LUCERO FLORIDA'!$BI19</f>
        <v/>
      </c>
      <c r="BV15" s="451" t="str">
        <f>'LUCERO GUEMES'!$AR19</f>
        <v/>
      </c>
      <c r="BW15" s="447">
        <f>'LUCERO GUEMES'!$AQ19</f>
        <v>0</v>
      </c>
      <c r="BX15" s="448" t="str">
        <f>'LUCERO GUEMES'!$BA19</f>
        <v/>
      </c>
      <c r="BY15" s="449" t="str">
        <f>'LUCERO GUEMES'!$BC19</f>
        <v/>
      </c>
      <c r="BZ15" s="449" t="str">
        <f>'LUCERO GUEMES'!$BE19</f>
        <v/>
      </c>
      <c r="CA15" s="449" t="str">
        <f>'LUCERO GUEMES'!$BG19</f>
        <v/>
      </c>
      <c r="CB15" s="449" t="str">
        <f>'LUCERO GUEMES'!$AY19</f>
        <v/>
      </c>
      <c r="CC15" s="450" t="str">
        <f>'LUCERO GUEMES'!$BI19</f>
        <v/>
      </c>
      <c r="CD15" s="451" t="str">
        <f>'LUCERO EL SOLAR'!AR19</f>
        <v/>
      </c>
      <c r="CE15" s="452">
        <f>'LUCERO EL SOLAR'!$AQ19</f>
        <v>86000</v>
      </c>
      <c r="CF15" s="448" t="str">
        <f>'LUCERO EL SOLAR'!$BA19</f>
        <v/>
      </c>
      <c r="CG15" s="449" t="str">
        <f>'LUCERO EL SOLAR'!$BC19</f>
        <v/>
      </c>
      <c r="CH15" s="449" t="str">
        <f>'LUCERO EL SOLAR'!$BE19</f>
        <v/>
      </c>
      <c r="CI15" s="449" t="str">
        <f>'LUCERO EL SOLAR'!$BG19</f>
        <v/>
      </c>
      <c r="CJ15" s="449" t="str">
        <f>'LUCERO EL SOLAR'!$AY19</f>
        <v/>
      </c>
      <c r="CK15" s="450" t="str">
        <f>'LUCERO EL SOLAR'!$BI19</f>
        <v/>
      </c>
      <c r="CL15" s="451" t="str">
        <f>'LUCERO GUEMES 2'!$AS19</f>
        <v/>
      </c>
      <c r="CM15" s="447">
        <f>'LUCERO GUEMES 2'!$AQ19</f>
        <v>0</v>
      </c>
      <c r="CN15" s="448">
        <f>'LUCERO GUEMES 2'!$BB19</f>
        <v>0</v>
      </c>
      <c r="CO15" s="449">
        <f>'LUCERO GUEMES 2'!$BD19</f>
        <v>0</v>
      </c>
      <c r="CP15" s="449">
        <f>'LUCERO GUEMES 2'!$BF19</f>
        <v>0</v>
      </c>
      <c r="CQ15" s="449">
        <f>'LUCERO GUEMES 2'!$BH19</f>
        <v>0</v>
      </c>
      <c r="CR15" s="449">
        <f>'LUCERO GUEMES 2'!$AZ19</f>
        <v>0</v>
      </c>
      <c r="CS15" s="450">
        <f>'LUCERO GUEMES 2'!$BJ19</f>
        <v>0</v>
      </c>
    </row>
    <row r="16">
      <c r="A16" s="445">
        <f>+'LUCERO GUEMES'!A20</f>
        <v>46154</v>
      </c>
      <c r="B16" s="446" t="str">
        <f>'AS SAN TELMO'!AR20</f>
        <v/>
      </c>
      <c r="C16" s="447">
        <f>'AS SAN TELMO'!AQ20</f>
        <v>67900</v>
      </c>
      <c r="D16" s="448" t="str">
        <f>'AS SAN TELMO'!BA20</f>
        <v/>
      </c>
      <c r="E16" s="449" t="str">
        <f>'AS SAN TELMO'!BC20</f>
        <v/>
      </c>
      <c r="F16" s="449" t="str">
        <f>'AS SAN TELMO'!BE20</f>
        <v/>
      </c>
      <c r="G16" s="449" t="str">
        <f>'AS SAN TELMO'!BG20</f>
        <v/>
      </c>
      <c r="H16" s="449" t="str">
        <f>'AS SAN TELMO'!AY20</f>
        <v/>
      </c>
      <c r="I16" s="450" t="str">
        <f>'AS SAN TELMO'!BI20</f>
        <v/>
      </c>
      <c r="J16" s="451" t="str">
        <f>'LUCERO SAN TELMO'!$AR20</f>
        <v/>
      </c>
      <c r="K16" s="447">
        <f>'LUCERO SAN TELMO'!$AQ20</f>
        <v>0</v>
      </c>
      <c r="L16" s="448" t="str">
        <f>'LUCERO SAN TELMO'!$BA20</f>
        <v/>
      </c>
      <c r="M16" s="449" t="str">
        <f>'LUCERO SAN TELMO'!$BC20</f>
        <v/>
      </c>
      <c r="N16" s="449" t="str">
        <f>'LUCERO SAN TELMO'!$BE20</f>
        <v/>
      </c>
      <c r="O16" s="449" t="str">
        <f>'LUCERO SAN TELMO'!$BG20</f>
        <v/>
      </c>
      <c r="P16" s="449" t="str">
        <f>'LUCERO SAN TELMO'!$AY20</f>
        <v/>
      </c>
      <c r="Q16" s="450" t="str">
        <f>'LUCERO SAN TELMO'!$BI20</f>
        <v/>
      </c>
      <c r="R16" s="451" t="str">
        <f>'AS GUEMES'!$AR20</f>
        <v/>
      </c>
      <c r="S16" s="447" t="str">
        <f>'AS GUEMES'!$AQ20</f>
        <v/>
      </c>
      <c r="T16" s="448" t="str">
        <f>'AS GUEMES'!$BA20</f>
        <v/>
      </c>
      <c r="U16" s="449" t="str">
        <f>'AS GUEMES'!$BC20</f>
        <v/>
      </c>
      <c r="V16" s="449" t="str">
        <f>'AS GUEMES'!$BE20</f>
        <v/>
      </c>
      <c r="W16" s="449" t="str">
        <f>'AS GUEMES'!$BG20</f>
        <v/>
      </c>
      <c r="X16" s="449" t="str">
        <f>'AS GUEMES'!$AY20</f>
        <v/>
      </c>
      <c r="Y16" s="450" t="str">
        <f>'AS GUEMES'!$BI20</f>
        <v/>
      </c>
      <c r="Z16" s="451" t="str">
        <f>'LUCERO RECOLETA'!$AR20</f>
        <v/>
      </c>
      <c r="AA16" s="447">
        <f>'LUCERO RECOLETA'!$AQ20</f>
        <v>0</v>
      </c>
      <c r="AB16" s="448" t="str">
        <f>'LUCERO RECOLETA'!$BA20</f>
        <v/>
      </c>
      <c r="AC16" s="449" t="str">
        <f>'LUCERO RECOLETA'!$BC20</f>
        <v/>
      </c>
      <c r="AD16" s="449" t="str">
        <f>'LUCERO RECOLETA'!$BE20</f>
        <v/>
      </c>
      <c r="AE16" s="449" t="str">
        <f>'LUCERO RECOLETA'!$BG20</f>
        <v/>
      </c>
      <c r="AF16" s="449" t="str">
        <f>'LUCERO RECOLETA'!$AY20</f>
        <v/>
      </c>
      <c r="AG16" s="450" t="str">
        <f>'LUCERO RECOLETA'!$BI20</f>
        <v/>
      </c>
      <c r="AH16" s="451">
        <v>0.0</v>
      </c>
      <c r="AI16" s="447">
        <v>0.0</v>
      </c>
      <c r="AJ16" s="448">
        <v>0.0</v>
      </c>
      <c r="AK16" s="449">
        <v>0.0</v>
      </c>
      <c r="AL16" s="449">
        <v>0.0</v>
      </c>
      <c r="AM16" s="449">
        <v>0.0</v>
      </c>
      <c r="AN16" s="449">
        <v>0.0</v>
      </c>
      <c r="AO16" s="450">
        <v>0.0</v>
      </c>
      <c r="AP16" s="451" t="str">
        <f>'LUCERO FRENCH'!$AR20</f>
        <v/>
      </c>
      <c r="AQ16" s="447">
        <f>'LUCERO FRENCH'!$AQ20</f>
        <v>30000</v>
      </c>
      <c r="AR16" s="448" t="str">
        <f>'LUCERO FRENCH'!$BA20</f>
        <v/>
      </c>
      <c r="AS16" s="449" t="str">
        <f>'LUCERO FRENCH'!$BC20</f>
        <v/>
      </c>
      <c r="AT16" s="449" t="str">
        <f>'LUCERO FRENCH'!$BE20</f>
        <v/>
      </c>
      <c r="AU16" s="449" t="str">
        <f>'LUCERO FRENCH'!$BG20</f>
        <v/>
      </c>
      <c r="AV16" s="449" t="str">
        <f>'LUCERO FRENCH'!$AY20</f>
        <v/>
      </c>
      <c r="AW16" s="450" t="str">
        <f>'LUCERO FRENCH'!$BI20</f>
        <v/>
      </c>
      <c r="AX16" s="451" t="str">
        <f>'LUCERO SAN TELMO 2'!$AR20</f>
        <v/>
      </c>
      <c r="AY16" s="447" t="str">
        <f>'LUCERO SAN TELMO 2'!$AQ20</f>
        <v/>
      </c>
      <c r="AZ16" s="448" t="str">
        <f>'LUCERO SAN TELMO 2'!$BA20</f>
        <v/>
      </c>
      <c r="BA16" s="449" t="str">
        <f>'LUCERO SAN TELMO 2'!$BC20</f>
        <v/>
      </c>
      <c r="BB16" s="449" t="str">
        <f>'LUCERO SAN TELMO 2'!$BE20</f>
        <v/>
      </c>
      <c r="BC16" s="449" t="str">
        <f>'LUCERO SAN TELMO 2'!$BG20</f>
        <v/>
      </c>
      <c r="BD16" s="449" t="str">
        <f>'LUCERO SAN TELMO 2'!$AY20</f>
        <v/>
      </c>
      <c r="BE16" s="450" t="str">
        <f>'LUCERO SAN TELMO 2'!$BI20</f>
        <v/>
      </c>
      <c r="BF16" s="451" t="str">
        <f>RESERVA!$AO20</f>
        <v/>
      </c>
      <c r="BG16" s="447" t="str">
        <f>RESERVA!$AN20</f>
        <v/>
      </c>
      <c r="BH16" s="448" t="str">
        <f>RESERVA!$AX20</f>
        <v/>
      </c>
      <c r="BI16" s="449" t="str">
        <f>RESERVA!$AZ20</f>
        <v/>
      </c>
      <c r="BJ16" s="449" t="str">
        <f>RESERVA!$BB20</f>
        <v/>
      </c>
      <c r="BK16" s="449" t="str">
        <f>RESERVA!$BD20</f>
        <v/>
      </c>
      <c r="BL16" s="449" t="str">
        <f>RESERVA!$AV20</f>
        <v/>
      </c>
      <c r="BM16" s="450" t="str">
        <f>RESERVA!$BF20</f>
        <v/>
      </c>
      <c r="BN16" s="451" t="str">
        <f>'LUCERO FLORIDA'!$AR20</f>
        <v/>
      </c>
      <c r="BO16" s="447">
        <f>'LUCERO FLORIDA'!$AQ20</f>
        <v>160000</v>
      </c>
      <c r="BP16" s="448" t="str">
        <f>'LUCERO FLORIDA'!$BA20</f>
        <v/>
      </c>
      <c r="BQ16" s="449" t="str">
        <f>'LUCERO FLORIDA'!$BC20</f>
        <v/>
      </c>
      <c r="BR16" s="449" t="str">
        <f>'LUCERO FLORIDA'!$BE20</f>
        <v/>
      </c>
      <c r="BS16" s="449" t="str">
        <f>'LUCERO FLORIDA'!$BG20</f>
        <v/>
      </c>
      <c r="BT16" s="449" t="str">
        <f>'LUCERO FLORIDA'!$AY20</f>
        <v/>
      </c>
      <c r="BU16" s="450" t="str">
        <f>'LUCERO FLORIDA'!$BI20</f>
        <v/>
      </c>
      <c r="BV16" s="451" t="str">
        <f>'LUCERO GUEMES'!$AR20</f>
        <v/>
      </c>
      <c r="BW16" s="447">
        <f>'LUCERO GUEMES'!$AQ20</f>
        <v>0</v>
      </c>
      <c r="BX16" s="448" t="str">
        <f>'LUCERO GUEMES'!$BA20</f>
        <v/>
      </c>
      <c r="BY16" s="449" t="str">
        <f>'LUCERO GUEMES'!$BC20</f>
        <v/>
      </c>
      <c r="BZ16" s="449" t="str">
        <f>'LUCERO GUEMES'!$BE20</f>
        <v/>
      </c>
      <c r="CA16" s="449" t="str">
        <f>'LUCERO GUEMES'!$BG20</f>
        <v/>
      </c>
      <c r="CB16" s="449" t="str">
        <f>'LUCERO GUEMES'!$AY20</f>
        <v/>
      </c>
      <c r="CC16" s="450" t="str">
        <f>'LUCERO GUEMES'!$BI20</f>
        <v/>
      </c>
      <c r="CD16" s="451" t="str">
        <f>'LUCERO EL SOLAR'!AR20</f>
        <v/>
      </c>
      <c r="CE16" s="452">
        <f>'LUCERO EL SOLAR'!$AQ20</f>
        <v>0</v>
      </c>
      <c r="CF16" s="448" t="str">
        <f>'LUCERO EL SOLAR'!$BA20</f>
        <v/>
      </c>
      <c r="CG16" s="449" t="str">
        <f>'LUCERO EL SOLAR'!$BC20</f>
        <v/>
      </c>
      <c r="CH16" s="449" t="str">
        <f>'LUCERO EL SOLAR'!$BE20</f>
        <v/>
      </c>
      <c r="CI16" s="449" t="str">
        <f>'LUCERO EL SOLAR'!$BG20</f>
        <v/>
      </c>
      <c r="CJ16" s="449" t="str">
        <f>'LUCERO EL SOLAR'!$AY20</f>
        <v/>
      </c>
      <c r="CK16" s="450" t="str">
        <f>'LUCERO EL SOLAR'!$BI20</f>
        <v/>
      </c>
      <c r="CL16" s="451" t="str">
        <f>'LUCERO GUEMES 2'!$AS20</f>
        <v/>
      </c>
      <c r="CM16" s="447">
        <f>'LUCERO GUEMES 2'!$AQ20</f>
        <v>0</v>
      </c>
      <c r="CN16" s="448">
        <f>'LUCERO GUEMES 2'!$BB20</f>
        <v>0</v>
      </c>
      <c r="CO16" s="449">
        <f>'LUCERO GUEMES 2'!$BD20</f>
        <v>0</v>
      </c>
      <c r="CP16" s="449">
        <f>'LUCERO GUEMES 2'!$BF20</f>
        <v>0</v>
      </c>
      <c r="CQ16" s="449">
        <f>'LUCERO GUEMES 2'!$BH20</f>
        <v>0</v>
      </c>
      <c r="CR16" s="449">
        <f>'LUCERO GUEMES 2'!$AZ20</f>
        <v>0</v>
      </c>
      <c r="CS16" s="450">
        <f>'LUCERO GUEMES 2'!$BJ20</f>
        <v>0</v>
      </c>
    </row>
    <row r="17">
      <c r="A17" s="445">
        <f>+'LUCERO GUEMES'!A21</f>
        <v>46155</v>
      </c>
      <c r="B17" s="446">
        <f>'AS SAN TELMO'!AQ22</f>
        <v>32500</v>
      </c>
      <c r="C17" s="447">
        <f>'AS SAN TELMO'!AQ21</f>
        <v>142500</v>
      </c>
      <c r="D17" s="448" t="str">
        <f>'AS SAN TELMO'!BA21</f>
        <v/>
      </c>
      <c r="E17" s="449" t="str">
        <f>'AS SAN TELMO'!BC21</f>
        <v/>
      </c>
      <c r="F17" s="449" t="str">
        <f>'AS SAN TELMO'!BE21</f>
        <v/>
      </c>
      <c r="G17" s="449" t="str">
        <f>'AS SAN TELMO'!BG21</f>
        <v/>
      </c>
      <c r="H17" s="449" t="str">
        <f>'AS SAN TELMO'!AY21</f>
        <v/>
      </c>
      <c r="I17" s="450" t="str">
        <f>'AS SAN TELMO'!BI21</f>
        <v/>
      </c>
      <c r="J17" s="451" t="str">
        <f>'LUCERO SAN TELMO'!$AR21</f>
        <v/>
      </c>
      <c r="K17" s="447">
        <f>'LUCERO SAN TELMO'!$AQ21</f>
        <v>181000</v>
      </c>
      <c r="L17" s="448" t="str">
        <f>'LUCERO SAN TELMO'!$BA21</f>
        <v/>
      </c>
      <c r="M17" s="449" t="str">
        <f>'LUCERO SAN TELMO'!$BC21</f>
        <v/>
      </c>
      <c r="N17" s="449" t="str">
        <f>'LUCERO SAN TELMO'!$BE21</f>
        <v/>
      </c>
      <c r="O17" s="449" t="str">
        <f>'LUCERO SAN TELMO'!$BG21</f>
        <v/>
      </c>
      <c r="P17" s="449" t="str">
        <f>'LUCERO SAN TELMO'!$AY21</f>
        <v/>
      </c>
      <c r="Q17" s="450" t="str">
        <f>'LUCERO SAN TELMO'!$BI21</f>
        <v/>
      </c>
      <c r="R17" s="451" t="str">
        <f>'AS GUEMES'!$AR21</f>
        <v/>
      </c>
      <c r="S17" s="447" t="str">
        <f>'AS GUEMES'!$AQ21</f>
        <v/>
      </c>
      <c r="T17" s="448" t="str">
        <f>'AS GUEMES'!$BA21</f>
        <v/>
      </c>
      <c r="U17" s="449" t="str">
        <f>'AS GUEMES'!$BC21</f>
        <v/>
      </c>
      <c r="V17" s="449" t="str">
        <f>'AS GUEMES'!$BE21</f>
        <v/>
      </c>
      <c r="W17" s="449" t="str">
        <f>'AS GUEMES'!$BG21</f>
        <v/>
      </c>
      <c r="X17" s="449" t="str">
        <f>'AS GUEMES'!$AY21</f>
        <v/>
      </c>
      <c r="Y17" s="450" t="str">
        <f>'AS GUEMES'!$BI21</f>
        <v/>
      </c>
      <c r="Z17" s="451" t="str">
        <f>'LUCERO RECOLETA'!$AR21</f>
        <v/>
      </c>
      <c r="AA17" s="447">
        <f>'LUCERO RECOLETA'!$AQ21</f>
        <v>0</v>
      </c>
      <c r="AB17" s="448" t="str">
        <f>'LUCERO RECOLETA'!$BA21</f>
        <v/>
      </c>
      <c r="AC17" s="449" t="str">
        <f>'LUCERO RECOLETA'!$BC21</f>
        <v/>
      </c>
      <c r="AD17" s="449" t="str">
        <f>'LUCERO RECOLETA'!$BE21</f>
        <v/>
      </c>
      <c r="AE17" s="449" t="str">
        <f>'LUCERO RECOLETA'!$BG21</f>
        <v/>
      </c>
      <c r="AF17" s="449" t="str">
        <f>'LUCERO RECOLETA'!$AY21</f>
        <v/>
      </c>
      <c r="AG17" s="450" t="str">
        <f>'LUCERO RECOLETA'!$BI21</f>
        <v/>
      </c>
      <c r="AH17" s="451">
        <v>0.0</v>
      </c>
      <c r="AI17" s="447">
        <v>0.0</v>
      </c>
      <c r="AJ17" s="448">
        <v>0.0</v>
      </c>
      <c r="AK17" s="449">
        <v>0.0</v>
      </c>
      <c r="AL17" s="449">
        <v>0.0</v>
      </c>
      <c r="AM17" s="449">
        <v>0.0</v>
      </c>
      <c r="AN17" s="449">
        <v>0.0</v>
      </c>
      <c r="AO17" s="450">
        <v>0.0</v>
      </c>
      <c r="AP17" s="451" t="str">
        <f>'LUCERO FRENCH'!$AR21</f>
        <v/>
      </c>
      <c r="AQ17" s="447">
        <f>'LUCERO FRENCH'!$AQ21</f>
        <v>0</v>
      </c>
      <c r="AR17" s="448" t="str">
        <f>'LUCERO FRENCH'!$BA21</f>
        <v/>
      </c>
      <c r="AS17" s="449" t="str">
        <f>'LUCERO FRENCH'!$BC21</f>
        <v/>
      </c>
      <c r="AT17" s="449" t="str">
        <f>'LUCERO FRENCH'!$BE21</f>
        <v/>
      </c>
      <c r="AU17" s="449" t="str">
        <f>'LUCERO FRENCH'!$BG21</f>
        <v/>
      </c>
      <c r="AV17" s="449" t="str">
        <f>'LUCERO FRENCH'!$AY21</f>
        <v/>
      </c>
      <c r="AW17" s="450" t="str">
        <f>'LUCERO FRENCH'!$BI21</f>
        <v/>
      </c>
      <c r="AX17" s="451" t="str">
        <f>'LUCERO SAN TELMO 2'!$AR21</f>
        <v/>
      </c>
      <c r="AY17" s="447" t="str">
        <f>'LUCERO SAN TELMO 2'!$AQ21</f>
        <v/>
      </c>
      <c r="AZ17" s="448" t="str">
        <f>'LUCERO SAN TELMO 2'!$BA21</f>
        <v/>
      </c>
      <c r="BA17" s="449" t="str">
        <f>'LUCERO SAN TELMO 2'!$BC21</f>
        <v/>
      </c>
      <c r="BB17" s="449" t="str">
        <f>'LUCERO SAN TELMO 2'!$BE21</f>
        <v/>
      </c>
      <c r="BC17" s="449" t="str">
        <f>'LUCERO SAN TELMO 2'!$BG21</f>
        <v/>
      </c>
      <c r="BD17" s="449" t="str">
        <f>'LUCERO SAN TELMO 2'!$AY21</f>
        <v/>
      </c>
      <c r="BE17" s="450" t="str">
        <f>'LUCERO SAN TELMO 2'!$BI21</f>
        <v/>
      </c>
      <c r="BF17" s="451" t="str">
        <f>RESERVA!$AO21</f>
        <v/>
      </c>
      <c r="BG17" s="447" t="str">
        <f>RESERVA!$AN21</f>
        <v/>
      </c>
      <c r="BH17" s="448" t="str">
        <f>RESERVA!$AX21</f>
        <v/>
      </c>
      <c r="BI17" s="449" t="str">
        <f>RESERVA!$AZ21</f>
        <v/>
      </c>
      <c r="BJ17" s="449" t="str">
        <f>RESERVA!$BB21</f>
        <v/>
      </c>
      <c r="BK17" s="449" t="str">
        <f>RESERVA!$BD21</f>
        <v/>
      </c>
      <c r="BL17" s="449" t="str">
        <f>RESERVA!$AV21</f>
        <v/>
      </c>
      <c r="BM17" s="450" t="str">
        <f>RESERVA!$BF21</f>
        <v/>
      </c>
      <c r="BN17" s="451" t="str">
        <f>'LUCERO FLORIDA'!$AR21</f>
        <v/>
      </c>
      <c r="BO17" s="447">
        <f>'LUCERO FLORIDA'!$AQ21</f>
        <v>30000</v>
      </c>
      <c r="BP17" s="448" t="str">
        <f>'LUCERO FLORIDA'!$BA21</f>
        <v/>
      </c>
      <c r="BQ17" s="449" t="str">
        <f>'LUCERO FLORIDA'!$BC21</f>
        <v/>
      </c>
      <c r="BR17" s="449" t="str">
        <f>'LUCERO FLORIDA'!$BE21</f>
        <v/>
      </c>
      <c r="BS17" s="449" t="str">
        <f>'LUCERO FLORIDA'!$BG21</f>
        <v/>
      </c>
      <c r="BT17" s="449" t="str">
        <f>'LUCERO FLORIDA'!$AY21</f>
        <v/>
      </c>
      <c r="BU17" s="450" t="str">
        <f>'LUCERO FLORIDA'!$BI21</f>
        <v/>
      </c>
      <c r="BV17" s="451" t="str">
        <f>'LUCERO GUEMES'!$AR21</f>
        <v/>
      </c>
      <c r="BW17" s="447">
        <f>'LUCERO GUEMES'!$AQ21</f>
        <v>0</v>
      </c>
      <c r="BX17" s="448" t="str">
        <f>'LUCERO GUEMES'!$BA21</f>
        <v/>
      </c>
      <c r="BY17" s="449" t="str">
        <f>'LUCERO GUEMES'!$BC21</f>
        <v/>
      </c>
      <c r="BZ17" s="449" t="str">
        <f>'LUCERO GUEMES'!$BE21</f>
        <v/>
      </c>
      <c r="CA17" s="449" t="str">
        <f>'LUCERO GUEMES'!$BG21</f>
        <v/>
      </c>
      <c r="CB17" s="449" t="str">
        <f>'LUCERO GUEMES'!$AY21</f>
        <v/>
      </c>
      <c r="CC17" s="450" t="str">
        <f>'LUCERO GUEMES'!$BI21</f>
        <v/>
      </c>
      <c r="CD17" s="451" t="str">
        <f>'LUCERO EL SOLAR'!AR21</f>
        <v/>
      </c>
      <c r="CE17" s="452">
        <f>'LUCERO EL SOLAR'!$AQ21</f>
        <v>0</v>
      </c>
      <c r="CF17" s="448" t="str">
        <f>'LUCERO EL SOLAR'!$BA21</f>
        <v/>
      </c>
      <c r="CG17" s="449" t="str">
        <f>'LUCERO EL SOLAR'!$BC21</f>
        <v/>
      </c>
      <c r="CH17" s="449" t="str">
        <f>'LUCERO EL SOLAR'!$BE21</f>
        <v/>
      </c>
      <c r="CI17" s="449" t="str">
        <f>'LUCERO EL SOLAR'!$BG21</f>
        <v/>
      </c>
      <c r="CJ17" s="449" t="str">
        <f>'LUCERO EL SOLAR'!$AY21</f>
        <v/>
      </c>
      <c r="CK17" s="450" t="str">
        <f>'LUCERO EL SOLAR'!$BI21</f>
        <v/>
      </c>
      <c r="CL17" s="451" t="str">
        <f>'LUCERO GUEMES 2'!$AS21</f>
        <v/>
      </c>
      <c r="CM17" s="447">
        <f>'LUCERO GUEMES 2'!$AQ21</f>
        <v>0</v>
      </c>
      <c r="CN17" s="448">
        <f>'LUCERO GUEMES 2'!$BB21</f>
        <v>0</v>
      </c>
      <c r="CO17" s="449">
        <f>'LUCERO GUEMES 2'!$BD21</f>
        <v>0</v>
      </c>
      <c r="CP17" s="449">
        <f>'LUCERO GUEMES 2'!$BF21</f>
        <v>0</v>
      </c>
      <c r="CQ17" s="449">
        <f>'LUCERO GUEMES 2'!$BH21</f>
        <v>0</v>
      </c>
      <c r="CR17" s="449">
        <f>'LUCERO GUEMES 2'!$AZ21</f>
        <v>0</v>
      </c>
      <c r="CS17" s="450">
        <f>'LUCERO GUEMES 2'!$BJ21</f>
        <v>0</v>
      </c>
    </row>
    <row r="18">
      <c r="A18" s="453">
        <f>+'LUCERO GUEMES'!A22</f>
        <v>46156</v>
      </c>
      <c r="B18" s="446" t="str">
        <f>'AS SAN TELMO'!AR22</f>
        <v/>
      </c>
      <c r="C18" s="447">
        <f>'AS SAN TELMO'!AQ22</f>
        <v>32500</v>
      </c>
      <c r="D18" s="448" t="str">
        <f>'AS SAN TELMO'!BA22</f>
        <v/>
      </c>
      <c r="E18" s="449" t="str">
        <f>'AS SAN TELMO'!BC22</f>
        <v/>
      </c>
      <c r="F18" s="449" t="str">
        <f>'AS SAN TELMO'!BE22</f>
        <v/>
      </c>
      <c r="G18" s="449" t="str">
        <f>'AS SAN TELMO'!BG22</f>
        <v/>
      </c>
      <c r="H18" s="449" t="str">
        <f>'AS SAN TELMO'!AY22</f>
        <v/>
      </c>
      <c r="I18" s="450" t="str">
        <f>'AS SAN TELMO'!BI22</f>
        <v/>
      </c>
      <c r="J18" s="451" t="str">
        <f>'LUCERO SAN TELMO'!$AR22</f>
        <v/>
      </c>
      <c r="K18" s="447">
        <f>'LUCERO SAN TELMO'!$AQ22</f>
        <v>0</v>
      </c>
      <c r="L18" s="448" t="str">
        <f>'LUCERO SAN TELMO'!$BA22</f>
        <v/>
      </c>
      <c r="M18" s="449" t="str">
        <f>'LUCERO SAN TELMO'!$BC22</f>
        <v/>
      </c>
      <c r="N18" s="449" t="str">
        <f>'LUCERO SAN TELMO'!$BE22</f>
        <v/>
      </c>
      <c r="O18" s="449" t="str">
        <f>'LUCERO SAN TELMO'!$BG22</f>
        <v/>
      </c>
      <c r="P18" s="449" t="str">
        <f>'LUCERO SAN TELMO'!$AY22</f>
        <v/>
      </c>
      <c r="Q18" s="450" t="str">
        <f>'LUCERO SAN TELMO'!$BI22</f>
        <v/>
      </c>
      <c r="R18" s="451" t="str">
        <f>'AS GUEMES'!$AR22</f>
        <v/>
      </c>
      <c r="S18" s="447" t="str">
        <f>'AS GUEMES'!$AQ22</f>
        <v/>
      </c>
      <c r="T18" s="448" t="str">
        <f>'AS GUEMES'!$BA22</f>
        <v/>
      </c>
      <c r="U18" s="449" t="str">
        <f>'AS GUEMES'!$BC22</f>
        <v/>
      </c>
      <c r="V18" s="449" t="str">
        <f>'AS GUEMES'!$BE22</f>
        <v/>
      </c>
      <c r="W18" s="449" t="str">
        <f>'AS GUEMES'!$BG22</f>
        <v/>
      </c>
      <c r="X18" s="449" t="str">
        <f>'AS GUEMES'!$AY22</f>
        <v/>
      </c>
      <c r="Y18" s="450" t="str">
        <f>'AS GUEMES'!$BI22</f>
        <v/>
      </c>
      <c r="Z18" s="451" t="str">
        <f>'LUCERO RECOLETA'!$AR22</f>
        <v/>
      </c>
      <c r="AA18" s="447">
        <f>'LUCERO RECOLETA'!$AQ22</f>
        <v>100000</v>
      </c>
      <c r="AB18" s="448" t="str">
        <f>'LUCERO RECOLETA'!$BA22</f>
        <v/>
      </c>
      <c r="AC18" s="449" t="str">
        <f>'LUCERO RECOLETA'!$BC22</f>
        <v/>
      </c>
      <c r="AD18" s="449" t="str">
        <f>'LUCERO RECOLETA'!$BE22</f>
        <v/>
      </c>
      <c r="AE18" s="449" t="str">
        <f>'LUCERO RECOLETA'!$BG22</f>
        <v/>
      </c>
      <c r="AF18" s="449" t="str">
        <f>'LUCERO RECOLETA'!$AY22</f>
        <v/>
      </c>
      <c r="AG18" s="450" t="str">
        <f>'LUCERO RECOLETA'!$BI22</f>
        <v/>
      </c>
      <c r="AH18" s="451">
        <v>0.0</v>
      </c>
      <c r="AI18" s="447">
        <v>0.0</v>
      </c>
      <c r="AJ18" s="448">
        <v>0.0</v>
      </c>
      <c r="AK18" s="449">
        <v>0.0</v>
      </c>
      <c r="AL18" s="449">
        <v>0.0</v>
      </c>
      <c r="AM18" s="449">
        <v>0.0</v>
      </c>
      <c r="AN18" s="449">
        <v>0.0</v>
      </c>
      <c r="AO18" s="450">
        <v>0.0</v>
      </c>
      <c r="AP18" s="451" t="str">
        <f>'LUCERO FRENCH'!$AR22</f>
        <v/>
      </c>
      <c r="AQ18" s="447">
        <f>'LUCERO FRENCH'!$AQ22</f>
        <v>0</v>
      </c>
      <c r="AR18" s="448" t="str">
        <f>'LUCERO FRENCH'!$BA22</f>
        <v/>
      </c>
      <c r="AS18" s="449" t="str">
        <f>'LUCERO FRENCH'!$BC22</f>
        <v/>
      </c>
      <c r="AT18" s="449" t="str">
        <f>'LUCERO FRENCH'!$BE22</f>
        <v/>
      </c>
      <c r="AU18" s="449" t="str">
        <f>'LUCERO FRENCH'!$BG22</f>
        <v/>
      </c>
      <c r="AV18" s="449" t="str">
        <f>'LUCERO FRENCH'!$AY22</f>
        <v/>
      </c>
      <c r="AW18" s="450" t="str">
        <f>'LUCERO FRENCH'!$BI22</f>
        <v/>
      </c>
      <c r="AX18" s="451" t="str">
        <f>'LUCERO SAN TELMO 2'!$AR22</f>
        <v/>
      </c>
      <c r="AY18" s="447" t="str">
        <f>'LUCERO SAN TELMO 2'!$AQ22</f>
        <v/>
      </c>
      <c r="AZ18" s="448" t="str">
        <f>'LUCERO SAN TELMO 2'!$BA22</f>
        <v/>
      </c>
      <c r="BA18" s="449" t="str">
        <f>'LUCERO SAN TELMO 2'!$BC22</f>
        <v/>
      </c>
      <c r="BB18" s="449" t="str">
        <f>'LUCERO SAN TELMO 2'!$BE22</f>
        <v/>
      </c>
      <c r="BC18" s="449" t="str">
        <f>'LUCERO SAN TELMO 2'!$BG22</f>
        <v/>
      </c>
      <c r="BD18" s="449" t="str">
        <f>'LUCERO SAN TELMO 2'!$AY22</f>
        <v/>
      </c>
      <c r="BE18" s="450" t="str">
        <f>'LUCERO SAN TELMO 2'!$BI22</f>
        <v/>
      </c>
      <c r="BF18" s="451" t="str">
        <f>RESERVA!$AO22</f>
        <v/>
      </c>
      <c r="BG18" s="447" t="str">
        <f>RESERVA!$AN22</f>
        <v/>
      </c>
      <c r="BH18" s="448" t="str">
        <f>RESERVA!$AX22</f>
        <v/>
      </c>
      <c r="BI18" s="449" t="str">
        <f>RESERVA!$AZ22</f>
        <v/>
      </c>
      <c r="BJ18" s="449" t="str">
        <f>RESERVA!$BB22</f>
        <v/>
      </c>
      <c r="BK18" s="449" t="str">
        <f>RESERVA!$BD22</f>
        <v/>
      </c>
      <c r="BL18" s="449" t="str">
        <f>RESERVA!$AV22</f>
        <v/>
      </c>
      <c r="BM18" s="450" t="str">
        <f>RESERVA!$BF22</f>
        <v/>
      </c>
      <c r="BN18" s="451" t="str">
        <f>'LUCERO FLORIDA'!$AR22</f>
        <v/>
      </c>
      <c r="BO18" s="447">
        <f>'LUCERO FLORIDA'!$AQ22</f>
        <v>330000</v>
      </c>
      <c r="BP18" s="448" t="str">
        <f>'LUCERO FLORIDA'!$BA22</f>
        <v/>
      </c>
      <c r="BQ18" s="449" t="str">
        <f>'LUCERO FLORIDA'!$BC22</f>
        <v/>
      </c>
      <c r="BR18" s="449" t="str">
        <f>'LUCERO FLORIDA'!$BE22</f>
        <v/>
      </c>
      <c r="BS18" s="449" t="str">
        <f>'LUCERO FLORIDA'!$BG22</f>
        <v/>
      </c>
      <c r="BT18" s="449" t="str">
        <f>'LUCERO FLORIDA'!$AY22</f>
        <v/>
      </c>
      <c r="BU18" s="450" t="str">
        <f>'LUCERO FLORIDA'!$BI22</f>
        <v/>
      </c>
      <c r="BV18" s="451" t="str">
        <f>'LUCERO GUEMES'!$AR22</f>
        <v/>
      </c>
      <c r="BW18" s="447">
        <f>'LUCERO GUEMES'!$AQ22</f>
        <v>0</v>
      </c>
      <c r="BX18" s="448" t="str">
        <f>'LUCERO GUEMES'!$BA22</f>
        <v/>
      </c>
      <c r="BY18" s="449" t="str">
        <f>'LUCERO GUEMES'!$BC22</f>
        <v/>
      </c>
      <c r="BZ18" s="449" t="str">
        <f>'LUCERO GUEMES'!$BE22</f>
        <v/>
      </c>
      <c r="CA18" s="449" t="str">
        <f>'LUCERO GUEMES'!$BG22</f>
        <v/>
      </c>
      <c r="CB18" s="449" t="str">
        <f>'LUCERO GUEMES'!$AY22</f>
        <v/>
      </c>
      <c r="CC18" s="450" t="str">
        <f>'LUCERO GUEMES'!$BI22</f>
        <v/>
      </c>
      <c r="CD18" s="451" t="str">
        <f>'LUCERO EL SOLAR'!AR22</f>
        <v/>
      </c>
      <c r="CE18" s="452">
        <f>'LUCERO EL SOLAR'!$AQ22</f>
        <v>0</v>
      </c>
      <c r="CF18" s="448" t="str">
        <f>'LUCERO EL SOLAR'!$BA22</f>
        <v/>
      </c>
      <c r="CG18" s="449" t="str">
        <f>'LUCERO EL SOLAR'!$BC22</f>
        <v/>
      </c>
      <c r="CH18" s="449" t="str">
        <f>'LUCERO EL SOLAR'!$BE22</f>
        <v/>
      </c>
      <c r="CI18" s="449" t="str">
        <f>'LUCERO EL SOLAR'!$BG22</f>
        <v/>
      </c>
      <c r="CJ18" s="449" t="str">
        <f>'LUCERO EL SOLAR'!$AY22</f>
        <v/>
      </c>
      <c r="CK18" s="450" t="str">
        <f>'LUCERO EL SOLAR'!$BI22</f>
        <v/>
      </c>
      <c r="CL18" s="451" t="str">
        <f>'LUCERO GUEMES 2'!$AS22</f>
        <v/>
      </c>
      <c r="CM18" s="447">
        <f>'LUCERO GUEMES 2'!$AQ22</f>
        <v>40000</v>
      </c>
      <c r="CN18" s="448">
        <f>'LUCERO GUEMES 2'!$BB22</f>
        <v>0</v>
      </c>
      <c r="CO18" s="449">
        <f>'LUCERO GUEMES 2'!$BD22</f>
        <v>0</v>
      </c>
      <c r="CP18" s="449">
        <f>'LUCERO GUEMES 2'!$BF22</f>
        <v>0</v>
      </c>
      <c r="CQ18" s="449">
        <f>'LUCERO GUEMES 2'!$BH22</f>
        <v>0</v>
      </c>
      <c r="CR18" s="449">
        <f>'LUCERO GUEMES 2'!$AZ22</f>
        <v>0</v>
      </c>
      <c r="CS18" s="450">
        <f>'LUCERO GUEMES 2'!$BJ22</f>
        <v>0</v>
      </c>
    </row>
    <row r="19">
      <c r="A19" s="453">
        <f>+'LUCERO GUEMES'!A23</f>
        <v>46157</v>
      </c>
      <c r="B19" s="446" t="str">
        <f>'AS SAN TELMO'!AR23</f>
        <v/>
      </c>
      <c r="C19" s="447">
        <f>'AS SAN TELMO'!AQ23</f>
        <v>63000</v>
      </c>
      <c r="D19" s="448" t="str">
        <f>'AS SAN TELMO'!BA23</f>
        <v/>
      </c>
      <c r="E19" s="449" t="str">
        <f>'AS SAN TELMO'!BC23</f>
        <v/>
      </c>
      <c r="F19" s="449" t="str">
        <f>'AS SAN TELMO'!BE23</f>
        <v/>
      </c>
      <c r="G19" s="449" t="str">
        <f>'AS SAN TELMO'!BG23</f>
        <v/>
      </c>
      <c r="H19" s="449" t="str">
        <f>'AS SAN TELMO'!AY23</f>
        <v/>
      </c>
      <c r="I19" s="450" t="str">
        <f>'AS SAN TELMO'!BI23</f>
        <v/>
      </c>
      <c r="J19" s="451" t="str">
        <f>'LUCERO SAN TELMO'!$AR23</f>
        <v/>
      </c>
      <c r="K19" s="447">
        <f>'LUCERO SAN TELMO'!$AQ23</f>
        <v>200000</v>
      </c>
      <c r="L19" s="448" t="str">
        <f>'LUCERO SAN TELMO'!$BA23</f>
        <v/>
      </c>
      <c r="M19" s="449" t="str">
        <f>'LUCERO SAN TELMO'!$BC23</f>
        <v/>
      </c>
      <c r="N19" s="449" t="str">
        <f>'LUCERO SAN TELMO'!$BE23</f>
        <v/>
      </c>
      <c r="O19" s="449" t="str">
        <f>'LUCERO SAN TELMO'!$BG23</f>
        <v/>
      </c>
      <c r="P19" s="449" t="str">
        <f>'LUCERO SAN TELMO'!$AY23</f>
        <v/>
      </c>
      <c r="Q19" s="450" t="str">
        <f>'LUCERO SAN TELMO'!$BI23</f>
        <v/>
      </c>
      <c r="R19" s="451" t="str">
        <f>'AS GUEMES'!$AR23</f>
        <v/>
      </c>
      <c r="S19" s="447" t="str">
        <f>'AS GUEMES'!$AQ23</f>
        <v/>
      </c>
      <c r="T19" s="448" t="str">
        <f>'AS GUEMES'!$BA23</f>
        <v/>
      </c>
      <c r="U19" s="449" t="str">
        <f>'AS GUEMES'!$BC23</f>
        <v/>
      </c>
      <c r="V19" s="449" t="str">
        <f>'AS GUEMES'!$BE23</f>
        <v/>
      </c>
      <c r="W19" s="449" t="str">
        <f>'AS GUEMES'!$BG23</f>
        <v/>
      </c>
      <c r="X19" s="449" t="str">
        <f>'AS GUEMES'!$AY23</f>
        <v/>
      </c>
      <c r="Y19" s="450" t="str">
        <f>'AS GUEMES'!$BI23</f>
        <v/>
      </c>
      <c r="Z19" s="451" t="str">
        <f>'LUCERO RECOLETA'!$AR23</f>
        <v/>
      </c>
      <c r="AA19" s="447">
        <f>'LUCERO RECOLETA'!$AQ23</f>
        <v>30000</v>
      </c>
      <c r="AB19" s="448" t="str">
        <f>'LUCERO RECOLETA'!$BA23</f>
        <v/>
      </c>
      <c r="AC19" s="449" t="str">
        <f>'LUCERO RECOLETA'!$BC23</f>
        <v/>
      </c>
      <c r="AD19" s="449" t="str">
        <f>'LUCERO RECOLETA'!$BE23</f>
        <v/>
      </c>
      <c r="AE19" s="449" t="str">
        <f>'LUCERO RECOLETA'!$BG23</f>
        <v/>
      </c>
      <c r="AF19" s="449" t="str">
        <f>'LUCERO RECOLETA'!$AY23</f>
        <v/>
      </c>
      <c r="AG19" s="450" t="str">
        <f>'LUCERO RECOLETA'!$BI23</f>
        <v/>
      </c>
      <c r="AH19" s="451">
        <v>0.0</v>
      </c>
      <c r="AI19" s="447">
        <v>0.0</v>
      </c>
      <c r="AJ19" s="448">
        <v>0.0</v>
      </c>
      <c r="AK19" s="449">
        <v>0.0</v>
      </c>
      <c r="AL19" s="449">
        <v>0.0</v>
      </c>
      <c r="AM19" s="449">
        <v>0.0</v>
      </c>
      <c r="AN19" s="449">
        <v>0.0</v>
      </c>
      <c r="AO19" s="450">
        <v>0.0</v>
      </c>
      <c r="AP19" s="451" t="str">
        <f>'LUCERO FRENCH'!$AR23</f>
        <v/>
      </c>
      <c r="AQ19" s="447">
        <f>'LUCERO FRENCH'!$AQ23</f>
        <v>0</v>
      </c>
      <c r="AR19" s="448" t="str">
        <f>'LUCERO FRENCH'!$BA23</f>
        <v/>
      </c>
      <c r="AS19" s="449" t="str">
        <f>'LUCERO FRENCH'!$BC23</f>
        <v/>
      </c>
      <c r="AT19" s="449" t="str">
        <f>'LUCERO FRENCH'!$BE23</f>
        <v/>
      </c>
      <c r="AU19" s="449" t="str">
        <f>'LUCERO FRENCH'!$BG23</f>
        <v/>
      </c>
      <c r="AV19" s="449" t="str">
        <f>'LUCERO FRENCH'!$AY23</f>
        <v/>
      </c>
      <c r="AW19" s="450" t="str">
        <f>'LUCERO FRENCH'!$BI23</f>
        <v/>
      </c>
      <c r="AX19" s="451" t="str">
        <f>'LUCERO SAN TELMO 2'!$AR23</f>
        <v/>
      </c>
      <c r="AY19" s="447" t="str">
        <f>'LUCERO SAN TELMO 2'!$AQ23</f>
        <v/>
      </c>
      <c r="AZ19" s="448" t="str">
        <f>'LUCERO SAN TELMO 2'!$BA23</f>
        <v/>
      </c>
      <c r="BA19" s="449" t="str">
        <f>'LUCERO SAN TELMO 2'!$BC23</f>
        <v/>
      </c>
      <c r="BB19" s="449" t="str">
        <f>'LUCERO SAN TELMO 2'!$BE23</f>
        <v/>
      </c>
      <c r="BC19" s="449" t="str">
        <f>'LUCERO SAN TELMO 2'!$BG23</f>
        <v/>
      </c>
      <c r="BD19" s="449" t="str">
        <f>'LUCERO SAN TELMO 2'!$AY23</f>
        <v/>
      </c>
      <c r="BE19" s="450" t="str">
        <f>'LUCERO SAN TELMO 2'!$BI23</f>
        <v/>
      </c>
      <c r="BF19" s="451" t="str">
        <f>RESERVA!$AO23</f>
        <v/>
      </c>
      <c r="BG19" s="447" t="str">
        <f>RESERVA!$AN23</f>
        <v/>
      </c>
      <c r="BH19" s="448" t="str">
        <f>RESERVA!$AX23</f>
        <v/>
      </c>
      <c r="BI19" s="449" t="str">
        <f>RESERVA!$AZ23</f>
        <v/>
      </c>
      <c r="BJ19" s="449" t="str">
        <f>RESERVA!$BB23</f>
        <v/>
      </c>
      <c r="BK19" s="449" t="str">
        <f>RESERVA!$BD23</f>
        <v/>
      </c>
      <c r="BL19" s="449" t="str">
        <f>RESERVA!$AV23</f>
        <v/>
      </c>
      <c r="BM19" s="450" t="str">
        <f>RESERVA!$BF23</f>
        <v/>
      </c>
      <c r="BN19" s="451" t="str">
        <f>'LUCERO FLORIDA'!$AR23</f>
        <v/>
      </c>
      <c r="BO19" s="447">
        <f>'LUCERO FLORIDA'!$AQ23</f>
        <v>250000</v>
      </c>
      <c r="BP19" s="448" t="str">
        <f>'LUCERO FLORIDA'!$BA23</f>
        <v/>
      </c>
      <c r="BQ19" s="449" t="str">
        <f>'LUCERO FLORIDA'!$BC23</f>
        <v/>
      </c>
      <c r="BR19" s="449" t="str">
        <f>'LUCERO FLORIDA'!$BE23</f>
        <v/>
      </c>
      <c r="BS19" s="449" t="str">
        <f>'LUCERO FLORIDA'!$BG23</f>
        <v/>
      </c>
      <c r="BT19" s="449" t="str">
        <f>'LUCERO FLORIDA'!$AY23</f>
        <v/>
      </c>
      <c r="BU19" s="450" t="str">
        <f>'LUCERO FLORIDA'!$BI23</f>
        <v/>
      </c>
      <c r="BV19" s="451" t="str">
        <f>'LUCERO GUEMES'!$AR23</f>
        <v/>
      </c>
      <c r="BW19" s="447">
        <f>'LUCERO GUEMES'!$AQ23</f>
        <v>0</v>
      </c>
      <c r="BX19" s="448" t="str">
        <f>'LUCERO GUEMES'!$BA23</f>
        <v/>
      </c>
      <c r="BY19" s="449" t="str">
        <f>'LUCERO GUEMES'!$BC23</f>
        <v/>
      </c>
      <c r="BZ19" s="449" t="str">
        <f>'LUCERO GUEMES'!$BE23</f>
        <v/>
      </c>
      <c r="CA19" s="449" t="str">
        <f>'LUCERO GUEMES'!$BG23</f>
        <v/>
      </c>
      <c r="CB19" s="449" t="str">
        <f>'LUCERO GUEMES'!$AY23</f>
        <v/>
      </c>
      <c r="CC19" s="450" t="str">
        <f>'LUCERO GUEMES'!$BI23</f>
        <v/>
      </c>
      <c r="CD19" s="451" t="str">
        <f>'LUCERO EL SOLAR'!AR23</f>
        <v/>
      </c>
      <c r="CE19" s="452">
        <f>'LUCERO EL SOLAR'!$AQ23</f>
        <v>40000</v>
      </c>
      <c r="CF19" s="448" t="str">
        <f>'LUCERO EL SOLAR'!$BA23</f>
        <v/>
      </c>
      <c r="CG19" s="449" t="str">
        <f>'LUCERO EL SOLAR'!$BC23</f>
        <v/>
      </c>
      <c r="CH19" s="449" t="str">
        <f>'LUCERO EL SOLAR'!$BE23</f>
        <v/>
      </c>
      <c r="CI19" s="449" t="str">
        <f>'LUCERO EL SOLAR'!$BG23</f>
        <v/>
      </c>
      <c r="CJ19" s="449" t="str">
        <f>'LUCERO EL SOLAR'!$AY23</f>
        <v/>
      </c>
      <c r="CK19" s="450" t="str">
        <f>'LUCERO EL SOLAR'!$BI23</f>
        <v/>
      </c>
      <c r="CL19" s="451" t="str">
        <f>'LUCERO GUEMES 2'!$AS23</f>
        <v/>
      </c>
      <c r="CM19" s="447">
        <f>'LUCERO GUEMES 2'!$AQ23</f>
        <v>20000</v>
      </c>
      <c r="CN19" s="448">
        <f>'LUCERO GUEMES 2'!$BB23</f>
        <v>0</v>
      </c>
      <c r="CO19" s="449">
        <f>'LUCERO GUEMES 2'!$BD23</f>
        <v>0</v>
      </c>
      <c r="CP19" s="449">
        <f>'LUCERO GUEMES 2'!$BF23</f>
        <v>0</v>
      </c>
      <c r="CQ19" s="449">
        <f>'LUCERO GUEMES 2'!$BH23</f>
        <v>0</v>
      </c>
      <c r="CR19" s="449">
        <f>'LUCERO GUEMES 2'!$AZ23</f>
        <v>0</v>
      </c>
      <c r="CS19" s="450">
        <f>'LUCERO GUEMES 2'!$BJ23</f>
        <v>0</v>
      </c>
    </row>
    <row r="20">
      <c r="A20" s="453">
        <f>+'LUCERO GUEMES'!A24</f>
        <v>46158</v>
      </c>
      <c r="B20" s="446" t="str">
        <f>'AS SAN TELMO'!AR24</f>
        <v/>
      </c>
      <c r="C20" s="447">
        <f>'AS SAN TELMO'!AQ24</f>
        <v>395600</v>
      </c>
      <c r="D20" s="448" t="str">
        <f>'AS SAN TELMO'!BA24</f>
        <v/>
      </c>
      <c r="E20" s="449" t="str">
        <f>'AS SAN TELMO'!BC24</f>
        <v/>
      </c>
      <c r="F20" s="449" t="str">
        <f>'AS SAN TELMO'!BE24</f>
        <v/>
      </c>
      <c r="G20" s="449" t="str">
        <f>'AS SAN TELMO'!BG24</f>
        <v/>
      </c>
      <c r="H20" s="449" t="str">
        <f>'AS SAN TELMO'!AY24</f>
        <v/>
      </c>
      <c r="I20" s="450" t="str">
        <f>'AS SAN TELMO'!BI24</f>
        <v/>
      </c>
      <c r="J20" s="451" t="str">
        <f>'LUCERO SAN TELMO'!$AR24</f>
        <v/>
      </c>
      <c r="K20" s="447">
        <f>'LUCERO SAN TELMO'!$AQ24</f>
        <v>122000</v>
      </c>
      <c r="L20" s="448" t="str">
        <f>'LUCERO SAN TELMO'!$BA24</f>
        <v/>
      </c>
      <c r="M20" s="449" t="str">
        <f>'LUCERO SAN TELMO'!$BC24</f>
        <v/>
      </c>
      <c r="N20" s="449" t="str">
        <f>'LUCERO SAN TELMO'!$BE24</f>
        <v/>
      </c>
      <c r="O20" s="449" t="str">
        <f>'LUCERO SAN TELMO'!$BG24</f>
        <v/>
      </c>
      <c r="P20" s="449" t="str">
        <f>'LUCERO SAN TELMO'!$AY24</f>
        <v/>
      </c>
      <c r="Q20" s="450" t="str">
        <f>'LUCERO SAN TELMO'!$BI24</f>
        <v/>
      </c>
      <c r="R20" s="451" t="str">
        <f>'AS GUEMES'!$AR24</f>
        <v/>
      </c>
      <c r="S20" s="447" t="str">
        <f>'AS GUEMES'!$AQ24</f>
        <v/>
      </c>
      <c r="T20" s="448" t="str">
        <f>'AS GUEMES'!$BA24</f>
        <v/>
      </c>
      <c r="U20" s="449" t="str">
        <f>'AS GUEMES'!$BC24</f>
        <v/>
      </c>
      <c r="V20" s="449" t="str">
        <f>'AS GUEMES'!$BE24</f>
        <v/>
      </c>
      <c r="W20" s="449" t="str">
        <f>'AS GUEMES'!$BG24</f>
        <v/>
      </c>
      <c r="X20" s="449" t="str">
        <f>'AS GUEMES'!$AY24</f>
        <v/>
      </c>
      <c r="Y20" s="450" t="str">
        <f>'AS GUEMES'!$BI24</f>
        <v/>
      </c>
      <c r="Z20" s="451" t="str">
        <f>'LUCERO RECOLETA'!$AR24</f>
        <v/>
      </c>
      <c r="AA20" s="447">
        <f>'LUCERO RECOLETA'!$AQ24</f>
        <v>100000</v>
      </c>
      <c r="AB20" s="448">
        <f>'LUCERO RECOLETA'!$BA24</f>
        <v>200</v>
      </c>
      <c r="AC20" s="449" t="str">
        <f>'LUCERO RECOLETA'!$BC24</f>
        <v/>
      </c>
      <c r="AD20" s="449" t="str">
        <f>'LUCERO RECOLETA'!$BE24</f>
        <v/>
      </c>
      <c r="AE20" s="449" t="str">
        <f>'LUCERO RECOLETA'!$BG24</f>
        <v/>
      </c>
      <c r="AF20" s="449" t="str">
        <f>'LUCERO RECOLETA'!$AY24</f>
        <v/>
      </c>
      <c r="AG20" s="450" t="str">
        <f>'LUCERO RECOLETA'!$BI24</f>
        <v/>
      </c>
      <c r="AH20" s="451">
        <v>0.0</v>
      </c>
      <c r="AI20" s="447">
        <v>0.0</v>
      </c>
      <c r="AJ20" s="448">
        <v>0.0</v>
      </c>
      <c r="AK20" s="449">
        <v>0.0</v>
      </c>
      <c r="AL20" s="449">
        <v>0.0</v>
      </c>
      <c r="AM20" s="449">
        <v>0.0</v>
      </c>
      <c r="AN20" s="449">
        <v>0.0</v>
      </c>
      <c r="AO20" s="450">
        <v>0.0</v>
      </c>
      <c r="AP20" s="451" t="str">
        <f>'LUCERO FRENCH'!$AR24</f>
        <v/>
      </c>
      <c r="AQ20" s="447">
        <f>'LUCERO FRENCH'!$AQ24</f>
        <v>0</v>
      </c>
      <c r="AR20" s="448" t="str">
        <f>'LUCERO FRENCH'!$BA24</f>
        <v/>
      </c>
      <c r="AS20" s="449" t="str">
        <f>'LUCERO FRENCH'!$BC24</f>
        <v/>
      </c>
      <c r="AT20" s="449" t="str">
        <f>'LUCERO FRENCH'!$BE24</f>
        <v/>
      </c>
      <c r="AU20" s="449" t="str">
        <f>'LUCERO FRENCH'!$BG24</f>
        <v/>
      </c>
      <c r="AV20" s="449" t="str">
        <f>'LUCERO FRENCH'!$AY24</f>
        <v/>
      </c>
      <c r="AW20" s="450" t="str">
        <f>'LUCERO FRENCH'!$BI24</f>
        <v/>
      </c>
      <c r="AX20" s="451" t="str">
        <f>'LUCERO SAN TELMO 2'!$AR24</f>
        <v/>
      </c>
      <c r="AY20" s="447" t="str">
        <f>'LUCERO SAN TELMO 2'!$AQ24</f>
        <v/>
      </c>
      <c r="AZ20" s="448" t="str">
        <f>'LUCERO SAN TELMO 2'!$BA24</f>
        <v/>
      </c>
      <c r="BA20" s="449" t="str">
        <f>'LUCERO SAN TELMO 2'!$BC24</f>
        <v/>
      </c>
      <c r="BB20" s="449" t="str">
        <f>'LUCERO SAN TELMO 2'!$BE24</f>
        <v/>
      </c>
      <c r="BC20" s="449" t="str">
        <f>'LUCERO SAN TELMO 2'!$BG24</f>
        <v/>
      </c>
      <c r="BD20" s="449" t="str">
        <f>'LUCERO SAN TELMO 2'!$AY24</f>
        <v/>
      </c>
      <c r="BE20" s="450" t="str">
        <f>'LUCERO SAN TELMO 2'!$BI24</f>
        <v/>
      </c>
      <c r="BF20" s="451" t="str">
        <f>RESERVA!$AO24</f>
        <v/>
      </c>
      <c r="BG20" s="447" t="str">
        <f>RESERVA!$AN24</f>
        <v/>
      </c>
      <c r="BH20" s="448" t="str">
        <f>RESERVA!$AX24</f>
        <v/>
      </c>
      <c r="BI20" s="449" t="str">
        <f>RESERVA!$AZ24</f>
        <v/>
      </c>
      <c r="BJ20" s="449" t="str">
        <f>RESERVA!$BB24</f>
        <v/>
      </c>
      <c r="BK20" s="449" t="str">
        <f>RESERVA!$BD24</f>
        <v/>
      </c>
      <c r="BL20" s="449" t="str">
        <f>RESERVA!$AV24</f>
        <v/>
      </c>
      <c r="BM20" s="450" t="str">
        <f>RESERVA!$BF24</f>
        <v/>
      </c>
      <c r="BN20" s="451" t="str">
        <f>'LUCERO FLORIDA'!$AR24</f>
        <v/>
      </c>
      <c r="BO20" s="447">
        <f>'LUCERO FLORIDA'!$AQ24</f>
        <v>825000</v>
      </c>
      <c r="BP20" s="448">
        <f>'LUCERO FLORIDA'!$BA24</f>
        <v>60</v>
      </c>
      <c r="BQ20" s="449">
        <f>'LUCERO FLORIDA'!$BC24</f>
        <v>60</v>
      </c>
      <c r="BR20" s="449" t="str">
        <f>'LUCERO FLORIDA'!$BE24</f>
        <v/>
      </c>
      <c r="BS20" s="449" t="str">
        <f>'LUCERO FLORIDA'!$BG24</f>
        <v/>
      </c>
      <c r="BT20" s="449" t="str">
        <f>'LUCERO FLORIDA'!$AY24</f>
        <v/>
      </c>
      <c r="BU20" s="450" t="str">
        <f>'LUCERO FLORIDA'!$BI24</f>
        <v/>
      </c>
      <c r="BV20" s="451" t="str">
        <f>'LUCERO GUEMES'!$AR24</f>
        <v/>
      </c>
      <c r="BW20" s="447" t="str">
        <f>'LUCERO GUEMES'!$AQ24</f>
        <v/>
      </c>
      <c r="BX20" s="448" t="str">
        <f>'LUCERO GUEMES'!$BA24</f>
        <v/>
      </c>
      <c r="BY20" s="449" t="str">
        <f>'LUCERO GUEMES'!$BC24</f>
        <v/>
      </c>
      <c r="BZ20" s="449" t="str">
        <f>'LUCERO GUEMES'!$BE24</f>
        <v/>
      </c>
      <c r="CA20" s="449" t="str">
        <f>'LUCERO GUEMES'!$BG24</f>
        <v/>
      </c>
      <c r="CB20" s="449" t="str">
        <f>'LUCERO GUEMES'!$AY24</f>
        <v/>
      </c>
      <c r="CC20" s="450" t="str">
        <f>'LUCERO GUEMES'!$BI24</f>
        <v/>
      </c>
      <c r="CD20" s="451" t="str">
        <f>'LUCERO EL SOLAR'!AR24</f>
        <v/>
      </c>
      <c r="CE20" s="452">
        <f>'LUCERO EL SOLAR'!$AQ24</f>
        <v>0</v>
      </c>
      <c r="CF20" s="448" t="str">
        <f>'LUCERO EL SOLAR'!$BA24</f>
        <v/>
      </c>
      <c r="CG20" s="449" t="str">
        <f>'LUCERO EL SOLAR'!$BC24</f>
        <v/>
      </c>
      <c r="CH20" s="449" t="str">
        <f>'LUCERO EL SOLAR'!$BE24</f>
        <v/>
      </c>
      <c r="CI20" s="449" t="str">
        <f>'LUCERO EL SOLAR'!$BG24</f>
        <v/>
      </c>
      <c r="CJ20" s="449" t="str">
        <f>'LUCERO EL SOLAR'!$AY24</f>
        <v/>
      </c>
      <c r="CK20" s="450" t="str">
        <f>'LUCERO EL SOLAR'!$BI24</f>
        <v/>
      </c>
      <c r="CL20" s="451" t="str">
        <f>'LUCERO GUEMES 2'!$AS24</f>
        <v/>
      </c>
      <c r="CM20" s="447" t="str">
        <f>'LUCERO GUEMES 2'!$AQ24</f>
        <v/>
      </c>
      <c r="CN20" s="448">
        <f>'LUCERO GUEMES 2'!$BB24</f>
        <v>0</v>
      </c>
      <c r="CO20" s="449">
        <f>'LUCERO GUEMES 2'!$BD24</f>
        <v>0</v>
      </c>
      <c r="CP20" s="449">
        <f>'LUCERO GUEMES 2'!$BF24</f>
        <v>0</v>
      </c>
      <c r="CQ20" s="449">
        <f>'LUCERO GUEMES 2'!$BH24</f>
        <v>0</v>
      </c>
      <c r="CR20" s="449">
        <f>'LUCERO GUEMES 2'!$AZ24</f>
        <v>0</v>
      </c>
      <c r="CS20" s="450">
        <f>'LUCERO GUEMES 2'!$BJ24</f>
        <v>0</v>
      </c>
    </row>
    <row r="21">
      <c r="A21" s="453">
        <f>+'LUCERO GUEMES'!A25</f>
        <v>46159</v>
      </c>
      <c r="B21" s="446" t="str">
        <f>'AS SAN TELMO'!AR25</f>
        <v/>
      </c>
      <c r="C21" s="447">
        <f>'AS SAN TELMO'!AQ25</f>
        <v>572300</v>
      </c>
      <c r="D21" s="448" t="str">
        <f>'AS SAN TELMO'!BA25</f>
        <v/>
      </c>
      <c r="E21" s="449" t="str">
        <f>'AS SAN TELMO'!BC25</f>
        <v/>
      </c>
      <c r="F21" s="449" t="str">
        <f>'AS SAN TELMO'!BE25</f>
        <v/>
      </c>
      <c r="G21" s="449" t="str">
        <f>'AS SAN TELMO'!BG25</f>
        <v/>
      </c>
      <c r="H21" s="449" t="str">
        <f>'AS SAN TELMO'!AY25</f>
        <v/>
      </c>
      <c r="I21" s="450" t="str">
        <f>'AS SAN TELMO'!BI25</f>
        <v/>
      </c>
      <c r="J21" s="451" t="str">
        <f>'LUCERO SAN TELMO'!$AR25</f>
        <v/>
      </c>
      <c r="K21" s="447">
        <f>'LUCERO SAN TELMO'!$AQ25</f>
        <v>451000</v>
      </c>
      <c r="L21" s="448" t="str">
        <f>'LUCERO SAN TELMO'!$BA25</f>
        <v/>
      </c>
      <c r="M21" s="449" t="str">
        <f>'LUCERO SAN TELMO'!$BC25</f>
        <v/>
      </c>
      <c r="N21" s="449" t="str">
        <f>'LUCERO SAN TELMO'!$BE25</f>
        <v/>
      </c>
      <c r="O21" s="449" t="str">
        <f>'LUCERO SAN TELMO'!$BG25</f>
        <v/>
      </c>
      <c r="P21" s="449" t="str">
        <f>'LUCERO SAN TELMO'!$AY25</f>
        <v/>
      </c>
      <c r="Q21" s="450" t="str">
        <f>'LUCERO SAN TELMO'!$BI25</f>
        <v/>
      </c>
      <c r="R21" s="451" t="str">
        <f>'AS GUEMES'!$AR25</f>
        <v/>
      </c>
      <c r="S21" s="447" t="str">
        <f>'AS GUEMES'!$AQ25</f>
        <v/>
      </c>
      <c r="T21" s="448" t="str">
        <f>'AS GUEMES'!$BA25</f>
        <v/>
      </c>
      <c r="U21" s="449" t="str">
        <f>'AS GUEMES'!$BC25</f>
        <v/>
      </c>
      <c r="V21" s="449" t="str">
        <f>'AS GUEMES'!$BE25</f>
        <v/>
      </c>
      <c r="W21" s="449" t="str">
        <f>'AS GUEMES'!$BG25</f>
        <v/>
      </c>
      <c r="X21" s="449" t="str">
        <f>'AS GUEMES'!$AY25</f>
        <v/>
      </c>
      <c r="Y21" s="450" t="str">
        <f>'AS GUEMES'!$BI25</f>
        <v/>
      </c>
      <c r="Z21" s="451" t="str">
        <f>'LUCERO RECOLETA'!$AR25</f>
        <v/>
      </c>
      <c r="AA21" s="447">
        <f>'LUCERO RECOLETA'!$AQ25</f>
        <v>0</v>
      </c>
      <c r="AB21" s="448" t="str">
        <f>'LUCERO RECOLETA'!$BA25</f>
        <v/>
      </c>
      <c r="AC21" s="449" t="str">
        <f>'LUCERO RECOLETA'!$BC25</f>
        <v/>
      </c>
      <c r="AD21" s="449" t="str">
        <f>'LUCERO RECOLETA'!$BE25</f>
        <v/>
      </c>
      <c r="AE21" s="449" t="str">
        <f>'LUCERO RECOLETA'!$BG25</f>
        <v/>
      </c>
      <c r="AF21" s="449" t="str">
        <f>'LUCERO RECOLETA'!$AY25</f>
        <v/>
      </c>
      <c r="AG21" s="450" t="str">
        <f>'LUCERO RECOLETA'!$BI25</f>
        <v/>
      </c>
      <c r="AH21" s="451">
        <v>0.0</v>
      </c>
      <c r="AI21" s="447">
        <v>0.0</v>
      </c>
      <c r="AJ21" s="448">
        <v>0.0</v>
      </c>
      <c r="AK21" s="449">
        <v>0.0</v>
      </c>
      <c r="AL21" s="449">
        <v>0.0</v>
      </c>
      <c r="AM21" s="449">
        <v>0.0</v>
      </c>
      <c r="AN21" s="449">
        <v>0.0</v>
      </c>
      <c r="AO21" s="450">
        <v>0.0</v>
      </c>
      <c r="AP21" s="451" t="str">
        <f>'LUCERO FRENCH'!$AR25</f>
        <v/>
      </c>
      <c r="AQ21" s="447">
        <f>'LUCERO FRENCH'!$AQ25</f>
        <v>92000</v>
      </c>
      <c r="AR21" s="448" t="str">
        <f>'LUCERO FRENCH'!$BA25</f>
        <v/>
      </c>
      <c r="AS21" s="449" t="str">
        <f>'LUCERO FRENCH'!$BC25</f>
        <v/>
      </c>
      <c r="AT21" s="449" t="str">
        <f>'LUCERO FRENCH'!$BE25</f>
        <v/>
      </c>
      <c r="AU21" s="449" t="str">
        <f>'LUCERO FRENCH'!$BG25</f>
        <v/>
      </c>
      <c r="AV21" s="449" t="str">
        <f>'LUCERO FRENCH'!$AY25</f>
        <v/>
      </c>
      <c r="AW21" s="450" t="str">
        <f>'LUCERO FRENCH'!$BI25</f>
        <v/>
      </c>
      <c r="AX21" s="451" t="str">
        <f>'LUCERO SAN TELMO 2'!$AR25</f>
        <v/>
      </c>
      <c r="AY21" s="447" t="str">
        <f>'LUCERO SAN TELMO 2'!$AQ25</f>
        <v/>
      </c>
      <c r="AZ21" s="448" t="str">
        <f>'LUCERO SAN TELMO 2'!$BA25</f>
        <v/>
      </c>
      <c r="BA21" s="449" t="str">
        <f>'LUCERO SAN TELMO 2'!$BC25</f>
        <v/>
      </c>
      <c r="BB21" s="449" t="str">
        <f>'LUCERO SAN TELMO 2'!$BE25</f>
        <v/>
      </c>
      <c r="BC21" s="449" t="str">
        <f>'LUCERO SAN TELMO 2'!$BG25</f>
        <v/>
      </c>
      <c r="BD21" s="449" t="str">
        <f>'LUCERO SAN TELMO 2'!$AY25</f>
        <v/>
      </c>
      <c r="BE21" s="450" t="str">
        <f>'LUCERO SAN TELMO 2'!$BI25</f>
        <v/>
      </c>
      <c r="BF21" s="451" t="str">
        <f>RESERVA!$AO25</f>
        <v/>
      </c>
      <c r="BG21" s="447" t="str">
        <f>RESERVA!$AN25</f>
        <v/>
      </c>
      <c r="BH21" s="448" t="str">
        <f>RESERVA!$AX25</f>
        <v/>
      </c>
      <c r="BI21" s="449" t="str">
        <f>RESERVA!$AZ25</f>
        <v/>
      </c>
      <c r="BJ21" s="449" t="str">
        <f>RESERVA!$BB25</f>
        <v/>
      </c>
      <c r="BK21" s="449" t="str">
        <f>RESERVA!$BD25</f>
        <v/>
      </c>
      <c r="BL21" s="449" t="str">
        <f>RESERVA!$AV25</f>
        <v/>
      </c>
      <c r="BM21" s="450" t="str">
        <f>RESERVA!$BF25</f>
        <v/>
      </c>
      <c r="BN21" s="451" t="str">
        <f>'LUCERO FLORIDA'!$AR25</f>
        <v/>
      </c>
      <c r="BO21" s="447">
        <f>'LUCERO FLORIDA'!$AQ25</f>
        <v>20000</v>
      </c>
      <c r="BP21" s="448">
        <f>'LUCERO FLORIDA'!$BA25</f>
        <v>240</v>
      </c>
      <c r="BQ21" s="449" t="str">
        <f>'LUCERO FLORIDA'!$BC25</f>
        <v/>
      </c>
      <c r="BR21" s="449" t="str">
        <f>'LUCERO FLORIDA'!$BE25</f>
        <v/>
      </c>
      <c r="BS21" s="449" t="str">
        <f>'LUCERO FLORIDA'!$BG25</f>
        <v/>
      </c>
      <c r="BT21" s="449" t="str">
        <f>'LUCERO FLORIDA'!$AY25</f>
        <v/>
      </c>
      <c r="BU21" s="450" t="str">
        <f>'LUCERO FLORIDA'!$BI25</f>
        <v/>
      </c>
      <c r="BV21" s="451" t="str">
        <f>'LUCERO GUEMES'!$AR25</f>
        <v/>
      </c>
      <c r="BW21" s="447" t="str">
        <f>'LUCERO GUEMES'!$AQ25</f>
        <v/>
      </c>
      <c r="BX21" s="448" t="str">
        <f>'LUCERO GUEMES'!$BA25</f>
        <v/>
      </c>
      <c r="BY21" s="449" t="str">
        <f>'LUCERO GUEMES'!$BC25</f>
        <v/>
      </c>
      <c r="BZ21" s="449" t="str">
        <f>'LUCERO GUEMES'!$BE25</f>
        <v/>
      </c>
      <c r="CA21" s="449" t="str">
        <f>'LUCERO GUEMES'!$BG25</f>
        <v/>
      </c>
      <c r="CB21" s="449" t="str">
        <f>'LUCERO GUEMES'!$AY25</f>
        <v/>
      </c>
      <c r="CC21" s="450" t="str">
        <f>'LUCERO GUEMES'!$BI25</f>
        <v/>
      </c>
      <c r="CD21" s="451" t="str">
        <f>'LUCERO EL SOLAR'!AR25</f>
        <v/>
      </c>
      <c r="CE21" s="447">
        <f>'LUCERO EL SOLAR'!$AQ25</f>
        <v>0</v>
      </c>
      <c r="CF21" s="448" t="str">
        <f>'LUCERO EL SOLAR'!$BA25</f>
        <v/>
      </c>
      <c r="CG21" s="449" t="str">
        <f>'LUCERO EL SOLAR'!$BC25</f>
        <v/>
      </c>
      <c r="CH21" s="449" t="str">
        <f>'LUCERO EL SOLAR'!$BE25</f>
        <v/>
      </c>
      <c r="CI21" s="449" t="str">
        <f>'LUCERO EL SOLAR'!$BG25</f>
        <v/>
      </c>
      <c r="CJ21" s="449" t="str">
        <f>'LUCERO EL SOLAR'!$AY25</f>
        <v/>
      </c>
      <c r="CK21" s="450" t="str">
        <f>'LUCERO EL SOLAR'!$BI25</f>
        <v/>
      </c>
      <c r="CL21" s="451" t="str">
        <f>'LUCERO GUEMES 2'!$AS25</f>
        <v/>
      </c>
      <c r="CM21" s="447" t="str">
        <f>'LUCERO GUEMES 2'!$AQ25</f>
        <v/>
      </c>
      <c r="CN21" s="448">
        <f>'LUCERO GUEMES 2'!$BB25</f>
        <v>0</v>
      </c>
      <c r="CO21" s="449">
        <f>'LUCERO GUEMES 2'!$BD25</f>
        <v>0</v>
      </c>
      <c r="CP21" s="449">
        <f>'LUCERO GUEMES 2'!$BF25</f>
        <v>0</v>
      </c>
      <c r="CQ21" s="449">
        <f>'LUCERO GUEMES 2'!$BH25</f>
        <v>0</v>
      </c>
      <c r="CR21" s="449">
        <f>'LUCERO GUEMES 2'!$AZ25</f>
        <v>0</v>
      </c>
      <c r="CS21" s="450">
        <f>'LUCERO GUEMES 2'!$BJ25</f>
        <v>0</v>
      </c>
    </row>
    <row r="22">
      <c r="A22" s="453">
        <f>+'LUCERO GUEMES'!A26</f>
        <v>46160</v>
      </c>
      <c r="B22" s="446" t="str">
        <f>'AS SAN TELMO'!AR26</f>
        <v/>
      </c>
      <c r="C22" s="447">
        <f>'AS SAN TELMO'!AQ26</f>
        <v>100000</v>
      </c>
      <c r="D22" s="448" t="str">
        <f>'AS SAN TELMO'!BA26</f>
        <v/>
      </c>
      <c r="E22" s="449" t="str">
        <f>'AS SAN TELMO'!BC26</f>
        <v/>
      </c>
      <c r="F22" s="449" t="str">
        <f>'AS SAN TELMO'!BE26</f>
        <v/>
      </c>
      <c r="G22" s="449" t="str">
        <f>'AS SAN TELMO'!BG26</f>
        <v/>
      </c>
      <c r="H22" s="449" t="str">
        <f>'AS SAN TELMO'!AY26</f>
        <v/>
      </c>
      <c r="I22" s="450" t="str">
        <f>'AS SAN TELMO'!BI26</f>
        <v/>
      </c>
      <c r="J22" s="451" t="str">
        <f>'LUCERO SAN TELMO'!$AR26</f>
        <v/>
      </c>
      <c r="K22" s="447">
        <f>'LUCERO SAN TELMO'!$AQ26</f>
        <v>0</v>
      </c>
      <c r="L22" s="448" t="str">
        <f>'LUCERO SAN TELMO'!$BA26</f>
        <v/>
      </c>
      <c r="M22" s="449" t="str">
        <f>'LUCERO SAN TELMO'!$BC26</f>
        <v/>
      </c>
      <c r="N22" s="449" t="str">
        <f>'LUCERO SAN TELMO'!$BE26</f>
        <v/>
      </c>
      <c r="O22" s="449" t="str">
        <f>'LUCERO SAN TELMO'!$BG26</f>
        <v/>
      </c>
      <c r="P22" s="449" t="str">
        <f>'LUCERO SAN TELMO'!$AY26</f>
        <v/>
      </c>
      <c r="Q22" s="450" t="str">
        <f>'LUCERO SAN TELMO'!$BI26</f>
        <v/>
      </c>
      <c r="R22" s="451" t="str">
        <f>'AS GUEMES'!$AR26</f>
        <v/>
      </c>
      <c r="S22" s="447" t="str">
        <f>'AS GUEMES'!$AQ26</f>
        <v/>
      </c>
      <c r="T22" s="448" t="str">
        <f>'AS GUEMES'!$BA26</f>
        <v/>
      </c>
      <c r="U22" s="449" t="str">
        <f>'AS GUEMES'!$BC26</f>
        <v/>
      </c>
      <c r="V22" s="449" t="str">
        <f>'AS GUEMES'!$BE26</f>
        <v/>
      </c>
      <c r="W22" s="449" t="str">
        <f>'AS GUEMES'!$BG26</f>
        <v/>
      </c>
      <c r="X22" s="449" t="str">
        <f>'AS GUEMES'!$AY26</f>
        <v/>
      </c>
      <c r="Y22" s="450" t="str">
        <f>'AS GUEMES'!$BI26</f>
        <v/>
      </c>
      <c r="Z22" s="451" t="str">
        <f>'LUCERO RECOLETA'!$AR26</f>
        <v/>
      </c>
      <c r="AA22" s="447">
        <f>'LUCERO RECOLETA'!$AQ26</f>
        <v>0</v>
      </c>
      <c r="AB22" s="448">
        <f>'LUCERO RECOLETA'!$BA26</f>
        <v>300</v>
      </c>
      <c r="AC22" s="449" t="str">
        <f>'LUCERO RECOLETA'!$BC26</f>
        <v/>
      </c>
      <c r="AD22" s="449" t="str">
        <f>'LUCERO RECOLETA'!$BE26</f>
        <v/>
      </c>
      <c r="AE22" s="449" t="str">
        <f>'LUCERO RECOLETA'!$BG26</f>
        <v/>
      </c>
      <c r="AF22" s="449" t="str">
        <f>'LUCERO RECOLETA'!$AY26</f>
        <v/>
      </c>
      <c r="AG22" s="450" t="str">
        <f>'LUCERO RECOLETA'!$BI26</f>
        <v/>
      </c>
      <c r="AH22" s="451">
        <v>0.0</v>
      </c>
      <c r="AI22" s="447">
        <v>0.0</v>
      </c>
      <c r="AJ22" s="448">
        <v>0.0</v>
      </c>
      <c r="AK22" s="449">
        <v>0.0</v>
      </c>
      <c r="AL22" s="449">
        <v>0.0</v>
      </c>
      <c r="AM22" s="449">
        <v>0.0</v>
      </c>
      <c r="AN22" s="449">
        <v>0.0</v>
      </c>
      <c r="AO22" s="450">
        <v>0.0</v>
      </c>
      <c r="AP22" s="451" t="str">
        <f>'LUCERO FRENCH'!$AR26</f>
        <v/>
      </c>
      <c r="AQ22" s="447">
        <f>'LUCERO FRENCH'!$AQ26</f>
        <v>0</v>
      </c>
      <c r="AR22" s="448" t="str">
        <f>'LUCERO FRENCH'!$BA26</f>
        <v/>
      </c>
      <c r="AS22" s="449" t="str">
        <f>'LUCERO FRENCH'!$BC26</f>
        <v/>
      </c>
      <c r="AT22" s="449" t="str">
        <f>'LUCERO FRENCH'!$BE26</f>
        <v/>
      </c>
      <c r="AU22" s="449" t="str">
        <f>'LUCERO FRENCH'!$BG26</f>
        <v/>
      </c>
      <c r="AV22" s="449" t="str">
        <f>'LUCERO FRENCH'!$AY26</f>
        <v/>
      </c>
      <c r="AW22" s="450" t="str">
        <f>'LUCERO FRENCH'!$BI26</f>
        <v/>
      </c>
      <c r="AX22" s="451" t="str">
        <f>'LUCERO SAN TELMO 2'!$AR26</f>
        <v/>
      </c>
      <c r="AY22" s="447" t="str">
        <f>'LUCERO SAN TELMO 2'!$AQ26</f>
        <v/>
      </c>
      <c r="AZ22" s="448" t="str">
        <f>'LUCERO SAN TELMO 2'!$BA26</f>
        <v/>
      </c>
      <c r="BA22" s="449" t="str">
        <f>'LUCERO SAN TELMO 2'!$BC26</f>
        <v/>
      </c>
      <c r="BB22" s="449" t="str">
        <f>'LUCERO SAN TELMO 2'!$BE26</f>
        <v/>
      </c>
      <c r="BC22" s="449" t="str">
        <f>'LUCERO SAN TELMO 2'!$BG26</f>
        <v/>
      </c>
      <c r="BD22" s="449" t="str">
        <f>'LUCERO SAN TELMO 2'!$AY26</f>
        <v/>
      </c>
      <c r="BE22" s="450" t="str">
        <f>'LUCERO SAN TELMO 2'!$BI26</f>
        <v/>
      </c>
      <c r="BF22" s="451" t="str">
        <f>RESERVA!$AO26</f>
        <v/>
      </c>
      <c r="BG22" s="447" t="str">
        <f>RESERVA!$AN26</f>
        <v/>
      </c>
      <c r="BH22" s="448" t="str">
        <f>RESERVA!$AX26</f>
        <v/>
      </c>
      <c r="BI22" s="449" t="str">
        <f>RESERVA!$AZ26</f>
        <v/>
      </c>
      <c r="BJ22" s="449" t="str">
        <f>RESERVA!$BB26</f>
        <v/>
      </c>
      <c r="BK22" s="449" t="str">
        <f>RESERVA!$BD26</f>
        <v/>
      </c>
      <c r="BL22" s="449" t="str">
        <f>RESERVA!$AV26</f>
        <v/>
      </c>
      <c r="BM22" s="450" t="str">
        <f>RESERVA!$BF26</f>
        <v/>
      </c>
      <c r="BN22" s="451" t="str">
        <f>'LUCERO FLORIDA'!$AR26</f>
        <v/>
      </c>
      <c r="BO22" s="447">
        <f>'LUCERO FLORIDA'!$AQ26</f>
        <v>420000</v>
      </c>
      <c r="BP22" s="448" t="str">
        <f>'LUCERO FLORIDA'!$BA26</f>
        <v/>
      </c>
      <c r="BQ22" s="449" t="str">
        <f>'LUCERO FLORIDA'!$BC26</f>
        <v/>
      </c>
      <c r="BR22" s="449" t="str">
        <f>'LUCERO FLORIDA'!$BE26</f>
        <v/>
      </c>
      <c r="BS22" s="449" t="str">
        <f>'LUCERO FLORIDA'!$BG26</f>
        <v/>
      </c>
      <c r="BT22" s="449" t="str">
        <f>'LUCERO FLORIDA'!$AY26</f>
        <v/>
      </c>
      <c r="BU22" s="450" t="str">
        <f>'LUCERO FLORIDA'!$BI26</f>
        <v/>
      </c>
      <c r="BV22" s="451" t="str">
        <f>'LUCERO GUEMES'!$AR26</f>
        <v/>
      </c>
      <c r="BW22" s="447">
        <f>'LUCERO GUEMES'!$AQ26</f>
        <v>210000</v>
      </c>
      <c r="BX22" s="448" t="str">
        <f>'LUCERO GUEMES'!$BA26</f>
        <v/>
      </c>
      <c r="BY22" s="449" t="str">
        <f>'LUCERO GUEMES'!$BC26</f>
        <v/>
      </c>
      <c r="BZ22" s="449" t="str">
        <f>'LUCERO GUEMES'!$BE26</f>
        <v/>
      </c>
      <c r="CA22" s="449" t="str">
        <f>'LUCERO GUEMES'!$BG26</f>
        <v/>
      </c>
      <c r="CB22" s="449" t="str">
        <f>'LUCERO GUEMES'!$AY26</f>
        <v/>
      </c>
      <c r="CC22" s="450" t="str">
        <f>'LUCERO GUEMES'!$BI26</f>
        <v/>
      </c>
      <c r="CD22" s="451" t="str">
        <f>'LUCERO EL SOLAR'!AR26</f>
        <v/>
      </c>
      <c r="CE22" s="447">
        <f>'LUCERO EL SOLAR'!$AQ26</f>
        <v>0</v>
      </c>
      <c r="CF22" s="448" t="str">
        <f>'LUCERO EL SOLAR'!$BA26</f>
        <v/>
      </c>
      <c r="CG22" s="449" t="str">
        <f>'LUCERO EL SOLAR'!$BC26</f>
        <v/>
      </c>
      <c r="CH22" s="449" t="str">
        <f>'LUCERO EL SOLAR'!$BE26</f>
        <v/>
      </c>
      <c r="CI22" s="449" t="str">
        <f>'LUCERO EL SOLAR'!$BG26</f>
        <v/>
      </c>
      <c r="CJ22" s="449" t="str">
        <f>'LUCERO EL SOLAR'!$AY26</f>
        <v/>
      </c>
      <c r="CK22" s="450" t="str">
        <f>'LUCERO EL SOLAR'!$BI26</f>
        <v/>
      </c>
      <c r="CL22" s="451" t="str">
        <f>'LUCERO GUEMES 2'!$AS26</f>
        <v/>
      </c>
      <c r="CM22" s="447">
        <f>'LUCERO GUEMES 2'!$AQ26</f>
        <v>160000</v>
      </c>
      <c r="CN22" s="448">
        <f>'LUCERO GUEMES 2'!$BB26</f>
        <v>0</v>
      </c>
      <c r="CO22" s="449">
        <f>'LUCERO GUEMES 2'!$BD26</f>
        <v>0</v>
      </c>
      <c r="CP22" s="449">
        <f>'LUCERO GUEMES 2'!$BF26</f>
        <v>0</v>
      </c>
      <c r="CQ22" s="449">
        <f>'LUCERO GUEMES 2'!$BH26</f>
        <v>0</v>
      </c>
      <c r="CR22" s="449">
        <f>'LUCERO GUEMES 2'!$AZ26</f>
        <v>0</v>
      </c>
      <c r="CS22" s="450">
        <f>'LUCERO GUEMES 2'!$BJ26</f>
        <v>0</v>
      </c>
    </row>
    <row r="23">
      <c r="A23" s="453">
        <f>+'LUCERO GUEMES'!A27</f>
        <v>46161</v>
      </c>
      <c r="B23" s="446" t="str">
        <f>'AS SAN TELMO'!AR27</f>
        <v/>
      </c>
      <c r="C23" s="447">
        <f>'AS SAN TELMO'!AQ27</f>
        <v>81300</v>
      </c>
      <c r="D23" s="448" t="str">
        <f>'AS SAN TELMO'!BA27</f>
        <v/>
      </c>
      <c r="E23" s="449" t="str">
        <f>'AS SAN TELMO'!BC27</f>
        <v/>
      </c>
      <c r="F23" s="449" t="str">
        <f>'AS SAN TELMO'!BE27</f>
        <v/>
      </c>
      <c r="G23" s="449" t="str">
        <f>'AS SAN TELMO'!BG27</f>
        <v/>
      </c>
      <c r="H23" s="449" t="str">
        <f>'AS SAN TELMO'!AY27</f>
        <v/>
      </c>
      <c r="I23" s="450" t="str">
        <f>'AS SAN TELMO'!BI27</f>
        <v/>
      </c>
      <c r="J23" s="451" t="str">
        <f>'LUCERO SAN TELMO'!$AR27</f>
        <v/>
      </c>
      <c r="K23" s="447">
        <f>'LUCERO SAN TELMO'!$AQ27</f>
        <v>210000</v>
      </c>
      <c r="L23" s="448" t="str">
        <f>'LUCERO SAN TELMO'!$BA27</f>
        <v/>
      </c>
      <c r="M23" s="449" t="str">
        <f>'LUCERO SAN TELMO'!$BC27</f>
        <v/>
      </c>
      <c r="N23" s="449" t="str">
        <f>'LUCERO SAN TELMO'!$BE27</f>
        <v/>
      </c>
      <c r="O23" s="449" t="str">
        <f>'LUCERO SAN TELMO'!$BG27</f>
        <v/>
      </c>
      <c r="P23" s="449" t="str">
        <f>'LUCERO SAN TELMO'!$AY27</f>
        <v/>
      </c>
      <c r="Q23" s="450" t="str">
        <f>'LUCERO SAN TELMO'!$BI27</f>
        <v/>
      </c>
      <c r="R23" s="451" t="str">
        <f>'AS GUEMES'!$AR27</f>
        <v/>
      </c>
      <c r="S23" s="447" t="str">
        <f>'AS GUEMES'!$AQ27</f>
        <v/>
      </c>
      <c r="T23" s="448" t="str">
        <f>'AS GUEMES'!$BA27</f>
        <v/>
      </c>
      <c r="U23" s="449" t="str">
        <f>'AS GUEMES'!$BC27</f>
        <v/>
      </c>
      <c r="V23" s="449" t="str">
        <f>'AS GUEMES'!$BE27</f>
        <v/>
      </c>
      <c r="W23" s="449" t="str">
        <f>'AS GUEMES'!$BG27</f>
        <v/>
      </c>
      <c r="X23" s="449" t="str">
        <f>'AS GUEMES'!$AY27</f>
        <v/>
      </c>
      <c r="Y23" s="450" t="str">
        <f>'AS GUEMES'!$BI27</f>
        <v/>
      </c>
      <c r="Z23" s="451" t="str">
        <f>'LUCERO RECOLETA'!$AR27</f>
        <v/>
      </c>
      <c r="AA23" s="447">
        <f>'LUCERO RECOLETA'!$AQ27</f>
        <v>0</v>
      </c>
      <c r="AB23" s="448" t="str">
        <f>'LUCERO RECOLETA'!$BA27</f>
        <v/>
      </c>
      <c r="AC23" s="449" t="str">
        <f>'LUCERO RECOLETA'!$BC27</f>
        <v/>
      </c>
      <c r="AD23" s="449" t="str">
        <f>'LUCERO RECOLETA'!$BE27</f>
        <v/>
      </c>
      <c r="AE23" s="449" t="str">
        <f>'LUCERO RECOLETA'!$BG27</f>
        <v/>
      </c>
      <c r="AF23" s="449" t="str">
        <f>'LUCERO RECOLETA'!$AY27</f>
        <v/>
      </c>
      <c r="AG23" s="450" t="str">
        <f>'LUCERO RECOLETA'!$BI27</f>
        <v/>
      </c>
      <c r="AH23" s="451">
        <v>0.0</v>
      </c>
      <c r="AI23" s="447">
        <v>0.0</v>
      </c>
      <c r="AJ23" s="448">
        <v>0.0</v>
      </c>
      <c r="AK23" s="449">
        <v>0.0</v>
      </c>
      <c r="AL23" s="449">
        <v>0.0</v>
      </c>
      <c r="AM23" s="449">
        <v>0.0</v>
      </c>
      <c r="AN23" s="449">
        <v>0.0</v>
      </c>
      <c r="AO23" s="450">
        <v>0.0</v>
      </c>
      <c r="AP23" s="451" t="str">
        <f>'LUCERO FRENCH'!$AR27</f>
        <v/>
      </c>
      <c r="AQ23" s="447">
        <f>'LUCERO FRENCH'!$AQ27</f>
        <v>0</v>
      </c>
      <c r="AR23" s="448">
        <f>'LUCERO FRENCH'!$BA27</f>
        <v>40</v>
      </c>
      <c r="AS23" s="449" t="str">
        <f>'LUCERO FRENCH'!$BC27</f>
        <v/>
      </c>
      <c r="AT23" s="449" t="str">
        <f>'LUCERO FRENCH'!$BE27</f>
        <v/>
      </c>
      <c r="AU23" s="449" t="str">
        <f>'LUCERO FRENCH'!$BG27</f>
        <v/>
      </c>
      <c r="AV23" s="449" t="str">
        <f>'LUCERO FRENCH'!$AY27</f>
        <v/>
      </c>
      <c r="AW23" s="450" t="str">
        <f>'LUCERO FRENCH'!$BI27</f>
        <v/>
      </c>
      <c r="AX23" s="451" t="str">
        <f>'LUCERO SAN TELMO 2'!$AR27</f>
        <v/>
      </c>
      <c r="AY23" s="447" t="str">
        <f>'LUCERO SAN TELMO 2'!$AQ27</f>
        <v/>
      </c>
      <c r="AZ23" s="448" t="str">
        <f>'LUCERO SAN TELMO 2'!$BA27</f>
        <v/>
      </c>
      <c r="BA23" s="449" t="str">
        <f>'LUCERO SAN TELMO 2'!$BC27</f>
        <v/>
      </c>
      <c r="BB23" s="449" t="str">
        <f>'LUCERO SAN TELMO 2'!$BE27</f>
        <v/>
      </c>
      <c r="BC23" s="449" t="str">
        <f>'LUCERO SAN TELMO 2'!$BG27</f>
        <v/>
      </c>
      <c r="BD23" s="449" t="str">
        <f>'LUCERO SAN TELMO 2'!$AY27</f>
        <v/>
      </c>
      <c r="BE23" s="450" t="str">
        <f>'LUCERO SAN TELMO 2'!$BI27</f>
        <v/>
      </c>
      <c r="BF23" s="451" t="str">
        <f>RESERVA!$AO27</f>
        <v/>
      </c>
      <c r="BG23" s="447" t="str">
        <f>RESERVA!$AN27</f>
        <v/>
      </c>
      <c r="BH23" s="448" t="str">
        <f>RESERVA!$AX27</f>
        <v/>
      </c>
      <c r="BI23" s="449" t="str">
        <f>RESERVA!$AZ27</f>
        <v/>
      </c>
      <c r="BJ23" s="449" t="str">
        <f>RESERVA!$BB27</f>
        <v/>
      </c>
      <c r="BK23" s="449" t="str">
        <f>RESERVA!$BD27</f>
        <v/>
      </c>
      <c r="BL23" s="449" t="str">
        <f>RESERVA!$AV27</f>
        <v/>
      </c>
      <c r="BM23" s="450" t="str">
        <f>RESERVA!$BF27</f>
        <v/>
      </c>
      <c r="BN23" s="451" t="str">
        <f>'LUCERO FLORIDA'!$AR27</f>
        <v/>
      </c>
      <c r="BO23" s="447">
        <f>'LUCERO FLORIDA'!$AQ27</f>
        <v>35000</v>
      </c>
      <c r="BP23" s="448" t="str">
        <f>'LUCERO FLORIDA'!$BA27</f>
        <v/>
      </c>
      <c r="BQ23" s="449" t="str">
        <f>'LUCERO FLORIDA'!$BC27</f>
        <v/>
      </c>
      <c r="BR23" s="449" t="str">
        <f>'LUCERO FLORIDA'!$BE27</f>
        <v/>
      </c>
      <c r="BS23" s="449" t="str">
        <f>'LUCERO FLORIDA'!$BG27</f>
        <v/>
      </c>
      <c r="BT23" s="449" t="str">
        <f>'LUCERO FLORIDA'!$AY27</f>
        <v/>
      </c>
      <c r="BU23" s="450" t="str">
        <f>'LUCERO FLORIDA'!$BI27</f>
        <v/>
      </c>
      <c r="BV23" s="451" t="str">
        <f>'LUCERO GUEMES'!$AR27</f>
        <v/>
      </c>
      <c r="BW23" s="447">
        <f>'LUCERO GUEMES'!$AQ27</f>
        <v>0</v>
      </c>
      <c r="BX23" s="448" t="str">
        <f>'LUCERO GUEMES'!$BA27</f>
        <v/>
      </c>
      <c r="BY23" s="449" t="str">
        <f>'LUCERO GUEMES'!$BC27</f>
        <v/>
      </c>
      <c r="BZ23" s="449" t="str">
        <f>'LUCERO GUEMES'!$BE27</f>
        <v/>
      </c>
      <c r="CA23" s="449" t="str">
        <f>'LUCERO GUEMES'!$BG27</f>
        <v/>
      </c>
      <c r="CB23" s="449" t="str">
        <f>'LUCERO GUEMES'!$AY27</f>
        <v/>
      </c>
      <c r="CC23" s="450" t="str">
        <f>'LUCERO GUEMES'!$BI27</f>
        <v/>
      </c>
      <c r="CD23" s="451" t="str">
        <f>'LUCERO EL SOLAR'!AR27</f>
        <v/>
      </c>
      <c r="CE23" s="447">
        <f>'LUCERO EL SOLAR'!$AQ27</f>
        <v>0</v>
      </c>
      <c r="CF23" s="448" t="str">
        <f>'LUCERO EL SOLAR'!$BA27</f>
        <v/>
      </c>
      <c r="CG23" s="449" t="str">
        <f>'LUCERO EL SOLAR'!$BC27</f>
        <v/>
      </c>
      <c r="CH23" s="449" t="str">
        <f>'LUCERO EL SOLAR'!$BE27</f>
        <v/>
      </c>
      <c r="CI23" s="449" t="str">
        <f>'LUCERO EL SOLAR'!$BG27</f>
        <v/>
      </c>
      <c r="CJ23" s="449" t="str">
        <f>'LUCERO EL SOLAR'!$AY27</f>
        <v/>
      </c>
      <c r="CK23" s="450" t="str">
        <f>'LUCERO EL SOLAR'!$BI27</f>
        <v/>
      </c>
      <c r="CL23" s="451" t="str">
        <f>'LUCERO GUEMES 2'!$AS27</f>
        <v/>
      </c>
      <c r="CM23" s="447">
        <f>'LUCERO GUEMES 2'!$AQ27</f>
        <v>0</v>
      </c>
      <c r="CN23" s="448">
        <f>'LUCERO GUEMES 2'!$BB27</f>
        <v>0</v>
      </c>
      <c r="CO23" s="449">
        <f>'LUCERO GUEMES 2'!$BD27</f>
        <v>0</v>
      </c>
      <c r="CP23" s="449">
        <f>'LUCERO GUEMES 2'!$BF27</f>
        <v>0</v>
      </c>
      <c r="CQ23" s="449">
        <f>'LUCERO GUEMES 2'!$BH27</f>
        <v>0</v>
      </c>
      <c r="CR23" s="449">
        <f>'LUCERO GUEMES 2'!$AZ27</f>
        <v>0</v>
      </c>
      <c r="CS23" s="450">
        <f>'LUCERO GUEMES 2'!$BJ27</f>
        <v>0</v>
      </c>
    </row>
    <row r="24">
      <c r="A24" s="453">
        <f>+'LUCERO GUEMES'!A28</f>
        <v>46162</v>
      </c>
      <c r="B24" s="446" t="str">
        <f>'AS SAN TELMO'!AR28</f>
        <v/>
      </c>
      <c r="C24" s="447">
        <f>'AS SAN TELMO'!AQ28</f>
        <v>86400</v>
      </c>
      <c r="D24" s="448" t="str">
        <f>'AS SAN TELMO'!BA28</f>
        <v/>
      </c>
      <c r="E24" s="449" t="str">
        <f>'AS SAN TELMO'!BC28</f>
        <v/>
      </c>
      <c r="F24" s="449" t="str">
        <f>'AS SAN TELMO'!BE28</f>
        <v/>
      </c>
      <c r="G24" s="449" t="str">
        <f>'AS SAN TELMO'!BG28</f>
        <v/>
      </c>
      <c r="H24" s="449" t="str">
        <f>'AS SAN TELMO'!AY28</f>
        <v/>
      </c>
      <c r="I24" s="450" t="str">
        <f>'AS SAN TELMO'!BI28</f>
        <v/>
      </c>
      <c r="J24" s="451" t="str">
        <f>'LUCERO SAN TELMO'!$AR28</f>
        <v/>
      </c>
      <c r="K24" s="447">
        <f>'LUCERO SAN TELMO'!$AQ28</f>
        <v>46000</v>
      </c>
      <c r="L24" s="448">
        <f>'LUCERO SAN TELMO'!$BA28</f>
        <v>140</v>
      </c>
      <c r="M24" s="449" t="str">
        <f>'LUCERO SAN TELMO'!$BC28</f>
        <v/>
      </c>
      <c r="N24" s="449" t="str">
        <f>'LUCERO SAN TELMO'!$BE28</f>
        <v/>
      </c>
      <c r="O24" s="449" t="str">
        <f>'LUCERO SAN TELMO'!$BG28</f>
        <v/>
      </c>
      <c r="P24" s="449" t="str">
        <f>'LUCERO SAN TELMO'!$AY28</f>
        <v/>
      </c>
      <c r="Q24" s="450" t="str">
        <f>'LUCERO SAN TELMO'!$BI28</f>
        <v/>
      </c>
      <c r="R24" s="451" t="str">
        <f>'AS GUEMES'!$AR28</f>
        <v/>
      </c>
      <c r="S24" s="447" t="str">
        <f>'AS GUEMES'!$AQ28</f>
        <v/>
      </c>
      <c r="T24" s="448" t="str">
        <f>'AS GUEMES'!$BA28</f>
        <v/>
      </c>
      <c r="U24" s="449" t="str">
        <f>'AS GUEMES'!$BC28</f>
        <v/>
      </c>
      <c r="V24" s="449" t="str">
        <f>'AS GUEMES'!$BE28</f>
        <v/>
      </c>
      <c r="W24" s="449" t="str">
        <f>'AS GUEMES'!$BG28</f>
        <v/>
      </c>
      <c r="X24" s="449" t="str">
        <f>'AS GUEMES'!$AY28</f>
        <v/>
      </c>
      <c r="Y24" s="450" t="str">
        <f>'AS GUEMES'!$BI28</f>
        <v/>
      </c>
      <c r="Z24" s="451" t="str">
        <f>'LUCERO RECOLETA'!$AR28</f>
        <v/>
      </c>
      <c r="AA24" s="447">
        <f>'LUCERO RECOLETA'!$AQ28</f>
        <v>0</v>
      </c>
      <c r="AB24" s="448" t="str">
        <f>'LUCERO RECOLETA'!$BA28</f>
        <v/>
      </c>
      <c r="AC24" s="449" t="str">
        <f>'LUCERO RECOLETA'!$BC28</f>
        <v/>
      </c>
      <c r="AD24" s="449" t="str">
        <f>'LUCERO RECOLETA'!$BE28</f>
        <v/>
      </c>
      <c r="AE24" s="449" t="str">
        <f>'LUCERO RECOLETA'!$BG28</f>
        <v/>
      </c>
      <c r="AF24" s="449" t="str">
        <f>'LUCERO RECOLETA'!$AY28</f>
        <v/>
      </c>
      <c r="AG24" s="450" t="str">
        <f>'LUCERO RECOLETA'!$BI28</f>
        <v/>
      </c>
      <c r="AH24" s="451">
        <v>0.0</v>
      </c>
      <c r="AI24" s="447">
        <v>0.0</v>
      </c>
      <c r="AJ24" s="448">
        <v>0.0</v>
      </c>
      <c r="AK24" s="449">
        <v>0.0</v>
      </c>
      <c r="AL24" s="449">
        <v>0.0</v>
      </c>
      <c r="AM24" s="449">
        <v>0.0</v>
      </c>
      <c r="AN24" s="449">
        <v>0.0</v>
      </c>
      <c r="AO24" s="450">
        <v>0.0</v>
      </c>
      <c r="AP24" s="451" t="str">
        <f>'LUCERO FRENCH'!$AR28</f>
        <v/>
      </c>
      <c r="AQ24" s="447">
        <f>'LUCERO FRENCH'!$AQ28</f>
        <v>0</v>
      </c>
      <c r="AR24" s="448" t="str">
        <f>'LUCERO FRENCH'!$BA28</f>
        <v/>
      </c>
      <c r="AS24" s="449" t="str">
        <f>'LUCERO FRENCH'!$BC28</f>
        <v/>
      </c>
      <c r="AT24" s="449" t="str">
        <f>'LUCERO FRENCH'!$BE28</f>
        <v/>
      </c>
      <c r="AU24" s="449" t="str">
        <f>'LUCERO FRENCH'!$BG28</f>
        <v/>
      </c>
      <c r="AV24" s="449" t="str">
        <f>'LUCERO FRENCH'!$AY28</f>
        <v/>
      </c>
      <c r="AW24" s="450" t="str">
        <f>'LUCERO FRENCH'!$BI28</f>
        <v/>
      </c>
      <c r="AX24" s="451" t="str">
        <f>'LUCERO SAN TELMO 2'!$AR28</f>
        <v/>
      </c>
      <c r="AY24" s="447" t="str">
        <f>'LUCERO SAN TELMO 2'!$AQ28</f>
        <v/>
      </c>
      <c r="AZ24" s="448" t="str">
        <f>'LUCERO SAN TELMO 2'!$BA28</f>
        <v/>
      </c>
      <c r="BA24" s="449" t="str">
        <f>'LUCERO SAN TELMO 2'!$BC28</f>
        <v/>
      </c>
      <c r="BB24" s="449" t="str">
        <f>'LUCERO SAN TELMO 2'!$BE28</f>
        <v/>
      </c>
      <c r="BC24" s="449" t="str">
        <f>'LUCERO SAN TELMO 2'!$BG28</f>
        <v/>
      </c>
      <c r="BD24" s="449" t="str">
        <f>'LUCERO SAN TELMO 2'!$AY28</f>
        <v/>
      </c>
      <c r="BE24" s="450" t="str">
        <f>'LUCERO SAN TELMO 2'!$BI28</f>
        <v/>
      </c>
      <c r="BF24" s="451" t="str">
        <f>RESERVA!$AO28</f>
        <v/>
      </c>
      <c r="BG24" s="447" t="str">
        <f>RESERVA!$AN28</f>
        <v/>
      </c>
      <c r="BH24" s="448" t="str">
        <f>RESERVA!$AX28</f>
        <v/>
      </c>
      <c r="BI24" s="449" t="str">
        <f>RESERVA!$AZ28</f>
        <v/>
      </c>
      <c r="BJ24" s="449" t="str">
        <f>RESERVA!$BB28</f>
        <v/>
      </c>
      <c r="BK24" s="449" t="str">
        <f>RESERVA!$BD28</f>
        <v/>
      </c>
      <c r="BL24" s="449" t="str">
        <f>RESERVA!$AV28</f>
        <v/>
      </c>
      <c r="BM24" s="450" t="str">
        <f>RESERVA!$BF28</f>
        <v/>
      </c>
      <c r="BN24" s="451" t="str">
        <f>'LUCERO FLORIDA'!$AR28</f>
        <v/>
      </c>
      <c r="BO24" s="447">
        <f>'LUCERO FLORIDA'!$AQ28</f>
        <v>80000</v>
      </c>
      <c r="BP24" s="448" t="str">
        <f>'LUCERO FLORIDA'!$BA28</f>
        <v/>
      </c>
      <c r="BQ24" s="449" t="str">
        <f>'LUCERO FLORIDA'!$BC28</f>
        <v/>
      </c>
      <c r="BR24" s="449" t="str">
        <f>'LUCERO FLORIDA'!$BE28</f>
        <v/>
      </c>
      <c r="BS24" s="449" t="str">
        <f>'LUCERO FLORIDA'!$BG28</f>
        <v/>
      </c>
      <c r="BT24" s="449" t="str">
        <f>'LUCERO FLORIDA'!$AY28</f>
        <v/>
      </c>
      <c r="BU24" s="450" t="str">
        <f>'LUCERO FLORIDA'!$BI28</f>
        <v/>
      </c>
      <c r="BV24" s="451" t="str">
        <f>'LUCERO GUEMES'!$AR28</f>
        <v/>
      </c>
      <c r="BW24" s="447">
        <f>'LUCERO GUEMES'!$AQ28</f>
        <v>6000</v>
      </c>
      <c r="BX24" s="448" t="str">
        <f>'LUCERO GUEMES'!$BA28</f>
        <v/>
      </c>
      <c r="BY24" s="449" t="str">
        <f>'LUCERO GUEMES'!$BC28</f>
        <v/>
      </c>
      <c r="BZ24" s="449" t="str">
        <f>'LUCERO GUEMES'!$BE28</f>
        <v/>
      </c>
      <c r="CA24" s="449" t="str">
        <f>'LUCERO GUEMES'!$BG28</f>
        <v/>
      </c>
      <c r="CB24" s="449" t="str">
        <f>'LUCERO GUEMES'!$AY28</f>
        <v/>
      </c>
      <c r="CC24" s="450" t="str">
        <f>'LUCERO GUEMES'!$BI28</f>
        <v/>
      </c>
      <c r="CD24" s="451" t="str">
        <f>'LUCERO EL SOLAR'!AR28</f>
        <v/>
      </c>
      <c r="CE24" s="447">
        <f>'LUCERO EL SOLAR'!$AQ28</f>
        <v>0</v>
      </c>
      <c r="CF24" s="448" t="str">
        <f>'LUCERO EL SOLAR'!$BA28</f>
        <v/>
      </c>
      <c r="CG24" s="449" t="str">
        <f>'LUCERO EL SOLAR'!$BC28</f>
        <v/>
      </c>
      <c r="CH24" s="449" t="str">
        <f>'LUCERO EL SOLAR'!$BE28</f>
        <v/>
      </c>
      <c r="CI24" s="449" t="str">
        <f>'LUCERO EL SOLAR'!$BG28</f>
        <v/>
      </c>
      <c r="CJ24" s="449" t="str">
        <f>'LUCERO EL SOLAR'!$AY28</f>
        <v/>
      </c>
      <c r="CK24" s="450" t="str">
        <f>'LUCERO EL SOLAR'!$BI28</f>
        <v/>
      </c>
      <c r="CL24" s="451" t="str">
        <f>'LUCERO GUEMES 2'!$AS28</f>
        <v/>
      </c>
      <c r="CM24" s="447">
        <f>'LUCERO GUEMES 2'!$AQ28</f>
        <v>20000</v>
      </c>
      <c r="CN24" s="448">
        <f>'LUCERO GUEMES 2'!$BB28</f>
        <v>0</v>
      </c>
      <c r="CO24" s="449">
        <f>'LUCERO GUEMES 2'!$BD28</f>
        <v>0</v>
      </c>
      <c r="CP24" s="449">
        <f>'LUCERO GUEMES 2'!$BF28</f>
        <v>0</v>
      </c>
      <c r="CQ24" s="449">
        <f>'LUCERO GUEMES 2'!$BH28</f>
        <v>0</v>
      </c>
      <c r="CR24" s="449">
        <f>'LUCERO GUEMES 2'!$AZ28</f>
        <v>0</v>
      </c>
      <c r="CS24" s="450">
        <f>'LUCERO GUEMES 2'!$BJ28</f>
        <v>0</v>
      </c>
    </row>
    <row r="25">
      <c r="A25" s="454">
        <f>+'LUCERO GUEMES'!A29</f>
        <v>46163</v>
      </c>
      <c r="B25" s="446" t="str">
        <f>'AS SAN TELMO'!AR29</f>
        <v/>
      </c>
      <c r="C25" s="447">
        <f>'AS SAN TELMO'!AQ29</f>
        <v>99500</v>
      </c>
      <c r="D25" s="448" t="str">
        <f>'AS SAN TELMO'!BA29</f>
        <v/>
      </c>
      <c r="E25" s="449" t="str">
        <f>'AS SAN TELMO'!BC29</f>
        <v/>
      </c>
      <c r="F25" s="449" t="str">
        <f>'AS SAN TELMO'!BE29</f>
        <v/>
      </c>
      <c r="G25" s="449" t="str">
        <f>'AS SAN TELMO'!BG29</f>
        <v/>
      </c>
      <c r="H25" s="449" t="str">
        <f>'AS SAN TELMO'!AY29</f>
        <v/>
      </c>
      <c r="I25" s="450" t="str">
        <f>'AS SAN TELMO'!BI29</f>
        <v/>
      </c>
      <c r="J25" s="451" t="str">
        <f>'LUCERO SAN TELMO'!$AR29</f>
        <v/>
      </c>
      <c r="K25" s="447">
        <f>'LUCERO SAN TELMO'!$AQ29</f>
        <v>60000</v>
      </c>
      <c r="L25" s="448" t="str">
        <f>'LUCERO SAN TELMO'!$BA29</f>
        <v/>
      </c>
      <c r="M25" s="449" t="str">
        <f>'LUCERO SAN TELMO'!$BC29</f>
        <v/>
      </c>
      <c r="N25" s="449" t="str">
        <f>'LUCERO SAN TELMO'!$BE29</f>
        <v/>
      </c>
      <c r="O25" s="449" t="str">
        <f>'LUCERO SAN TELMO'!$BG29</f>
        <v/>
      </c>
      <c r="P25" s="449" t="str">
        <f>'LUCERO SAN TELMO'!$AY29</f>
        <v/>
      </c>
      <c r="Q25" s="450" t="str">
        <f>'LUCERO SAN TELMO'!$BI29</f>
        <v/>
      </c>
      <c r="R25" s="451" t="str">
        <f>'AS GUEMES'!$AR29</f>
        <v/>
      </c>
      <c r="S25" s="447" t="str">
        <f>'AS GUEMES'!$AQ29</f>
        <v/>
      </c>
      <c r="T25" s="448" t="str">
        <f>'AS GUEMES'!$BA29</f>
        <v/>
      </c>
      <c r="U25" s="449" t="str">
        <f>'AS GUEMES'!$BC29</f>
        <v/>
      </c>
      <c r="V25" s="449" t="str">
        <f>'AS GUEMES'!$BE29</f>
        <v/>
      </c>
      <c r="W25" s="449" t="str">
        <f>'AS GUEMES'!$BG29</f>
        <v/>
      </c>
      <c r="X25" s="449" t="str">
        <f>'AS GUEMES'!$AY29</f>
        <v/>
      </c>
      <c r="Y25" s="450" t="str">
        <f>'AS GUEMES'!$BI29</f>
        <v/>
      </c>
      <c r="Z25" s="451" t="str">
        <f>'LUCERO RECOLETA'!$AR29</f>
        <v/>
      </c>
      <c r="AA25" s="447">
        <f>'LUCERO RECOLETA'!$AQ29</f>
        <v>90000</v>
      </c>
      <c r="AB25" s="448" t="str">
        <f>'LUCERO RECOLETA'!$BA29</f>
        <v/>
      </c>
      <c r="AC25" s="449" t="str">
        <f>'LUCERO RECOLETA'!$BC29</f>
        <v/>
      </c>
      <c r="AD25" s="449" t="str">
        <f>'LUCERO RECOLETA'!$BE29</f>
        <v/>
      </c>
      <c r="AE25" s="449" t="str">
        <f>'LUCERO RECOLETA'!$BG29</f>
        <v/>
      </c>
      <c r="AF25" s="449" t="str">
        <f>'LUCERO RECOLETA'!$AY29</f>
        <v/>
      </c>
      <c r="AG25" s="450" t="str">
        <f>'LUCERO RECOLETA'!$BI29</f>
        <v/>
      </c>
      <c r="AH25" s="451">
        <v>0.0</v>
      </c>
      <c r="AI25" s="447">
        <v>0.0</v>
      </c>
      <c r="AJ25" s="448">
        <v>0.0</v>
      </c>
      <c r="AK25" s="449">
        <v>0.0</v>
      </c>
      <c r="AL25" s="449">
        <v>0.0</v>
      </c>
      <c r="AM25" s="449">
        <v>0.0</v>
      </c>
      <c r="AN25" s="449">
        <v>0.0</v>
      </c>
      <c r="AO25" s="450">
        <v>0.0</v>
      </c>
      <c r="AP25" s="451" t="str">
        <f>'LUCERO FRENCH'!$AR29</f>
        <v/>
      </c>
      <c r="AQ25" s="447">
        <f>'LUCERO FRENCH'!$AQ29</f>
        <v>180000</v>
      </c>
      <c r="AR25" s="448" t="str">
        <f>'LUCERO FRENCH'!$BA29</f>
        <v/>
      </c>
      <c r="AS25" s="449" t="str">
        <f>'LUCERO FRENCH'!$BC29</f>
        <v/>
      </c>
      <c r="AT25" s="449" t="str">
        <f>'LUCERO FRENCH'!$BE29</f>
        <v/>
      </c>
      <c r="AU25" s="449" t="str">
        <f>'LUCERO FRENCH'!$BG29</f>
        <v/>
      </c>
      <c r="AV25" s="449" t="str">
        <f>'LUCERO FRENCH'!$AY29</f>
        <v/>
      </c>
      <c r="AW25" s="450" t="str">
        <f>'LUCERO FRENCH'!$BI29</f>
        <v/>
      </c>
      <c r="AX25" s="451" t="str">
        <f>'LUCERO SAN TELMO 2'!$AR29</f>
        <v/>
      </c>
      <c r="AY25" s="447" t="str">
        <f>'LUCERO SAN TELMO 2'!$AQ29</f>
        <v/>
      </c>
      <c r="AZ25" s="448" t="str">
        <f>'LUCERO SAN TELMO 2'!$BA29</f>
        <v/>
      </c>
      <c r="BA25" s="449" t="str">
        <f>'LUCERO SAN TELMO 2'!$BC29</f>
        <v/>
      </c>
      <c r="BB25" s="449" t="str">
        <f>'LUCERO SAN TELMO 2'!$BE29</f>
        <v/>
      </c>
      <c r="BC25" s="449" t="str">
        <f>'LUCERO SAN TELMO 2'!$BG29</f>
        <v/>
      </c>
      <c r="BD25" s="449" t="str">
        <f>'LUCERO SAN TELMO 2'!$AY29</f>
        <v/>
      </c>
      <c r="BE25" s="450" t="str">
        <f>'LUCERO SAN TELMO 2'!$BI29</f>
        <v/>
      </c>
      <c r="BF25" s="451" t="str">
        <f>RESERVA!$AO29</f>
        <v/>
      </c>
      <c r="BG25" s="447" t="str">
        <f>RESERVA!$AN29</f>
        <v/>
      </c>
      <c r="BH25" s="448" t="str">
        <f>RESERVA!$AX29</f>
        <v/>
      </c>
      <c r="BI25" s="449" t="str">
        <f>RESERVA!$AZ29</f>
        <v/>
      </c>
      <c r="BJ25" s="449" t="str">
        <f>RESERVA!$BB29</f>
        <v/>
      </c>
      <c r="BK25" s="449" t="str">
        <f>RESERVA!$BD29</f>
        <v/>
      </c>
      <c r="BL25" s="449" t="str">
        <f>RESERVA!$AV29</f>
        <v/>
      </c>
      <c r="BM25" s="450" t="str">
        <f>RESERVA!$BF29</f>
        <v/>
      </c>
      <c r="BN25" s="451" t="str">
        <f>'LUCERO FLORIDA'!$AR29</f>
        <v/>
      </c>
      <c r="BO25" s="447">
        <f>'LUCERO FLORIDA'!$AQ29</f>
        <v>305000</v>
      </c>
      <c r="BP25" s="448">
        <f>'LUCERO FLORIDA'!$BA29</f>
        <v>20</v>
      </c>
      <c r="BQ25" s="449">
        <f>'LUCERO FLORIDA'!$BC29</f>
        <v>100</v>
      </c>
      <c r="BR25" s="449" t="str">
        <f>'LUCERO FLORIDA'!$BE29</f>
        <v/>
      </c>
      <c r="BS25" s="449" t="str">
        <f>'LUCERO FLORIDA'!$BG29</f>
        <v/>
      </c>
      <c r="BT25" s="449" t="str">
        <f>'LUCERO FLORIDA'!$AY29</f>
        <v/>
      </c>
      <c r="BU25" s="450" t="str">
        <f>'LUCERO FLORIDA'!$BI29</f>
        <v/>
      </c>
      <c r="BV25" s="451" t="str">
        <f>'LUCERO GUEMES'!$AR29</f>
        <v/>
      </c>
      <c r="BW25" s="447">
        <f>'LUCERO GUEMES'!$AQ29</f>
        <v>0</v>
      </c>
      <c r="BX25" s="448" t="str">
        <f>'LUCERO GUEMES'!$BA29</f>
        <v/>
      </c>
      <c r="BY25" s="449" t="str">
        <f>'LUCERO GUEMES'!$BC29</f>
        <v/>
      </c>
      <c r="BZ25" s="449" t="str">
        <f>'LUCERO GUEMES'!$BE29</f>
        <v/>
      </c>
      <c r="CA25" s="449" t="str">
        <f>'LUCERO GUEMES'!$BG29</f>
        <v/>
      </c>
      <c r="CB25" s="449" t="str">
        <f>'LUCERO GUEMES'!$AY29</f>
        <v/>
      </c>
      <c r="CC25" s="450" t="str">
        <f>'LUCERO GUEMES'!$BI29</f>
        <v/>
      </c>
      <c r="CD25" s="451" t="str">
        <f>'LUCERO EL SOLAR'!AR29</f>
        <v/>
      </c>
      <c r="CE25" s="447">
        <f>'LUCERO EL SOLAR'!$AQ29</f>
        <v>25000</v>
      </c>
      <c r="CF25" s="448" t="str">
        <f>'LUCERO EL SOLAR'!$BA29</f>
        <v/>
      </c>
      <c r="CG25" s="449" t="str">
        <f>'LUCERO EL SOLAR'!$BC29</f>
        <v/>
      </c>
      <c r="CH25" s="449" t="str">
        <f>'LUCERO EL SOLAR'!$BE29</f>
        <v/>
      </c>
      <c r="CI25" s="449" t="str">
        <f>'LUCERO EL SOLAR'!$BG29</f>
        <v/>
      </c>
      <c r="CJ25" s="449" t="str">
        <f>'LUCERO EL SOLAR'!$AY29</f>
        <v/>
      </c>
      <c r="CK25" s="450" t="str">
        <f>'LUCERO EL SOLAR'!$BI29</f>
        <v/>
      </c>
      <c r="CL25" s="451" t="str">
        <f>'LUCERO GUEMES 2'!$AS29</f>
        <v/>
      </c>
      <c r="CM25" s="447">
        <f>'LUCERO GUEMES 2'!$AQ29</f>
        <v>40000</v>
      </c>
      <c r="CN25" s="448">
        <f>'LUCERO GUEMES 2'!$BB29</f>
        <v>0</v>
      </c>
      <c r="CO25" s="449">
        <f>'LUCERO GUEMES 2'!$BD29</f>
        <v>0</v>
      </c>
      <c r="CP25" s="449">
        <f>'LUCERO GUEMES 2'!$BF29</f>
        <v>0</v>
      </c>
      <c r="CQ25" s="449">
        <f>'LUCERO GUEMES 2'!$BH29</f>
        <v>0</v>
      </c>
      <c r="CR25" s="449">
        <f>'LUCERO GUEMES 2'!$AZ29</f>
        <v>0</v>
      </c>
      <c r="CS25" s="450">
        <f>'LUCERO GUEMES 2'!$BJ29</f>
        <v>0</v>
      </c>
    </row>
    <row r="26">
      <c r="A26" s="454">
        <f>+'LUCERO GUEMES'!A30</f>
        <v>46164</v>
      </c>
      <c r="B26" s="446" t="str">
        <f>'AS SAN TELMO'!AR30</f>
        <v/>
      </c>
      <c r="C26" s="447">
        <f>'AS SAN TELMO'!AQ30</f>
        <v>141800</v>
      </c>
      <c r="D26" s="448" t="str">
        <f>'AS SAN TELMO'!BA30</f>
        <v/>
      </c>
      <c r="E26" s="449" t="str">
        <f>'AS SAN TELMO'!BC30</f>
        <v/>
      </c>
      <c r="F26" s="449" t="str">
        <f>'AS SAN TELMO'!BE30</f>
        <v/>
      </c>
      <c r="G26" s="449" t="str">
        <f>'AS SAN TELMO'!BG30</f>
        <v/>
      </c>
      <c r="H26" s="449" t="str">
        <f>'AS SAN TELMO'!AY30</f>
        <v/>
      </c>
      <c r="I26" s="450" t="str">
        <f>'AS SAN TELMO'!BI30</f>
        <v/>
      </c>
      <c r="J26" s="451" t="str">
        <f>'LUCERO SAN TELMO'!$AR30</f>
        <v/>
      </c>
      <c r="K26" s="447">
        <f>'LUCERO SAN TELMO'!$AQ30</f>
        <v>140000</v>
      </c>
      <c r="L26" s="448" t="str">
        <f>'LUCERO SAN TELMO'!$BA30</f>
        <v/>
      </c>
      <c r="M26" s="449" t="str">
        <f>'LUCERO SAN TELMO'!$BC30</f>
        <v/>
      </c>
      <c r="N26" s="449" t="str">
        <f>'LUCERO SAN TELMO'!$BE30</f>
        <v/>
      </c>
      <c r="O26" s="449" t="str">
        <f>'LUCERO SAN TELMO'!$BG30</f>
        <v/>
      </c>
      <c r="P26" s="449" t="str">
        <f>'LUCERO SAN TELMO'!$AY30</f>
        <v/>
      </c>
      <c r="Q26" s="450" t="str">
        <f>'LUCERO SAN TELMO'!$BI30</f>
        <v/>
      </c>
      <c r="R26" s="451" t="str">
        <f>'AS GUEMES'!$AR30</f>
        <v/>
      </c>
      <c r="S26" s="447" t="str">
        <f>'AS GUEMES'!$AQ30</f>
        <v/>
      </c>
      <c r="T26" s="448" t="str">
        <f>'AS GUEMES'!$BA30</f>
        <v/>
      </c>
      <c r="U26" s="449" t="str">
        <f>'AS GUEMES'!$BC30</f>
        <v/>
      </c>
      <c r="V26" s="449" t="str">
        <f>'AS GUEMES'!$BE30</f>
        <v/>
      </c>
      <c r="W26" s="449" t="str">
        <f>'AS GUEMES'!$BG30</f>
        <v/>
      </c>
      <c r="X26" s="449" t="str">
        <f>'AS GUEMES'!$AY30</f>
        <v/>
      </c>
      <c r="Y26" s="450" t="str">
        <f>'AS GUEMES'!$BI30</f>
        <v/>
      </c>
      <c r="Z26" s="451" t="str">
        <f>'LUCERO RECOLETA'!$AR30</f>
        <v/>
      </c>
      <c r="AA26" s="447">
        <f>'LUCERO RECOLETA'!$AQ30</f>
        <v>100000</v>
      </c>
      <c r="AB26" s="448" t="str">
        <f>'LUCERO RECOLETA'!$BA30</f>
        <v/>
      </c>
      <c r="AC26" s="449" t="str">
        <f>'LUCERO RECOLETA'!$BC30</f>
        <v/>
      </c>
      <c r="AD26" s="449" t="str">
        <f>'LUCERO RECOLETA'!$BE30</f>
        <v/>
      </c>
      <c r="AE26" s="449" t="str">
        <f>'LUCERO RECOLETA'!$BG30</f>
        <v/>
      </c>
      <c r="AF26" s="449" t="str">
        <f>'LUCERO RECOLETA'!$AY30</f>
        <v/>
      </c>
      <c r="AG26" s="450" t="str">
        <f>'LUCERO RECOLETA'!$BI30</f>
        <v/>
      </c>
      <c r="AH26" s="451">
        <v>0.0</v>
      </c>
      <c r="AI26" s="447">
        <v>0.0</v>
      </c>
      <c r="AJ26" s="448">
        <v>0.0</v>
      </c>
      <c r="AK26" s="449">
        <v>0.0</v>
      </c>
      <c r="AL26" s="449">
        <v>0.0</v>
      </c>
      <c r="AM26" s="449">
        <v>0.0</v>
      </c>
      <c r="AN26" s="449">
        <v>0.0</v>
      </c>
      <c r="AO26" s="450">
        <v>0.0</v>
      </c>
      <c r="AP26" s="451" t="str">
        <f>'LUCERO FRENCH'!$AR30</f>
        <v/>
      </c>
      <c r="AQ26" s="447">
        <f>'LUCERO FRENCH'!$AQ30</f>
        <v>0</v>
      </c>
      <c r="AR26" s="448" t="str">
        <f>'LUCERO FRENCH'!$BA30</f>
        <v/>
      </c>
      <c r="AS26" s="449" t="str">
        <f>'LUCERO FRENCH'!$BC30</f>
        <v/>
      </c>
      <c r="AT26" s="449" t="str">
        <f>'LUCERO FRENCH'!$BE30</f>
        <v/>
      </c>
      <c r="AU26" s="449" t="str">
        <f>'LUCERO FRENCH'!$BG30</f>
        <v/>
      </c>
      <c r="AV26" s="449" t="str">
        <f>'LUCERO FRENCH'!$AY30</f>
        <v/>
      </c>
      <c r="AW26" s="450" t="str">
        <f>'LUCERO FRENCH'!$BI30</f>
        <v/>
      </c>
      <c r="AX26" s="451" t="str">
        <f>'LUCERO SAN TELMO 2'!$AR30</f>
        <v/>
      </c>
      <c r="AY26" s="447" t="str">
        <f>'LUCERO SAN TELMO 2'!$AQ30</f>
        <v/>
      </c>
      <c r="AZ26" s="448" t="str">
        <f>'LUCERO SAN TELMO 2'!$BA30</f>
        <v/>
      </c>
      <c r="BA26" s="449" t="str">
        <f>'LUCERO SAN TELMO 2'!$BC30</f>
        <v/>
      </c>
      <c r="BB26" s="449" t="str">
        <f>'LUCERO SAN TELMO 2'!$BE30</f>
        <v/>
      </c>
      <c r="BC26" s="449" t="str">
        <f>'LUCERO SAN TELMO 2'!$BG30</f>
        <v/>
      </c>
      <c r="BD26" s="449" t="str">
        <f>'LUCERO SAN TELMO 2'!$AY30</f>
        <v/>
      </c>
      <c r="BE26" s="450" t="str">
        <f>'LUCERO SAN TELMO 2'!$BI30</f>
        <v/>
      </c>
      <c r="BF26" s="451" t="str">
        <f>RESERVA!$AO30</f>
        <v/>
      </c>
      <c r="BG26" s="447" t="str">
        <f>RESERVA!$AN30</f>
        <v/>
      </c>
      <c r="BH26" s="448" t="str">
        <f>RESERVA!$AX30</f>
        <v/>
      </c>
      <c r="BI26" s="449" t="str">
        <f>RESERVA!$AZ30</f>
        <v/>
      </c>
      <c r="BJ26" s="449" t="str">
        <f>RESERVA!$BB30</f>
        <v/>
      </c>
      <c r="BK26" s="449" t="str">
        <f>RESERVA!$BD30</f>
        <v/>
      </c>
      <c r="BL26" s="449" t="str">
        <f>RESERVA!$AV30</f>
        <v/>
      </c>
      <c r="BM26" s="450" t="str">
        <f>RESERVA!$BF30</f>
        <v/>
      </c>
      <c r="BN26" s="451" t="str">
        <f>'LUCERO FLORIDA'!$AR30</f>
        <v/>
      </c>
      <c r="BO26" s="447">
        <f>'LUCERO FLORIDA'!$AQ30</f>
        <v>370000</v>
      </c>
      <c r="BP26" s="448">
        <f>'LUCERO FLORIDA'!$BA30</f>
        <v>220</v>
      </c>
      <c r="BQ26" s="449" t="str">
        <f>'LUCERO FLORIDA'!$BC30</f>
        <v/>
      </c>
      <c r="BR26" s="449" t="str">
        <f>'LUCERO FLORIDA'!$BE30</f>
        <v/>
      </c>
      <c r="BS26" s="449" t="str">
        <f>'LUCERO FLORIDA'!$BG30</f>
        <v/>
      </c>
      <c r="BT26" s="449">
        <f>'LUCERO FLORIDA'!$AY30</f>
        <v>100</v>
      </c>
      <c r="BU26" s="450" t="str">
        <f>'LUCERO FLORIDA'!$BI30</f>
        <v/>
      </c>
      <c r="BV26" s="451" t="str">
        <f>'LUCERO GUEMES'!$AR30</f>
        <v/>
      </c>
      <c r="BW26" s="447">
        <f>'LUCERO GUEMES'!$AQ30</f>
        <v>0</v>
      </c>
      <c r="BX26" s="448" t="str">
        <f>'LUCERO GUEMES'!$BA30</f>
        <v/>
      </c>
      <c r="BY26" s="449" t="str">
        <f>'LUCERO GUEMES'!$BC30</f>
        <v/>
      </c>
      <c r="BZ26" s="449" t="str">
        <f>'LUCERO GUEMES'!$BE30</f>
        <v/>
      </c>
      <c r="CA26" s="449" t="str">
        <f>'LUCERO GUEMES'!$BG30</f>
        <v/>
      </c>
      <c r="CB26" s="449" t="str">
        <f>'LUCERO GUEMES'!$AY30</f>
        <v/>
      </c>
      <c r="CC26" s="450" t="str">
        <f>'LUCERO GUEMES'!$BI30</f>
        <v/>
      </c>
      <c r="CD26" s="451" t="str">
        <f>'LUCERO EL SOLAR'!AR30</f>
        <v/>
      </c>
      <c r="CE26" s="447">
        <f>'LUCERO EL SOLAR'!$AQ30</f>
        <v>0</v>
      </c>
      <c r="CF26" s="448" t="str">
        <f>'LUCERO EL SOLAR'!$BA30</f>
        <v/>
      </c>
      <c r="CG26" s="449" t="str">
        <f>'LUCERO EL SOLAR'!$BC30</f>
        <v/>
      </c>
      <c r="CH26" s="449" t="str">
        <f>'LUCERO EL SOLAR'!$BE30</f>
        <v/>
      </c>
      <c r="CI26" s="449" t="str">
        <f>'LUCERO EL SOLAR'!$BG30</f>
        <v/>
      </c>
      <c r="CJ26" s="449" t="str">
        <f>'LUCERO EL SOLAR'!$AY30</f>
        <v/>
      </c>
      <c r="CK26" s="450" t="str">
        <f>'LUCERO EL SOLAR'!$BI30</f>
        <v/>
      </c>
      <c r="CL26" s="451" t="str">
        <f>'LUCERO GUEMES 2'!$AS30</f>
        <v/>
      </c>
      <c r="CM26" s="447">
        <f>'LUCERO GUEMES 2'!$AQ30</f>
        <v>0</v>
      </c>
      <c r="CN26" s="448">
        <f>'LUCERO GUEMES 2'!$BB30</f>
        <v>0</v>
      </c>
      <c r="CO26" s="449">
        <f>'LUCERO GUEMES 2'!$BD30</f>
        <v>0</v>
      </c>
      <c r="CP26" s="449">
        <f>'LUCERO GUEMES 2'!$BF30</f>
        <v>0</v>
      </c>
      <c r="CQ26" s="449">
        <f>'LUCERO GUEMES 2'!$BH30</f>
        <v>0</v>
      </c>
      <c r="CR26" s="449">
        <f>'LUCERO GUEMES 2'!$AZ30</f>
        <v>0</v>
      </c>
      <c r="CS26" s="450">
        <f>'LUCERO GUEMES 2'!$BJ30</f>
        <v>0</v>
      </c>
    </row>
    <row r="27">
      <c r="A27" s="454">
        <f>+'LUCERO GUEMES'!A31</f>
        <v>46165</v>
      </c>
      <c r="B27" s="446" t="str">
        <f>'AS SAN TELMO'!AR31</f>
        <v/>
      </c>
      <c r="C27" s="447">
        <f>'AS SAN TELMO'!AQ31</f>
        <v>426400</v>
      </c>
      <c r="D27" s="448" t="str">
        <f>'AS SAN TELMO'!BA31</f>
        <v/>
      </c>
      <c r="E27" s="449" t="str">
        <f>'AS SAN TELMO'!BC31</f>
        <v/>
      </c>
      <c r="F27" s="449" t="str">
        <f>'AS SAN TELMO'!BE31</f>
        <v/>
      </c>
      <c r="G27" s="449" t="str">
        <f>'AS SAN TELMO'!BG31</f>
        <v/>
      </c>
      <c r="H27" s="449" t="str">
        <f>'AS SAN TELMO'!AY31</f>
        <v/>
      </c>
      <c r="I27" s="450" t="str">
        <f>'AS SAN TELMO'!BI31</f>
        <v/>
      </c>
      <c r="J27" s="451" t="str">
        <f>'LUCERO SAN TELMO'!$AR31</f>
        <v/>
      </c>
      <c r="K27" s="447">
        <f>'LUCERO SAN TELMO'!$AQ31</f>
        <v>5000</v>
      </c>
      <c r="L27" s="448" t="str">
        <f>'LUCERO SAN TELMO'!$BA31</f>
        <v/>
      </c>
      <c r="M27" s="449" t="str">
        <f>'LUCERO SAN TELMO'!$BC31</f>
        <v/>
      </c>
      <c r="N27" s="449" t="str">
        <f>'LUCERO SAN TELMO'!$BE31</f>
        <v/>
      </c>
      <c r="O27" s="449" t="str">
        <f>'LUCERO SAN TELMO'!$BG31</f>
        <v/>
      </c>
      <c r="P27" s="449" t="str">
        <f>'LUCERO SAN TELMO'!$AY31</f>
        <v/>
      </c>
      <c r="Q27" s="450" t="str">
        <f>'LUCERO SAN TELMO'!$BI31</f>
        <v/>
      </c>
      <c r="R27" s="451" t="str">
        <f>'AS GUEMES'!$AR31</f>
        <v/>
      </c>
      <c r="S27" s="447" t="str">
        <f>'AS GUEMES'!$AQ31</f>
        <v/>
      </c>
      <c r="T27" s="448" t="str">
        <f>'AS GUEMES'!$BA31</f>
        <v/>
      </c>
      <c r="U27" s="449" t="str">
        <f>'AS GUEMES'!$BC31</f>
        <v/>
      </c>
      <c r="V27" s="449" t="str">
        <f>'AS GUEMES'!$BE31</f>
        <v/>
      </c>
      <c r="W27" s="449" t="str">
        <f>'AS GUEMES'!$BG31</f>
        <v/>
      </c>
      <c r="X27" s="449" t="str">
        <f>'AS GUEMES'!$AY31</f>
        <v/>
      </c>
      <c r="Y27" s="450" t="str">
        <f>'AS GUEMES'!$BI31</f>
        <v/>
      </c>
      <c r="Z27" s="451" t="str">
        <f>'LUCERO RECOLETA'!$AR31</f>
        <v/>
      </c>
      <c r="AA27" s="447">
        <f>'LUCERO RECOLETA'!$AQ31</f>
        <v>30000</v>
      </c>
      <c r="AB27" s="448" t="str">
        <f>'LUCERO RECOLETA'!$BA31</f>
        <v/>
      </c>
      <c r="AC27" s="449" t="str">
        <f>'LUCERO RECOLETA'!$BC31</f>
        <v/>
      </c>
      <c r="AD27" s="449" t="str">
        <f>'LUCERO RECOLETA'!$BE31</f>
        <v/>
      </c>
      <c r="AE27" s="449" t="str">
        <f>'LUCERO RECOLETA'!$BG31</f>
        <v/>
      </c>
      <c r="AF27" s="449" t="str">
        <f>'LUCERO RECOLETA'!$AY31</f>
        <v/>
      </c>
      <c r="AG27" s="450" t="str">
        <f>'LUCERO RECOLETA'!$BI31</f>
        <v/>
      </c>
      <c r="AH27" s="451">
        <v>0.0</v>
      </c>
      <c r="AI27" s="447">
        <v>0.0</v>
      </c>
      <c r="AJ27" s="448">
        <v>0.0</v>
      </c>
      <c r="AK27" s="449">
        <v>0.0</v>
      </c>
      <c r="AL27" s="449">
        <v>0.0</v>
      </c>
      <c r="AM27" s="449">
        <v>0.0</v>
      </c>
      <c r="AN27" s="449">
        <v>0.0</v>
      </c>
      <c r="AO27" s="450">
        <v>0.0</v>
      </c>
      <c r="AP27" s="451" t="str">
        <f>'LUCERO FRENCH'!$AR31</f>
        <v/>
      </c>
      <c r="AQ27" s="447">
        <f>'LUCERO FRENCH'!$AQ31</f>
        <v>0</v>
      </c>
      <c r="AR27" s="448">
        <f>'LUCERO FRENCH'!$BA31</f>
        <v>70</v>
      </c>
      <c r="AS27" s="449" t="str">
        <f>'LUCERO FRENCH'!$BC31</f>
        <v/>
      </c>
      <c r="AT27" s="449" t="str">
        <f>'LUCERO FRENCH'!$BE31</f>
        <v/>
      </c>
      <c r="AU27" s="449" t="str">
        <f>'LUCERO FRENCH'!$BG31</f>
        <v/>
      </c>
      <c r="AV27" s="449" t="str">
        <f>'LUCERO FRENCH'!$AY31</f>
        <v/>
      </c>
      <c r="AW27" s="450" t="str">
        <f>'LUCERO FRENCH'!$BI31</f>
        <v/>
      </c>
      <c r="AX27" s="451" t="str">
        <f>'LUCERO SAN TELMO 2'!$AR31</f>
        <v/>
      </c>
      <c r="AY27" s="447">
        <f>'LUCERO SAN TELMO 2'!$AQ31</f>
        <v>0</v>
      </c>
      <c r="AZ27" s="448" t="str">
        <f>'LUCERO SAN TELMO 2'!$BA31</f>
        <v/>
      </c>
      <c r="BA27" s="449" t="str">
        <f>'LUCERO SAN TELMO 2'!$BC31</f>
        <v/>
      </c>
      <c r="BB27" s="449" t="str">
        <f>'LUCERO SAN TELMO 2'!$BE31</f>
        <v/>
      </c>
      <c r="BC27" s="449" t="str">
        <f>'LUCERO SAN TELMO 2'!$BG31</f>
        <v/>
      </c>
      <c r="BD27" s="449" t="str">
        <f>'LUCERO SAN TELMO 2'!$AY31</f>
        <v/>
      </c>
      <c r="BE27" s="450" t="str">
        <f>'LUCERO SAN TELMO 2'!$BI31</f>
        <v/>
      </c>
      <c r="BF27" s="451" t="str">
        <f>RESERVA!$AO31</f>
        <v/>
      </c>
      <c r="BG27" s="447" t="str">
        <f>RESERVA!$AN31</f>
        <v/>
      </c>
      <c r="BH27" s="448" t="str">
        <f>RESERVA!$AX31</f>
        <v/>
      </c>
      <c r="BI27" s="449" t="str">
        <f>RESERVA!$AZ31</f>
        <v/>
      </c>
      <c r="BJ27" s="449" t="str">
        <f>RESERVA!$BB31</f>
        <v/>
      </c>
      <c r="BK27" s="449" t="str">
        <f>RESERVA!$BD31</f>
        <v/>
      </c>
      <c r="BL27" s="449" t="str">
        <f>RESERVA!$AV31</f>
        <v/>
      </c>
      <c r="BM27" s="450" t="str">
        <f>RESERVA!$BF31</f>
        <v/>
      </c>
      <c r="BN27" s="451" t="str">
        <f>'LUCERO FLORIDA'!$AR31</f>
        <v/>
      </c>
      <c r="BO27" s="447">
        <f>'LUCERO FLORIDA'!$AQ31</f>
        <v>20000</v>
      </c>
      <c r="BP27" s="448" t="str">
        <f>'LUCERO FLORIDA'!$BA31</f>
        <v/>
      </c>
      <c r="BQ27" s="449" t="str">
        <f>'LUCERO FLORIDA'!$BC31</f>
        <v/>
      </c>
      <c r="BR27" s="449" t="str">
        <f>'LUCERO FLORIDA'!$BE31</f>
        <v/>
      </c>
      <c r="BS27" s="449" t="str">
        <f>'LUCERO FLORIDA'!$BG31</f>
        <v/>
      </c>
      <c r="BT27" s="449">
        <f>'LUCERO FLORIDA'!$AY31</f>
        <v>300</v>
      </c>
      <c r="BU27" s="450" t="str">
        <f>'LUCERO FLORIDA'!$BI31</f>
        <v/>
      </c>
      <c r="BV27" s="451" t="str">
        <f>'LUCERO GUEMES'!$AR31</f>
        <v/>
      </c>
      <c r="BW27" s="447" t="str">
        <f>'LUCERO GUEMES'!$AQ31</f>
        <v/>
      </c>
      <c r="BX27" s="448" t="str">
        <f>'LUCERO GUEMES'!$BA31</f>
        <v/>
      </c>
      <c r="BY27" s="449" t="str">
        <f>'LUCERO GUEMES'!$BC31</f>
        <v/>
      </c>
      <c r="BZ27" s="449" t="str">
        <f>'LUCERO GUEMES'!$BE31</f>
        <v/>
      </c>
      <c r="CA27" s="449" t="str">
        <f>'LUCERO GUEMES'!$BG31</f>
        <v/>
      </c>
      <c r="CB27" s="449" t="str">
        <f>'LUCERO GUEMES'!$AY31</f>
        <v/>
      </c>
      <c r="CC27" s="450" t="str">
        <f>'LUCERO GUEMES'!$BI31</f>
        <v/>
      </c>
      <c r="CD27" s="451" t="str">
        <f>'LUCERO EL SOLAR'!AR31</f>
        <v/>
      </c>
      <c r="CE27" s="447">
        <f>'LUCERO EL SOLAR'!$AQ31</f>
        <v>90000</v>
      </c>
      <c r="CF27" s="448" t="str">
        <f>'LUCERO EL SOLAR'!$BA31</f>
        <v/>
      </c>
      <c r="CG27" s="449" t="str">
        <f>'LUCERO EL SOLAR'!$BC31</f>
        <v/>
      </c>
      <c r="CH27" s="449" t="str">
        <f>'LUCERO EL SOLAR'!$BE31</f>
        <v/>
      </c>
      <c r="CI27" s="449" t="str">
        <f>'LUCERO EL SOLAR'!$BG31</f>
        <v/>
      </c>
      <c r="CJ27" s="449" t="str">
        <f>'LUCERO EL SOLAR'!$AY31</f>
        <v/>
      </c>
      <c r="CK27" s="450" t="str">
        <f>'LUCERO EL SOLAR'!$BI31</f>
        <v/>
      </c>
      <c r="CL27" s="451" t="str">
        <f>'LUCERO GUEMES 2'!$AS31</f>
        <v/>
      </c>
      <c r="CM27" s="447" t="str">
        <f>'LUCERO GUEMES 2'!$AQ31</f>
        <v/>
      </c>
      <c r="CN27" s="448">
        <f>'LUCERO GUEMES 2'!$BB31</f>
        <v>0</v>
      </c>
      <c r="CO27" s="449">
        <f>'LUCERO GUEMES 2'!$BD31</f>
        <v>0</v>
      </c>
      <c r="CP27" s="449">
        <f>'LUCERO GUEMES 2'!$BF31</f>
        <v>0</v>
      </c>
      <c r="CQ27" s="449">
        <f>'LUCERO GUEMES 2'!$BH31</f>
        <v>0</v>
      </c>
      <c r="CR27" s="449">
        <f>'LUCERO GUEMES 2'!$AZ31</f>
        <v>0</v>
      </c>
      <c r="CS27" s="450">
        <f>'LUCERO GUEMES 2'!$BJ31</f>
        <v>0</v>
      </c>
    </row>
    <row r="28">
      <c r="A28" s="454">
        <f>+'LUCERO GUEMES'!A32</f>
        <v>46166</v>
      </c>
      <c r="B28" s="446" t="str">
        <f>'AS SAN TELMO'!AR32</f>
        <v/>
      </c>
      <c r="C28" s="447">
        <f>'AS SAN TELMO'!AQ32</f>
        <v>638400</v>
      </c>
      <c r="D28" s="448" t="str">
        <f>'AS SAN TELMO'!BA32</f>
        <v/>
      </c>
      <c r="E28" s="449" t="str">
        <f>'AS SAN TELMO'!BC32</f>
        <v/>
      </c>
      <c r="F28" s="449" t="str">
        <f>'AS SAN TELMO'!BE32</f>
        <v/>
      </c>
      <c r="G28" s="449" t="str">
        <f>'AS SAN TELMO'!BG32</f>
        <v/>
      </c>
      <c r="H28" s="449" t="str">
        <f>'AS SAN TELMO'!AY32</f>
        <v/>
      </c>
      <c r="I28" s="450" t="str">
        <f>'AS SAN TELMO'!BI32</f>
        <v/>
      </c>
      <c r="J28" s="451" t="str">
        <f>'LUCERO SAN TELMO'!$AR32</f>
        <v/>
      </c>
      <c r="K28" s="447">
        <f>'LUCERO SAN TELMO'!$AQ32</f>
        <v>100000</v>
      </c>
      <c r="L28" s="448" t="str">
        <f>'LUCERO SAN TELMO'!$BA32</f>
        <v/>
      </c>
      <c r="M28" s="449" t="str">
        <f>'LUCERO SAN TELMO'!$BC32</f>
        <v/>
      </c>
      <c r="N28" s="449" t="str">
        <f>'LUCERO SAN TELMO'!$BE32</f>
        <v/>
      </c>
      <c r="O28" s="449" t="str">
        <f>'LUCERO SAN TELMO'!$BG32</f>
        <v/>
      </c>
      <c r="P28" s="449" t="str">
        <f>'LUCERO SAN TELMO'!$AY32</f>
        <v/>
      </c>
      <c r="Q28" s="450" t="str">
        <f>'LUCERO SAN TELMO'!$BI32</f>
        <v/>
      </c>
      <c r="R28" s="451" t="str">
        <f>'AS GUEMES'!$AR32</f>
        <v/>
      </c>
      <c r="S28" s="447" t="str">
        <f>'AS GUEMES'!$AQ32</f>
        <v/>
      </c>
      <c r="T28" s="448" t="str">
        <f>'AS GUEMES'!$BA32</f>
        <v/>
      </c>
      <c r="U28" s="449" t="str">
        <f>'AS GUEMES'!$BC32</f>
        <v/>
      </c>
      <c r="V28" s="449" t="str">
        <f>'AS GUEMES'!$BE32</f>
        <v/>
      </c>
      <c r="W28" s="449" t="str">
        <f>'AS GUEMES'!$BG32</f>
        <v/>
      </c>
      <c r="X28" s="449" t="str">
        <f>'AS GUEMES'!$AY32</f>
        <v/>
      </c>
      <c r="Y28" s="450" t="str">
        <f>'AS GUEMES'!$BI32</f>
        <v/>
      </c>
      <c r="Z28" s="451" t="str">
        <f>'LUCERO RECOLETA'!$AR32</f>
        <v/>
      </c>
      <c r="AA28" s="447">
        <f>'LUCERO RECOLETA'!$AQ32</f>
        <v>70000</v>
      </c>
      <c r="AB28" s="448">
        <f>'LUCERO RECOLETA'!$BA32</f>
        <v>140</v>
      </c>
      <c r="AC28" s="449" t="str">
        <f>'LUCERO RECOLETA'!$BC32</f>
        <v/>
      </c>
      <c r="AD28" s="449" t="str">
        <f>'LUCERO RECOLETA'!$BE32</f>
        <v/>
      </c>
      <c r="AE28" s="449" t="str">
        <f>'LUCERO RECOLETA'!$BG32</f>
        <v/>
      </c>
      <c r="AF28" s="449" t="str">
        <f>'LUCERO RECOLETA'!$AY32</f>
        <v/>
      </c>
      <c r="AG28" s="450" t="str">
        <f>'LUCERO RECOLETA'!$BI32</f>
        <v/>
      </c>
      <c r="AH28" s="451">
        <v>0.0</v>
      </c>
      <c r="AI28" s="447">
        <v>0.0</v>
      </c>
      <c r="AJ28" s="448">
        <v>0.0</v>
      </c>
      <c r="AK28" s="449">
        <v>0.0</v>
      </c>
      <c r="AL28" s="449">
        <v>0.0</v>
      </c>
      <c r="AM28" s="449">
        <v>0.0</v>
      </c>
      <c r="AN28" s="449">
        <v>0.0</v>
      </c>
      <c r="AO28" s="450">
        <v>0.0</v>
      </c>
      <c r="AP28" s="451" t="str">
        <f>'LUCERO FRENCH'!$AR32</f>
        <v/>
      </c>
      <c r="AQ28" s="447">
        <f>'LUCERO FRENCH'!$AQ32</f>
        <v>120000</v>
      </c>
      <c r="AR28" s="448">
        <f>'LUCERO FRENCH'!$BA32</f>
        <v>160</v>
      </c>
      <c r="AS28" s="449" t="str">
        <f>'LUCERO FRENCH'!$BC32</f>
        <v/>
      </c>
      <c r="AT28" s="449" t="str">
        <f>'LUCERO FRENCH'!$BE32</f>
        <v/>
      </c>
      <c r="AU28" s="449" t="str">
        <f>'LUCERO FRENCH'!$BG32</f>
        <v/>
      </c>
      <c r="AV28" s="449" t="str">
        <f>'LUCERO FRENCH'!$AY32</f>
        <v/>
      </c>
      <c r="AW28" s="450" t="str">
        <f>'LUCERO FRENCH'!$BI32</f>
        <v/>
      </c>
      <c r="AX28" s="451" t="str">
        <f>'LUCERO SAN TELMO 2'!$AR32</f>
        <v/>
      </c>
      <c r="AY28" s="447">
        <f>'LUCERO SAN TELMO 2'!$AQ32</f>
        <v>28000</v>
      </c>
      <c r="AZ28" s="448" t="str">
        <f>'LUCERO SAN TELMO 2'!$BA32</f>
        <v/>
      </c>
      <c r="BA28" s="449" t="str">
        <f>'LUCERO SAN TELMO 2'!$BC32</f>
        <v/>
      </c>
      <c r="BB28" s="449" t="str">
        <f>'LUCERO SAN TELMO 2'!$BE32</f>
        <v/>
      </c>
      <c r="BC28" s="449" t="str">
        <f>'LUCERO SAN TELMO 2'!$BG32</f>
        <v/>
      </c>
      <c r="BD28" s="449" t="str">
        <f>'LUCERO SAN TELMO 2'!$AY32</f>
        <v/>
      </c>
      <c r="BE28" s="450" t="str">
        <f>'LUCERO SAN TELMO 2'!$BI32</f>
        <v/>
      </c>
      <c r="BF28" s="451" t="str">
        <f>RESERVA!$AO32</f>
        <v/>
      </c>
      <c r="BG28" s="447" t="str">
        <f>RESERVA!$AN32</f>
        <v/>
      </c>
      <c r="BH28" s="448" t="str">
        <f>RESERVA!$AX32</f>
        <v/>
      </c>
      <c r="BI28" s="449" t="str">
        <f>RESERVA!$AZ32</f>
        <v/>
      </c>
      <c r="BJ28" s="449" t="str">
        <f>RESERVA!$BB32</f>
        <v/>
      </c>
      <c r="BK28" s="449" t="str">
        <f>RESERVA!$BD32</f>
        <v/>
      </c>
      <c r="BL28" s="449" t="str">
        <f>RESERVA!$AV32</f>
        <v/>
      </c>
      <c r="BM28" s="450" t="str">
        <f>RESERVA!$BF32</f>
        <v/>
      </c>
      <c r="BN28" s="451" t="str">
        <f>'LUCERO FLORIDA'!$AR32</f>
        <v/>
      </c>
      <c r="BO28" s="447">
        <f>'LUCERO FLORIDA'!$AQ32</f>
        <v>35000</v>
      </c>
      <c r="BP28" s="448">
        <f>'LUCERO FLORIDA'!$BA32</f>
        <v>285</v>
      </c>
      <c r="BQ28" s="449" t="str">
        <f>'LUCERO FLORIDA'!$BC32</f>
        <v/>
      </c>
      <c r="BR28" s="449" t="str">
        <f>'LUCERO FLORIDA'!$BE32</f>
        <v/>
      </c>
      <c r="BS28" s="449" t="str">
        <f>'LUCERO FLORIDA'!$BG32</f>
        <v/>
      </c>
      <c r="BT28" s="449" t="str">
        <f>'LUCERO FLORIDA'!$AY32</f>
        <v/>
      </c>
      <c r="BU28" s="450" t="str">
        <f>'LUCERO FLORIDA'!$BI32</f>
        <v/>
      </c>
      <c r="BV28" s="451" t="str">
        <f>'LUCERO GUEMES'!$AR32</f>
        <v/>
      </c>
      <c r="BW28" s="447" t="str">
        <f>'LUCERO GUEMES'!$AQ32</f>
        <v/>
      </c>
      <c r="BX28" s="448" t="str">
        <f>'LUCERO GUEMES'!$BA32</f>
        <v/>
      </c>
      <c r="BY28" s="449" t="str">
        <f>'LUCERO GUEMES'!$BC32</f>
        <v/>
      </c>
      <c r="BZ28" s="449" t="str">
        <f>'LUCERO GUEMES'!$BE32</f>
        <v/>
      </c>
      <c r="CA28" s="449" t="str">
        <f>'LUCERO GUEMES'!$BG32</f>
        <v/>
      </c>
      <c r="CB28" s="449" t="str">
        <f>'LUCERO GUEMES'!$AY32</f>
        <v/>
      </c>
      <c r="CC28" s="450" t="str">
        <f>'LUCERO GUEMES'!$BI32</f>
        <v/>
      </c>
      <c r="CD28" s="451" t="str">
        <f>'LUCERO EL SOLAR'!AR32</f>
        <v/>
      </c>
      <c r="CE28" s="447">
        <f>'LUCERO EL SOLAR'!$AQ32</f>
        <v>39000</v>
      </c>
      <c r="CF28" s="448" t="str">
        <f>'LUCERO EL SOLAR'!$BA32</f>
        <v/>
      </c>
      <c r="CG28" s="449" t="str">
        <f>'LUCERO EL SOLAR'!$BC32</f>
        <v/>
      </c>
      <c r="CH28" s="449" t="str">
        <f>'LUCERO EL SOLAR'!$BE32</f>
        <v/>
      </c>
      <c r="CI28" s="449" t="str">
        <f>'LUCERO EL SOLAR'!$BG32</f>
        <v/>
      </c>
      <c r="CJ28" s="449" t="str">
        <f>'LUCERO EL SOLAR'!$AY32</f>
        <v/>
      </c>
      <c r="CK28" s="450" t="str">
        <f>'LUCERO EL SOLAR'!$BI32</f>
        <v/>
      </c>
      <c r="CL28" s="451" t="str">
        <f>'LUCERO GUEMES 2'!$AS32</f>
        <v/>
      </c>
      <c r="CM28" s="447" t="str">
        <f>'LUCERO GUEMES 2'!$AQ32</f>
        <v/>
      </c>
      <c r="CN28" s="448">
        <f>'LUCERO GUEMES 2'!$BB32</f>
        <v>0</v>
      </c>
      <c r="CO28" s="449">
        <f>'LUCERO GUEMES 2'!$BD32</f>
        <v>0</v>
      </c>
      <c r="CP28" s="449">
        <f>'LUCERO GUEMES 2'!$BF32</f>
        <v>0</v>
      </c>
      <c r="CQ28" s="449">
        <f>'LUCERO GUEMES 2'!$BH32</f>
        <v>0</v>
      </c>
      <c r="CR28" s="449">
        <f>'LUCERO GUEMES 2'!$AZ32</f>
        <v>0</v>
      </c>
      <c r="CS28" s="450">
        <f>'LUCERO GUEMES 2'!$BJ32</f>
        <v>0</v>
      </c>
    </row>
    <row r="29">
      <c r="A29" s="454">
        <f>+'LUCERO GUEMES'!A33</f>
        <v>46167</v>
      </c>
      <c r="B29" s="446" t="str">
        <f>'AS SAN TELMO'!AR33</f>
        <v/>
      </c>
      <c r="C29" s="447">
        <f>'AS SAN TELMO'!AQ33</f>
        <v>272300</v>
      </c>
      <c r="D29" s="448" t="str">
        <f>'AS SAN TELMO'!BA33</f>
        <v/>
      </c>
      <c r="E29" s="449" t="str">
        <f>'AS SAN TELMO'!BC33</f>
        <v/>
      </c>
      <c r="F29" s="449" t="str">
        <f>'AS SAN TELMO'!BE33</f>
        <v/>
      </c>
      <c r="G29" s="449" t="str">
        <f>'AS SAN TELMO'!BG33</f>
        <v/>
      </c>
      <c r="H29" s="449" t="str">
        <f>'AS SAN TELMO'!AY33</f>
        <v/>
      </c>
      <c r="I29" s="450" t="str">
        <f>'AS SAN TELMO'!BI33</f>
        <v/>
      </c>
      <c r="J29" s="451" t="str">
        <f>'LUCERO SAN TELMO'!$AR33</f>
        <v/>
      </c>
      <c r="K29" s="447">
        <f>'LUCERO SAN TELMO'!$AQ33</f>
        <v>20000</v>
      </c>
      <c r="L29" s="448" t="str">
        <f>'LUCERO SAN TELMO'!$BA33</f>
        <v/>
      </c>
      <c r="M29" s="449" t="str">
        <f>'LUCERO SAN TELMO'!$BC33</f>
        <v/>
      </c>
      <c r="N29" s="449" t="str">
        <f>'LUCERO SAN TELMO'!$BE33</f>
        <v/>
      </c>
      <c r="O29" s="449" t="str">
        <f>'LUCERO SAN TELMO'!$BG33</f>
        <v/>
      </c>
      <c r="P29" s="449" t="str">
        <f>'LUCERO SAN TELMO'!$AY33</f>
        <v/>
      </c>
      <c r="Q29" s="450" t="str">
        <f>'LUCERO SAN TELMO'!$BI33</f>
        <v/>
      </c>
      <c r="R29" s="451" t="str">
        <f>'AS GUEMES'!$AR33</f>
        <v/>
      </c>
      <c r="S29" s="447" t="str">
        <f>'AS GUEMES'!$AQ33</f>
        <v/>
      </c>
      <c r="T29" s="448" t="str">
        <f>'AS GUEMES'!$BA33</f>
        <v/>
      </c>
      <c r="U29" s="449" t="str">
        <f>'AS GUEMES'!$BC33</f>
        <v/>
      </c>
      <c r="V29" s="449" t="str">
        <f>'AS GUEMES'!$BE33</f>
        <v/>
      </c>
      <c r="W29" s="449" t="str">
        <f>'AS GUEMES'!$BG33</f>
        <v/>
      </c>
      <c r="X29" s="449" t="str">
        <f>'AS GUEMES'!$AY33</f>
        <v/>
      </c>
      <c r="Y29" s="450" t="str">
        <f>'AS GUEMES'!$BI33</f>
        <v/>
      </c>
      <c r="Z29" s="451" t="str">
        <f>'LUCERO RECOLETA'!$AR33</f>
        <v/>
      </c>
      <c r="AA29" s="455">
        <f>'LUCERO RECOLETA'!$AQ33</f>
        <v>0</v>
      </c>
      <c r="AB29" s="448">
        <f>'LUCERO RECOLETA'!$BA33</f>
        <v>100</v>
      </c>
      <c r="AC29" s="449" t="str">
        <f>'LUCERO RECOLETA'!$BC33</f>
        <v/>
      </c>
      <c r="AD29" s="449" t="str">
        <f>'LUCERO RECOLETA'!$BE33</f>
        <v/>
      </c>
      <c r="AE29" s="449" t="str">
        <f>'LUCERO RECOLETA'!$BG33</f>
        <v/>
      </c>
      <c r="AF29" s="449" t="str">
        <f>'LUCERO RECOLETA'!$AY33</f>
        <v/>
      </c>
      <c r="AG29" s="450" t="str">
        <f>'LUCERO RECOLETA'!$BI33</f>
        <v/>
      </c>
      <c r="AH29" s="451">
        <v>0.0</v>
      </c>
      <c r="AI29" s="447">
        <v>0.0</v>
      </c>
      <c r="AJ29" s="448">
        <v>0.0</v>
      </c>
      <c r="AK29" s="449">
        <v>0.0</v>
      </c>
      <c r="AL29" s="449">
        <v>0.0</v>
      </c>
      <c r="AM29" s="449">
        <v>0.0</v>
      </c>
      <c r="AN29" s="449">
        <v>0.0</v>
      </c>
      <c r="AO29" s="450">
        <v>0.0</v>
      </c>
      <c r="AP29" s="451" t="str">
        <f>'LUCERO FRENCH'!$AR33</f>
        <v/>
      </c>
      <c r="AQ29" s="447">
        <f>'LUCERO FRENCH'!$AQ33</f>
        <v>40000</v>
      </c>
      <c r="AR29" s="448" t="str">
        <f>'LUCERO FRENCH'!$BA33</f>
        <v/>
      </c>
      <c r="AS29" s="449" t="str">
        <f>'LUCERO FRENCH'!$BC33</f>
        <v/>
      </c>
      <c r="AT29" s="449" t="str">
        <f>'LUCERO FRENCH'!$BE33</f>
        <v/>
      </c>
      <c r="AU29" s="449" t="str">
        <f>'LUCERO FRENCH'!$BG33</f>
        <v/>
      </c>
      <c r="AV29" s="449" t="str">
        <f>'LUCERO FRENCH'!$AY33</f>
        <v/>
      </c>
      <c r="AW29" s="450" t="str">
        <f>'LUCERO FRENCH'!$BI33</f>
        <v/>
      </c>
      <c r="AX29" s="451" t="str">
        <f>'LUCERO SAN TELMO 2'!$AR33</f>
        <v/>
      </c>
      <c r="AY29" s="447">
        <f>'LUCERO SAN TELMO 2'!$AQ33</f>
        <v>35000</v>
      </c>
      <c r="AZ29" s="448" t="str">
        <f>'LUCERO SAN TELMO 2'!$BA33</f>
        <v/>
      </c>
      <c r="BA29" s="449" t="str">
        <f>'LUCERO SAN TELMO 2'!$BC33</f>
        <v/>
      </c>
      <c r="BB29" s="449" t="str">
        <f>'LUCERO SAN TELMO 2'!$BE33</f>
        <v/>
      </c>
      <c r="BC29" s="449" t="str">
        <f>'LUCERO SAN TELMO 2'!$BG33</f>
        <v/>
      </c>
      <c r="BD29" s="449" t="str">
        <f>'LUCERO SAN TELMO 2'!$AY33</f>
        <v/>
      </c>
      <c r="BE29" s="450" t="str">
        <f>'LUCERO SAN TELMO 2'!$BI33</f>
        <v/>
      </c>
      <c r="BF29" s="451" t="str">
        <f>RESERVA!$AO33</f>
        <v/>
      </c>
      <c r="BG29" s="447" t="str">
        <f>RESERVA!$AN33</f>
        <v/>
      </c>
      <c r="BH29" s="448" t="str">
        <f>RESERVA!$AX33</f>
        <v/>
      </c>
      <c r="BI29" s="449" t="str">
        <f>RESERVA!$AZ33</f>
        <v/>
      </c>
      <c r="BJ29" s="449" t="str">
        <f>RESERVA!$BB33</f>
        <v/>
      </c>
      <c r="BK29" s="449" t="str">
        <f>RESERVA!$BD33</f>
        <v/>
      </c>
      <c r="BL29" s="449" t="str">
        <f>RESERVA!$AV33</f>
        <v/>
      </c>
      <c r="BM29" s="450" t="str">
        <f>RESERVA!$BF33</f>
        <v/>
      </c>
      <c r="BN29" s="451" t="str">
        <f>'LUCERO FLORIDA'!$AR33</f>
        <v/>
      </c>
      <c r="BO29" s="455">
        <f>'LUCERO FLORIDA'!$AQ33</f>
        <v>160000</v>
      </c>
      <c r="BP29" s="448" t="str">
        <f>'LUCERO FLORIDA'!$BA33</f>
        <v/>
      </c>
      <c r="BQ29" s="449" t="str">
        <f>'LUCERO FLORIDA'!$BC33</f>
        <v/>
      </c>
      <c r="BR29" s="449" t="str">
        <f>'LUCERO FLORIDA'!$BE33</f>
        <v/>
      </c>
      <c r="BS29" s="449" t="str">
        <f>'LUCERO FLORIDA'!$BG33</f>
        <v/>
      </c>
      <c r="BT29" s="449" t="str">
        <f>'LUCERO FLORIDA'!$AY33</f>
        <v/>
      </c>
      <c r="BU29" s="450" t="str">
        <f>'LUCERO FLORIDA'!$BI33</f>
        <v/>
      </c>
      <c r="BV29" s="451" t="str">
        <f>'LUCERO GUEMES'!$AR33</f>
        <v/>
      </c>
      <c r="BW29" s="447" t="str">
        <f>'LUCERO GUEMES'!$AQ33</f>
        <v/>
      </c>
      <c r="BX29" s="448" t="str">
        <f>'LUCERO GUEMES'!$BA33</f>
        <v/>
      </c>
      <c r="BY29" s="449" t="str">
        <f>'LUCERO GUEMES'!$BC33</f>
        <v/>
      </c>
      <c r="BZ29" s="449" t="str">
        <f>'LUCERO GUEMES'!$BE33</f>
        <v/>
      </c>
      <c r="CA29" s="449" t="str">
        <f>'LUCERO GUEMES'!$BG33</f>
        <v/>
      </c>
      <c r="CB29" s="449" t="str">
        <f>'LUCERO GUEMES'!$AY33</f>
        <v/>
      </c>
      <c r="CC29" s="450" t="str">
        <f>'LUCERO GUEMES'!$BI33</f>
        <v/>
      </c>
      <c r="CD29" s="451" t="str">
        <f>'LUCERO EL SOLAR'!AR33</f>
        <v/>
      </c>
      <c r="CE29" s="455">
        <f>'LUCERO EL SOLAR'!$AQ33</f>
        <v>0</v>
      </c>
      <c r="CF29" s="448" t="str">
        <f>'LUCERO EL SOLAR'!$BA33</f>
        <v/>
      </c>
      <c r="CG29" s="449" t="str">
        <f>'LUCERO EL SOLAR'!$BC33</f>
        <v/>
      </c>
      <c r="CH29" s="449" t="str">
        <f>'LUCERO EL SOLAR'!$BE33</f>
        <v/>
      </c>
      <c r="CI29" s="449" t="str">
        <f>'LUCERO EL SOLAR'!$BG33</f>
        <v/>
      </c>
      <c r="CJ29" s="449" t="str">
        <f>'LUCERO EL SOLAR'!$AY33</f>
        <v/>
      </c>
      <c r="CK29" s="450" t="str">
        <f>'LUCERO EL SOLAR'!$BI33</f>
        <v/>
      </c>
      <c r="CL29" s="451" t="str">
        <f>'LUCERO GUEMES 2'!$AS33</f>
        <v/>
      </c>
      <c r="CM29" s="447" t="str">
        <f>'LUCERO GUEMES 2'!$AQ33</f>
        <v/>
      </c>
      <c r="CN29" s="448">
        <f>'LUCERO GUEMES 2'!$BB33</f>
        <v>0</v>
      </c>
      <c r="CO29" s="449">
        <f>'LUCERO GUEMES 2'!$BD33</f>
        <v>0</v>
      </c>
      <c r="CP29" s="449">
        <f>'LUCERO GUEMES 2'!$BF33</f>
        <v>0</v>
      </c>
      <c r="CQ29" s="449">
        <f>'LUCERO GUEMES 2'!$BH33</f>
        <v>0</v>
      </c>
      <c r="CR29" s="449">
        <f>'LUCERO GUEMES 2'!$AZ33</f>
        <v>0</v>
      </c>
      <c r="CS29" s="450">
        <f>'LUCERO GUEMES 2'!$BJ33</f>
        <v>0</v>
      </c>
    </row>
    <row r="30">
      <c r="A30" s="456">
        <f>+'LUCERO GUEMES'!A34</f>
        <v>46168</v>
      </c>
      <c r="B30" s="446" t="str">
        <f>'AS SAN TELMO'!AR34</f>
        <v/>
      </c>
      <c r="C30" s="447">
        <f>'AS SAN TELMO'!AQ34</f>
        <v>94700</v>
      </c>
      <c r="D30" s="448" t="str">
        <f>'AS SAN TELMO'!BA34</f>
        <v/>
      </c>
      <c r="E30" s="449" t="str">
        <f>'AS SAN TELMO'!BC34</f>
        <v/>
      </c>
      <c r="F30" s="449" t="str">
        <f>'AS SAN TELMO'!BE34</f>
        <v/>
      </c>
      <c r="G30" s="449" t="str">
        <f>'AS SAN TELMO'!BG34</f>
        <v/>
      </c>
      <c r="H30" s="449" t="str">
        <f>'AS SAN TELMO'!AY34</f>
        <v/>
      </c>
      <c r="I30" s="450" t="str">
        <f>'AS SAN TELMO'!BI34</f>
        <v/>
      </c>
      <c r="J30" s="451" t="str">
        <f>'LUCERO SAN TELMO'!$AR34</f>
        <v/>
      </c>
      <c r="K30" s="447">
        <f>'LUCERO SAN TELMO'!$AQ34</f>
        <v>36000</v>
      </c>
      <c r="L30" s="448" t="str">
        <f>'LUCERO SAN TELMO'!$BA34</f>
        <v/>
      </c>
      <c r="M30" s="449" t="str">
        <f>'LUCERO SAN TELMO'!$BC34</f>
        <v/>
      </c>
      <c r="N30" s="449" t="str">
        <f>'LUCERO SAN TELMO'!$BE34</f>
        <v/>
      </c>
      <c r="O30" s="449" t="str">
        <f>'LUCERO SAN TELMO'!$BG34</f>
        <v/>
      </c>
      <c r="P30" s="449" t="str">
        <f>'LUCERO SAN TELMO'!$AY34</f>
        <v/>
      </c>
      <c r="Q30" s="450" t="str">
        <f>'LUCERO SAN TELMO'!$BI34</f>
        <v/>
      </c>
      <c r="R30" s="451" t="str">
        <f>'AS GUEMES'!$AR34</f>
        <v/>
      </c>
      <c r="S30" s="447" t="str">
        <f>'AS GUEMES'!$AQ34</f>
        <v/>
      </c>
      <c r="T30" s="448" t="str">
        <f>'AS GUEMES'!$BA34</f>
        <v/>
      </c>
      <c r="U30" s="449" t="str">
        <f>'AS GUEMES'!$BC34</f>
        <v/>
      </c>
      <c r="V30" s="449" t="str">
        <f>'AS GUEMES'!$BE34</f>
        <v/>
      </c>
      <c r="W30" s="449" t="str">
        <f>'AS GUEMES'!$BG34</f>
        <v/>
      </c>
      <c r="X30" s="449" t="str">
        <f>'AS GUEMES'!$AY34</f>
        <v/>
      </c>
      <c r="Y30" s="450" t="str">
        <f>'AS GUEMES'!$BI34</f>
        <v/>
      </c>
      <c r="Z30" s="451" t="str">
        <f>'LUCERO RECOLETA'!$AR34</f>
        <v/>
      </c>
      <c r="AA30" s="455">
        <f>'LUCERO RECOLETA'!$AQ34</f>
        <v>0</v>
      </c>
      <c r="AB30" s="448" t="str">
        <f>'LUCERO RECOLETA'!$BA34</f>
        <v/>
      </c>
      <c r="AC30" s="449" t="str">
        <f>'LUCERO RECOLETA'!$BC34</f>
        <v/>
      </c>
      <c r="AD30" s="449" t="str">
        <f>'LUCERO RECOLETA'!$BE34</f>
        <v/>
      </c>
      <c r="AE30" s="449" t="str">
        <f>'LUCERO RECOLETA'!$BG34</f>
        <v/>
      </c>
      <c r="AF30" s="449" t="str">
        <f>'LUCERO RECOLETA'!$AY34</f>
        <v/>
      </c>
      <c r="AG30" s="450" t="str">
        <f>'LUCERO RECOLETA'!$BI34</f>
        <v/>
      </c>
      <c r="AH30" s="451">
        <v>0.0</v>
      </c>
      <c r="AI30" s="447">
        <v>0.0</v>
      </c>
      <c r="AJ30" s="448">
        <v>0.0</v>
      </c>
      <c r="AK30" s="449">
        <v>0.0</v>
      </c>
      <c r="AL30" s="449">
        <v>0.0</v>
      </c>
      <c r="AM30" s="449">
        <v>0.0</v>
      </c>
      <c r="AN30" s="449">
        <v>0.0</v>
      </c>
      <c r="AO30" s="450">
        <v>0.0</v>
      </c>
      <c r="AP30" s="451" t="str">
        <f>'LUCERO FRENCH'!$AR34</f>
        <v/>
      </c>
      <c r="AQ30" s="447">
        <f>'LUCERO FRENCH'!$AQ34</f>
        <v>0</v>
      </c>
      <c r="AR30" s="448">
        <f>'LUCERO FRENCH'!$BA34</f>
        <v>420</v>
      </c>
      <c r="AS30" s="449" t="str">
        <f>'LUCERO FRENCH'!$BC34</f>
        <v/>
      </c>
      <c r="AT30" s="449" t="str">
        <f>'LUCERO FRENCH'!$BE34</f>
        <v/>
      </c>
      <c r="AU30" s="449" t="str">
        <f>'LUCERO FRENCH'!$BG34</f>
        <v/>
      </c>
      <c r="AV30" s="449" t="str">
        <f>'LUCERO FRENCH'!$AY34</f>
        <v/>
      </c>
      <c r="AW30" s="450" t="str">
        <f>'LUCERO FRENCH'!$BI34</f>
        <v/>
      </c>
      <c r="AX30" s="451" t="str">
        <f>'LUCERO SAN TELMO 2'!$AR34</f>
        <v/>
      </c>
      <c r="AY30" s="447">
        <f>'LUCERO SAN TELMO 2'!$AQ34</f>
        <v>0</v>
      </c>
      <c r="AZ30" s="448" t="str">
        <f>'LUCERO SAN TELMO 2'!$BA34</f>
        <v/>
      </c>
      <c r="BA30" s="449" t="str">
        <f>'LUCERO SAN TELMO 2'!$BC34</f>
        <v/>
      </c>
      <c r="BB30" s="449" t="str">
        <f>'LUCERO SAN TELMO 2'!$BE34</f>
        <v/>
      </c>
      <c r="BC30" s="449" t="str">
        <f>'LUCERO SAN TELMO 2'!$BG34</f>
        <v/>
      </c>
      <c r="BD30" s="449" t="str">
        <f>'LUCERO SAN TELMO 2'!$AY34</f>
        <v/>
      </c>
      <c r="BE30" s="450" t="str">
        <f>'LUCERO SAN TELMO 2'!$BI34</f>
        <v/>
      </c>
      <c r="BF30" s="451" t="str">
        <f>RESERVA!$AO34</f>
        <v/>
      </c>
      <c r="BG30" s="447" t="str">
        <f>RESERVA!$AN34</f>
        <v/>
      </c>
      <c r="BH30" s="448" t="str">
        <f>RESERVA!$AX34</f>
        <v/>
      </c>
      <c r="BI30" s="449" t="str">
        <f>RESERVA!$AZ34</f>
        <v/>
      </c>
      <c r="BJ30" s="449" t="str">
        <f>RESERVA!$BB34</f>
        <v/>
      </c>
      <c r="BK30" s="449" t="str">
        <f>RESERVA!$BD34</f>
        <v/>
      </c>
      <c r="BL30" s="449" t="str">
        <f>RESERVA!$AV34</f>
        <v/>
      </c>
      <c r="BM30" s="450" t="str">
        <f>RESERVA!$BF34</f>
        <v/>
      </c>
      <c r="BN30" s="451" t="str">
        <f>'LUCERO FLORIDA'!$AR34</f>
        <v/>
      </c>
      <c r="BO30" s="455">
        <f>'LUCERO FLORIDA'!$AQ34</f>
        <v>10000</v>
      </c>
      <c r="BP30" s="448" t="str">
        <f>'LUCERO FLORIDA'!$BA34</f>
        <v/>
      </c>
      <c r="BQ30" s="449" t="str">
        <f>'LUCERO FLORIDA'!$BC34</f>
        <v/>
      </c>
      <c r="BR30" s="449" t="str">
        <f>'LUCERO FLORIDA'!$BE34</f>
        <v/>
      </c>
      <c r="BS30" s="449" t="str">
        <f>'LUCERO FLORIDA'!$BG34</f>
        <v/>
      </c>
      <c r="BT30" s="449" t="str">
        <f>'LUCERO FLORIDA'!$AY34</f>
        <v/>
      </c>
      <c r="BU30" s="450" t="str">
        <f>'LUCERO FLORIDA'!$BI34</f>
        <v/>
      </c>
      <c r="BV30" s="451" t="str">
        <f>'LUCERO GUEMES'!$AR34</f>
        <v/>
      </c>
      <c r="BW30" s="447">
        <f>'LUCERO GUEMES'!$AQ34</f>
        <v>0</v>
      </c>
      <c r="BX30" s="448" t="str">
        <f>'LUCERO GUEMES'!$BA34</f>
        <v/>
      </c>
      <c r="BY30" s="449" t="str">
        <f>'LUCERO GUEMES'!$BC34</f>
        <v/>
      </c>
      <c r="BZ30" s="449" t="str">
        <f>'LUCERO GUEMES'!$BE34</f>
        <v/>
      </c>
      <c r="CA30" s="449" t="str">
        <f>'LUCERO GUEMES'!$BG34</f>
        <v/>
      </c>
      <c r="CB30" s="449" t="str">
        <f>'LUCERO GUEMES'!$AY34</f>
        <v/>
      </c>
      <c r="CC30" s="450" t="str">
        <f>'LUCERO GUEMES'!$BI34</f>
        <v/>
      </c>
      <c r="CD30" s="451" t="str">
        <f>'LUCERO EL SOLAR'!AR34</f>
        <v/>
      </c>
      <c r="CE30" s="455">
        <f>'LUCERO EL SOLAR'!$AQ34</f>
        <v>0</v>
      </c>
      <c r="CF30" s="448" t="str">
        <f>'LUCERO EL SOLAR'!$BA34</f>
        <v/>
      </c>
      <c r="CG30" s="449" t="str">
        <f>'LUCERO EL SOLAR'!$BC34</f>
        <v/>
      </c>
      <c r="CH30" s="449" t="str">
        <f>'LUCERO EL SOLAR'!$BE34</f>
        <v/>
      </c>
      <c r="CI30" s="449" t="str">
        <f>'LUCERO EL SOLAR'!$BG34</f>
        <v/>
      </c>
      <c r="CJ30" s="449" t="str">
        <f>'LUCERO EL SOLAR'!$AY34</f>
        <v/>
      </c>
      <c r="CK30" s="450" t="str">
        <f>'LUCERO EL SOLAR'!$BI34</f>
        <v/>
      </c>
      <c r="CL30" s="451" t="str">
        <f>'LUCERO GUEMES 2'!$AS34</f>
        <v/>
      </c>
      <c r="CM30" s="447">
        <f>'LUCERO GUEMES 2'!$AQ34</f>
        <v>0</v>
      </c>
      <c r="CN30" s="448">
        <f>'LUCERO GUEMES 2'!$BB34</f>
        <v>0</v>
      </c>
      <c r="CO30" s="449">
        <f>'LUCERO GUEMES 2'!$BD34</f>
        <v>0</v>
      </c>
      <c r="CP30" s="449">
        <f>'LUCERO GUEMES 2'!$BF34</f>
        <v>0</v>
      </c>
      <c r="CQ30" s="449">
        <f>'LUCERO GUEMES 2'!$BH34</f>
        <v>0</v>
      </c>
      <c r="CR30" s="449">
        <f>'LUCERO GUEMES 2'!$AZ34</f>
        <v>0</v>
      </c>
      <c r="CS30" s="450">
        <f>'LUCERO GUEMES 2'!$BJ34</f>
        <v>0</v>
      </c>
    </row>
    <row r="31">
      <c r="A31" s="456">
        <f>+'LUCERO GUEMES'!A35</f>
        <v>46169</v>
      </c>
      <c r="B31" s="446" t="str">
        <f>'AS SAN TELMO'!AR35</f>
        <v/>
      </c>
      <c r="C31" s="447">
        <f>'AS SAN TELMO'!AQ35</f>
        <v>51500</v>
      </c>
      <c r="D31" s="448" t="str">
        <f>'AS SAN TELMO'!BA35</f>
        <v/>
      </c>
      <c r="E31" s="449" t="str">
        <f>'AS SAN TELMO'!BC35</f>
        <v/>
      </c>
      <c r="F31" s="449" t="str">
        <f>'AS SAN TELMO'!BE35</f>
        <v/>
      </c>
      <c r="G31" s="449" t="str">
        <f>'AS SAN TELMO'!BG35</f>
        <v/>
      </c>
      <c r="H31" s="449" t="str">
        <f>'AS SAN TELMO'!AY35</f>
        <v/>
      </c>
      <c r="I31" s="450" t="str">
        <f>'AS SAN TELMO'!BI35</f>
        <v/>
      </c>
      <c r="J31" s="451" t="str">
        <f>'LUCERO SAN TELMO'!$AR35</f>
        <v/>
      </c>
      <c r="K31" s="447">
        <f>'LUCERO SAN TELMO'!$AQ35</f>
        <v>0</v>
      </c>
      <c r="L31" s="448" t="str">
        <f>'LUCERO SAN TELMO'!$BA35</f>
        <v/>
      </c>
      <c r="M31" s="449" t="str">
        <f>'LUCERO SAN TELMO'!$BC35</f>
        <v/>
      </c>
      <c r="N31" s="449" t="str">
        <f>'LUCERO SAN TELMO'!$BE35</f>
        <v/>
      </c>
      <c r="O31" s="449" t="str">
        <f>'LUCERO SAN TELMO'!$BG35</f>
        <v/>
      </c>
      <c r="P31" s="449" t="str">
        <f>'LUCERO SAN TELMO'!$AY35</f>
        <v/>
      </c>
      <c r="Q31" s="450" t="str">
        <f>'LUCERO SAN TELMO'!$BI35</f>
        <v/>
      </c>
      <c r="R31" s="451" t="str">
        <f>'AS GUEMES'!$AR35</f>
        <v/>
      </c>
      <c r="S31" s="447" t="str">
        <f>'AS GUEMES'!$AQ35</f>
        <v/>
      </c>
      <c r="T31" s="448" t="str">
        <f>'AS GUEMES'!$BA35</f>
        <v/>
      </c>
      <c r="U31" s="449" t="str">
        <f>'AS GUEMES'!$BC35</f>
        <v/>
      </c>
      <c r="V31" s="449" t="str">
        <f>'AS GUEMES'!$BE35</f>
        <v/>
      </c>
      <c r="W31" s="449" t="str">
        <f>'AS GUEMES'!$BG35</f>
        <v/>
      </c>
      <c r="X31" s="449" t="str">
        <f>'AS GUEMES'!$AY35</f>
        <v/>
      </c>
      <c r="Y31" s="450" t="str">
        <f>'AS GUEMES'!$BI35</f>
        <v/>
      </c>
      <c r="Z31" s="451" t="str">
        <f>'LUCERO RECOLETA'!$AR35</f>
        <v/>
      </c>
      <c r="AA31" s="455">
        <f>'LUCERO RECOLETA'!$AQ35</f>
        <v>0</v>
      </c>
      <c r="AB31" s="448" t="str">
        <f>'LUCERO RECOLETA'!$BA35</f>
        <v/>
      </c>
      <c r="AC31" s="449" t="str">
        <f>'LUCERO RECOLETA'!$BC35</f>
        <v/>
      </c>
      <c r="AD31" s="449" t="str">
        <f>'LUCERO RECOLETA'!$BE35</f>
        <v/>
      </c>
      <c r="AE31" s="449" t="str">
        <f>'LUCERO RECOLETA'!$BG35</f>
        <v/>
      </c>
      <c r="AF31" s="449" t="str">
        <f>'LUCERO RECOLETA'!$AY35</f>
        <v/>
      </c>
      <c r="AG31" s="450" t="str">
        <f>'LUCERO RECOLETA'!$BI35</f>
        <v/>
      </c>
      <c r="AH31" s="451">
        <v>0.0</v>
      </c>
      <c r="AI31" s="447">
        <v>0.0</v>
      </c>
      <c r="AJ31" s="448">
        <v>0.0</v>
      </c>
      <c r="AK31" s="449">
        <v>0.0</v>
      </c>
      <c r="AL31" s="449">
        <v>0.0</v>
      </c>
      <c r="AM31" s="449">
        <v>0.0</v>
      </c>
      <c r="AN31" s="449">
        <v>0.0</v>
      </c>
      <c r="AO31" s="450">
        <v>0.0</v>
      </c>
      <c r="AP31" s="451" t="str">
        <f>'LUCERO FRENCH'!$AR35</f>
        <v/>
      </c>
      <c r="AQ31" s="447">
        <f>'LUCERO FRENCH'!$AQ35</f>
        <v>0</v>
      </c>
      <c r="AR31" s="448" t="str">
        <f>'LUCERO FRENCH'!$BA35</f>
        <v/>
      </c>
      <c r="AS31" s="449" t="str">
        <f>'LUCERO FRENCH'!$BC35</f>
        <v/>
      </c>
      <c r="AT31" s="449" t="str">
        <f>'LUCERO FRENCH'!$BE35</f>
        <v/>
      </c>
      <c r="AU31" s="449" t="str">
        <f>'LUCERO FRENCH'!$BG35</f>
        <v/>
      </c>
      <c r="AV31" s="449" t="str">
        <f>'LUCERO FRENCH'!$AY35</f>
        <v/>
      </c>
      <c r="AW31" s="450" t="str">
        <f>'LUCERO FRENCH'!$BI35</f>
        <v/>
      </c>
      <c r="AX31" s="451" t="str">
        <f>'LUCERO SAN TELMO 2'!$AR35</f>
        <v/>
      </c>
      <c r="AY31" s="447">
        <f>'LUCERO SAN TELMO 2'!$AQ35</f>
        <v>0</v>
      </c>
      <c r="AZ31" s="448" t="str">
        <f>'LUCERO SAN TELMO 2'!$BA35</f>
        <v/>
      </c>
      <c r="BA31" s="449" t="str">
        <f>'LUCERO SAN TELMO 2'!$BC35</f>
        <v/>
      </c>
      <c r="BB31" s="449" t="str">
        <f>'LUCERO SAN TELMO 2'!$BE35</f>
        <v/>
      </c>
      <c r="BC31" s="449" t="str">
        <f>'LUCERO SAN TELMO 2'!$BG35</f>
        <v/>
      </c>
      <c r="BD31" s="449" t="str">
        <f>'LUCERO SAN TELMO 2'!$AY35</f>
        <v/>
      </c>
      <c r="BE31" s="450" t="str">
        <f>'LUCERO SAN TELMO 2'!$BI35</f>
        <v/>
      </c>
      <c r="BF31" s="451" t="str">
        <f>RESERVA!$AO35</f>
        <v/>
      </c>
      <c r="BG31" s="447" t="str">
        <f>RESERVA!$AN35</f>
        <v/>
      </c>
      <c r="BH31" s="448" t="str">
        <f>RESERVA!$AX35</f>
        <v/>
      </c>
      <c r="BI31" s="449" t="str">
        <f>RESERVA!$AZ35</f>
        <v/>
      </c>
      <c r="BJ31" s="449" t="str">
        <f>RESERVA!$BB35</f>
        <v/>
      </c>
      <c r="BK31" s="449" t="str">
        <f>RESERVA!$BD35</f>
        <v/>
      </c>
      <c r="BL31" s="449" t="str">
        <f>RESERVA!$AV35</f>
        <v/>
      </c>
      <c r="BM31" s="450" t="str">
        <f>RESERVA!$BF35</f>
        <v/>
      </c>
      <c r="BN31" s="451" t="str">
        <f>'LUCERO FLORIDA'!$AR35</f>
        <v/>
      </c>
      <c r="BO31" s="455">
        <f>'LUCERO FLORIDA'!$AQ35</f>
        <v>30000</v>
      </c>
      <c r="BP31" s="448" t="str">
        <f>'LUCERO FLORIDA'!$BA35</f>
        <v/>
      </c>
      <c r="BQ31" s="449" t="str">
        <f>'LUCERO FLORIDA'!$BC35</f>
        <v/>
      </c>
      <c r="BR31" s="449" t="str">
        <f>'LUCERO FLORIDA'!$BE35</f>
        <v/>
      </c>
      <c r="BS31" s="449" t="str">
        <f>'LUCERO FLORIDA'!$BG35</f>
        <v/>
      </c>
      <c r="BT31" s="449" t="str">
        <f>'LUCERO FLORIDA'!$AY35</f>
        <v/>
      </c>
      <c r="BU31" s="450" t="str">
        <f>'LUCERO FLORIDA'!$BI35</f>
        <v/>
      </c>
      <c r="BV31" s="451" t="str">
        <f>'LUCERO GUEMES'!$AR35</f>
        <v/>
      </c>
      <c r="BW31" s="447">
        <f>'LUCERO GUEMES'!$AQ35</f>
        <v>0</v>
      </c>
      <c r="BX31" s="448" t="str">
        <f>'LUCERO GUEMES'!$BA35</f>
        <v/>
      </c>
      <c r="BY31" s="449" t="str">
        <f>'LUCERO GUEMES'!$BC35</f>
        <v/>
      </c>
      <c r="BZ31" s="449" t="str">
        <f>'LUCERO GUEMES'!$BE35</f>
        <v/>
      </c>
      <c r="CA31" s="449" t="str">
        <f>'LUCERO GUEMES'!$BG35</f>
        <v/>
      </c>
      <c r="CB31" s="449" t="str">
        <f>'LUCERO GUEMES'!$AY35</f>
        <v/>
      </c>
      <c r="CC31" s="450" t="str">
        <f>'LUCERO GUEMES'!$BI35</f>
        <v/>
      </c>
      <c r="CD31" s="451" t="str">
        <f>'LUCERO EL SOLAR'!AR35</f>
        <v/>
      </c>
      <c r="CE31" s="455">
        <f>'LUCERO EL SOLAR'!$AQ35</f>
        <v>0</v>
      </c>
      <c r="CF31" s="448" t="str">
        <f>'LUCERO EL SOLAR'!$BA35</f>
        <v/>
      </c>
      <c r="CG31" s="449" t="str">
        <f>'LUCERO EL SOLAR'!$BC35</f>
        <v/>
      </c>
      <c r="CH31" s="449" t="str">
        <f>'LUCERO EL SOLAR'!$BE35</f>
        <v/>
      </c>
      <c r="CI31" s="449" t="str">
        <f>'LUCERO EL SOLAR'!$BG35</f>
        <v/>
      </c>
      <c r="CJ31" s="449" t="str">
        <f>'LUCERO EL SOLAR'!$AY35</f>
        <v/>
      </c>
      <c r="CK31" s="450" t="str">
        <f>'LUCERO EL SOLAR'!$BI35</f>
        <v/>
      </c>
      <c r="CL31" s="451" t="str">
        <f>'LUCERO GUEMES 2'!$AS35</f>
        <v/>
      </c>
      <c r="CM31" s="447">
        <f>'LUCERO GUEMES 2'!$AQ35</f>
        <v>90000</v>
      </c>
      <c r="CN31" s="448">
        <f>'LUCERO GUEMES 2'!$BB35</f>
        <v>0</v>
      </c>
      <c r="CO31" s="449">
        <f>'LUCERO GUEMES 2'!$BD35</f>
        <v>0</v>
      </c>
      <c r="CP31" s="449">
        <f>'LUCERO GUEMES 2'!$BF35</f>
        <v>0</v>
      </c>
      <c r="CQ31" s="449">
        <f>'LUCERO GUEMES 2'!$BH35</f>
        <v>0</v>
      </c>
      <c r="CR31" s="449">
        <f>'LUCERO GUEMES 2'!$AZ35</f>
        <v>0</v>
      </c>
      <c r="CS31" s="450">
        <f>'LUCERO GUEMES 2'!$BJ35</f>
        <v>0</v>
      </c>
    </row>
    <row r="32">
      <c r="A32" s="456">
        <f>+'LUCERO GUEMES'!A36</f>
        <v>46170</v>
      </c>
      <c r="B32" s="446" t="str">
        <f>'AS SAN TELMO'!AR36</f>
        <v/>
      </c>
      <c r="C32" s="447">
        <f>'AS SAN TELMO'!AQ36</f>
        <v>69600</v>
      </c>
      <c r="D32" s="448" t="str">
        <f>'AS SAN TELMO'!BA36</f>
        <v/>
      </c>
      <c r="E32" s="449" t="str">
        <f>'AS SAN TELMO'!BC36</f>
        <v/>
      </c>
      <c r="F32" s="449" t="str">
        <f>'AS SAN TELMO'!BE36</f>
        <v/>
      </c>
      <c r="G32" s="449" t="str">
        <f>'AS SAN TELMO'!BG36</f>
        <v/>
      </c>
      <c r="H32" s="449" t="str">
        <f>'AS SAN TELMO'!AY36</f>
        <v/>
      </c>
      <c r="I32" s="450" t="str">
        <f>'AS SAN TELMO'!BI36</f>
        <v/>
      </c>
      <c r="J32" s="451" t="str">
        <f>'LUCERO SAN TELMO'!$AR36</f>
        <v/>
      </c>
      <c r="K32" s="447">
        <f>'LUCERO SAN TELMO'!$AQ36</f>
        <v>0</v>
      </c>
      <c r="L32" s="448" t="str">
        <f>'LUCERO SAN TELMO'!$BA36</f>
        <v/>
      </c>
      <c r="M32" s="449" t="str">
        <f>'LUCERO SAN TELMO'!$BC36</f>
        <v/>
      </c>
      <c r="N32" s="449" t="str">
        <f>'LUCERO SAN TELMO'!$BE36</f>
        <v/>
      </c>
      <c r="O32" s="449" t="str">
        <f>'LUCERO SAN TELMO'!$BG36</f>
        <v/>
      </c>
      <c r="P32" s="449" t="str">
        <f>'LUCERO SAN TELMO'!$AY36</f>
        <v/>
      </c>
      <c r="Q32" s="450" t="str">
        <f>'LUCERO SAN TELMO'!$BI36</f>
        <v/>
      </c>
      <c r="R32" s="451" t="str">
        <f>'AS GUEMES'!$AR36</f>
        <v/>
      </c>
      <c r="S32" s="447" t="str">
        <f>'AS GUEMES'!$AQ36</f>
        <v/>
      </c>
      <c r="T32" s="448" t="str">
        <f>'AS GUEMES'!$BA36</f>
        <v/>
      </c>
      <c r="U32" s="449" t="str">
        <f>'AS GUEMES'!$BC36</f>
        <v/>
      </c>
      <c r="V32" s="449" t="str">
        <f>'AS GUEMES'!$BE36</f>
        <v/>
      </c>
      <c r="W32" s="449" t="str">
        <f>'AS GUEMES'!$BG36</f>
        <v/>
      </c>
      <c r="X32" s="449" t="str">
        <f>'AS GUEMES'!$AY36</f>
        <v/>
      </c>
      <c r="Y32" s="450" t="str">
        <f>'AS GUEMES'!$BI36</f>
        <v/>
      </c>
      <c r="Z32" s="451" t="str">
        <f>'LUCERO RECOLETA'!$AR36</f>
        <v/>
      </c>
      <c r="AA32" s="455">
        <f>'LUCERO RECOLETA'!$AQ36</f>
        <v>0</v>
      </c>
      <c r="AB32" s="448" t="str">
        <f>'LUCERO RECOLETA'!$BA36</f>
        <v/>
      </c>
      <c r="AC32" s="449" t="str">
        <f>'LUCERO RECOLETA'!$BC36</f>
        <v/>
      </c>
      <c r="AD32" s="449" t="str">
        <f>'LUCERO RECOLETA'!$BE36</f>
        <v/>
      </c>
      <c r="AE32" s="449" t="str">
        <f>'LUCERO RECOLETA'!$BG36</f>
        <v/>
      </c>
      <c r="AF32" s="449" t="str">
        <f>'LUCERO RECOLETA'!$AY36</f>
        <v/>
      </c>
      <c r="AG32" s="450" t="str">
        <f>'LUCERO RECOLETA'!$BI36</f>
        <v/>
      </c>
      <c r="AH32" s="451">
        <v>0.0</v>
      </c>
      <c r="AI32" s="447">
        <v>0.0</v>
      </c>
      <c r="AJ32" s="448">
        <v>0.0</v>
      </c>
      <c r="AK32" s="449">
        <v>0.0</v>
      </c>
      <c r="AL32" s="449">
        <v>0.0</v>
      </c>
      <c r="AM32" s="449">
        <v>0.0</v>
      </c>
      <c r="AN32" s="449">
        <v>0.0</v>
      </c>
      <c r="AO32" s="450">
        <v>0.0</v>
      </c>
      <c r="AP32" s="451" t="str">
        <f>'LUCERO FRENCH'!$AR36</f>
        <v/>
      </c>
      <c r="AQ32" s="447">
        <f>'LUCERO FRENCH'!$AQ36</f>
        <v>0</v>
      </c>
      <c r="AR32" s="448" t="str">
        <f>'LUCERO FRENCH'!$BA36</f>
        <v/>
      </c>
      <c r="AS32" s="449" t="str">
        <f>'LUCERO FRENCH'!$BC36</f>
        <v/>
      </c>
      <c r="AT32" s="449" t="str">
        <f>'LUCERO FRENCH'!$BE36</f>
        <v/>
      </c>
      <c r="AU32" s="449" t="str">
        <f>'LUCERO FRENCH'!$BG36</f>
        <v/>
      </c>
      <c r="AV32" s="449" t="str">
        <f>'LUCERO FRENCH'!$AY36</f>
        <v/>
      </c>
      <c r="AW32" s="450" t="str">
        <f>'LUCERO FRENCH'!$BI36</f>
        <v/>
      </c>
      <c r="AX32" s="451" t="str">
        <f>'LUCERO SAN TELMO 2'!$AR36</f>
        <v/>
      </c>
      <c r="AY32" s="447">
        <f>'LUCERO SAN TELMO 2'!$AQ36</f>
        <v>0</v>
      </c>
      <c r="AZ32" s="448" t="str">
        <f>'LUCERO SAN TELMO 2'!$BA36</f>
        <v/>
      </c>
      <c r="BA32" s="449" t="str">
        <f>'LUCERO SAN TELMO 2'!$BC36</f>
        <v/>
      </c>
      <c r="BB32" s="449" t="str">
        <f>'LUCERO SAN TELMO 2'!$BE36</f>
        <v/>
      </c>
      <c r="BC32" s="449" t="str">
        <f>'LUCERO SAN TELMO 2'!$BG36</f>
        <v/>
      </c>
      <c r="BD32" s="449" t="str">
        <f>'LUCERO SAN TELMO 2'!$AY36</f>
        <v/>
      </c>
      <c r="BE32" s="450" t="str">
        <f>'LUCERO SAN TELMO 2'!$BI36</f>
        <v/>
      </c>
      <c r="BF32" s="451" t="str">
        <f>RESERVA!$AO36</f>
        <v/>
      </c>
      <c r="BG32" s="447" t="str">
        <f>RESERVA!$AN36</f>
        <v/>
      </c>
      <c r="BH32" s="448" t="str">
        <f>RESERVA!$AX36</f>
        <v/>
      </c>
      <c r="BI32" s="449" t="str">
        <f>RESERVA!$AZ36</f>
        <v/>
      </c>
      <c r="BJ32" s="449" t="str">
        <f>RESERVA!$BB36</f>
        <v/>
      </c>
      <c r="BK32" s="449" t="str">
        <f>RESERVA!$BD36</f>
        <v/>
      </c>
      <c r="BL32" s="449" t="str">
        <f>RESERVA!$AV36</f>
        <v/>
      </c>
      <c r="BM32" s="450" t="str">
        <f>RESERVA!$BF36</f>
        <v/>
      </c>
      <c r="BN32" s="451" t="str">
        <f>'LUCERO FLORIDA'!$AR36</f>
        <v/>
      </c>
      <c r="BO32" s="455">
        <f>'LUCERO FLORIDA'!$AQ36</f>
        <v>0</v>
      </c>
      <c r="BP32" s="448">
        <f>'LUCERO FLORIDA'!$BA36</f>
        <v>260</v>
      </c>
      <c r="BQ32" s="449" t="str">
        <f>'LUCERO FLORIDA'!$BC36</f>
        <v/>
      </c>
      <c r="BR32" s="449" t="str">
        <f>'LUCERO FLORIDA'!$BE36</f>
        <v/>
      </c>
      <c r="BS32" s="449" t="str">
        <f>'LUCERO FLORIDA'!$BG36</f>
        <v/>
      </c>
      <c r="BT32" s="449" t="str">
        <f>'LUCERO FLORIDA'!$AY36</f>
        <v/>
      </c>
      <c r="BU32" s="450" t="str">
        <f>'LUCERO FLORIDA'!$BI36</f>
        <v/>
      </c>
      <c r="BV32" s="451" t="str">
        <f>'LUCERO GUEMES'!$AR36</f>
        <v/>
      </c>
      <c r="BW32" s="447">
        <f>'LUCERO GUEMES'!$AQ36</f>
        <v>0</v>
      </c>
      <c r="BX32" s="448" t="str">
        <f>'LUCERO GUEMES'!$BA36</f>
        <v/>
      </c>
      <c r="BY32" s="449" t="str">
        <f>'LUCERO GUEMES'!$BC36</f>
        <v/>
      </c>
      <c r="BZ32" s="449" t="str">
        <f>'LUCERO GUEMES'!$BE36</f>
        <v/>
      </c>
      <c r="CA32" s="449" t="str">
        <f>'LUCERO GUEMES'!$BG36</f>
        <v/>
      </c>
      <c r="CB32" s="449" t="str">
        <f>'LUCERO GUEMES'!$AY36</f>
        <v/>
      </c>
      <c r="CC32" s="450" t="str">
        <f>'LUCERO GUEMES'!$BI36</f>
        <v/>
      </c>
      <c r="CD32" s="451" t="str">
        <f>'LUCERO EL SOLAR'!AR36</f>
        <v/>
      </c>
      <c r="CE32" s="455">
        <f>'LUCERO EL SOLAR'!$AQ36</f>
        <v>0</v>
      </c>
      <c r="CF32" s="448" t="str">
        <f>'LUCERO EL SOLAR'!$BA36</f>
        <v/>
      </c>
      <c r="CG32" s="449" t="str">
        <f>'LUCERO EL SOLAR'!$BC36</f>
        <v/>
      </c>
      <c r="CH32" s="449" t="str">
        <f>'LUCERO EL SOLAR'!$BE36</f>
        <v/>
      </c>
      <c r="CI32" s="449" t="str">
        <f>'LUCERO EL SOLAR'!$BG36</f>
        <v/>
      </c>
      <c r="CJ32" s="449" t="str">
        <f>'LUCERO EL SOLAR'!$AY36</f>
        <v/>
      </c>
      <c r="CK32" s="450" t="str">
        <f>'LUCERO EL SOLAR'!$BI36</f>
        <v/>
      </c>
      <c r="CL32" s="451" t="str">
        <f>'LUCERO GUEMES 2'!$AS36</f>
        <v/>
      </c>
      <c r="CM32" s="447">
        <f>'LUCERO GUEMES 2'!$AQ36</f>
        <v>0</v>
      </c>
      <c r="CN32" s="448">
        <f>'LUCERO GUEMES 2'!$BB36</f>
        <v>0</v>
      </c>
      <c r="CO32" s="449">
        <f>'LUCERO GUEMES 2'!$BD36</f>
        <v>0</v>
      </c>
      <c r="CP32" s="449">
        <f>'LUCERO GUEMES 2'!$BF36</f>
        <v>0</v>
      </c>
      <c r="CQ32" s="449">
        <f>'LUCERO GUEMES 2'!$BH36</f>
        <v>0</v>
      </c>
      <c r="CR32" s="449">
        <f>'LUCERO GUEMES 2'!$AZ36</f>
        <v>0</v>
      </c>
      <c r="CS32" s="450">
        <f>'LUCERO GUEMES 2'!$BJ36</f>
        <v>0</v>
      </c>
    </row>
    <row r="33">
      <c r="A33" s="456">
        <f>+'LUCERO GUEMES'!A37</f>
        <v>46171</v>
      </c>
      <c r="B33" s="446" t="str">
        <f>'AS SAN TELMO'!AR37</f>
        <v/>
      </c>
      <c r="C33" s="447">
        <f>'AS SAN TELMO'!AQ37</f>
        <v>97400</v>
      </c>
      <c r="D33" s="448" t="str">
        <f>'AS SAN TELMO'!BA37</f>
        <v/>
      </c>
      <c r="E33" s="449" t="str">
        <f>'AS SAN TELMO'!BC37</f>
        <v/>
      </c>
      <c r="F33" s="449" t="str">
        <f>'AS SAN TELMO'!BE37</f>
        <v/>
      </c>
      <c r="G33" s="449" t="str">
        <f>'AS SAN TELMO'!BG37</f>
        <v/>
      </c>
      <c r="H33" s="449" t="str">
        <f>'AS SAN TELMO'!AY37</f>
        <v/>
      </c>
      <c r="I33" s="450" t="str">
        <f>'AS SAN TELMO'!BI37</f>
        <v/>
      </c>
      <c r="J33" s="451" t="str">
        <f>'LUCERO SAN TELMO'!$AR37</f>
        <v/>
      </c>
      <c r="K33" s="447">
        <f>'LUCERO SAN TELMO'!$AQ37</f>
        <v>135000</v>
      </c>
      <c r="L33" s="448" t="str">
        <f>'LUCERO SAN TELMO'!$BA37</f>
        <v/>
      </c>
      <c r="M33" s="449" t="str">
        <f>'LUCERO SAN TELMO'!$BC37</f>
        <v/>
      </c>
      <c r="N33" s="449" t="str">
        <f>'LUCERO SAN TELMO'!$BE37</f>
        <v/>
      </c>
      <c r="O33" s="449" t="str">
        <f>'LUCERO SAN TELMO'!$BG37</f>
        <v/>
      </c>
      <c r="P33" s="449" t="str">
        <f>'LUCERO SAN TELMO'!$AY37</f>
        <v/>
      </c>
      <c r="Q33" s="450" t="str">
        <f>'LUCERO SAN TELMO'!$BI37</f>
        <v/>
      </c>
      <c r="R33" s="451" t="str">
        <f>'AS GUEMES'!$AR37</f>
        <v/>
      </c>
      <c r="S33" s="447" t="str">
        <f>'AS GUEMES'!$AQ37</f>
        <v/>
      </c>
      <c r="T33" s="448" t="str">
        <f>'AS GUEMES'!$BA37</f>
        <v/>
      </c>
      <c r="U33" s="449" t="str">
        <f>'AS GUEMES'!$BC37</f>
        <v/>
      </c>
      <c r="V33" s="449" t="str">
        <f>'AS GUEMES'!$BE37</f>
        <v/>
      </c>
      <c r="W33" s="449" t="str">
        <f>'AS GUEMES'!$BG37</f>
        <v/>
      </c>
      <c r="X33" s="449" t="str">
        <f>'AS GUEMES'!$AY37</f>
        <v/>
      </c>
      <c r="Y33" s="450" t="str">
        <f>'AS GUEMES'!$BI37</f>
        <v/>
      </c>
      <c r="Z33" s="451" t="str">
        <f>'LUCERO RECOLETA'!$AR37</f>
        <v/>
      </c>
      <c r="AA33" s="455">
        <f>'LUCERO RECOLETA'!$AQ37</f>
        <v>120000</v>
      </c>
      <c r="AB33" s="448" t="str">
        <f>'LUCERO RECOLETA'!$BA37</f>
        <v/>
      </c>
      <c r="AC33" s="449" t="str">
        <f>'LUCERO RECOLETA'!$BC37</f>
        <v/>
      </c>
      <c r="AD33" s="449" t="str">
        <f>'LUCERO RECOLETA'!$BE37</f>
        <v/>
      </c>
      <c r="AE33" s="449" t="str">
        <f>'LUCERO RECOLETA'!$BG37</f>
        <v/>
      </c>
      <c r="AF33" s="449" t="str">
        <f>'LUCERO RECOLETA'!$AY37</f>
        <v/>
      </c>
      <c r="AG33" s="450" t="str">
        <f>'LUCERO RECOLETA'!$BI37</f>
        <v/>
      </c>
      <c r="AH33" s="451">
        <v>0.0</v>
      </c>
      <c r="AI33" s="447">
        <v>0.0</v>
      </c>
      <c r="AJ33" s="448">
        <v>0.0</v>
      </c>
      <c r="AK33" s="449">
        <v>0.0</v>
      </c>
      <c r="AL33" s="449">
        <v>0.0</v>
      </c>
      <c r="AM33" s="449">
        <v>0.0</v>
      </c>
      <c r="AN33" s="449">
        <v>0.0</v>
      </c>
      <c r="AO33" s="450">
        <v>0.0</v>
      </c>
      <c r="AP33" s="451" t="str">
        <f>'LUCERO FRENCH'!$AR37</f>
        <v/>
      </c>
      <c r="AQ33" s="447">
        <f>'LUCERO FRENCH'!$AQ37</f>
        <v>0</v>
      </c>
      <c r="AR33" s="448">
        <f>'LUCERO FRENCH'!$BA37</f>
        <v>70</v>
      </c>
      <c r="AS33" s="449" t="str">
        <f>'LUCERO FRENCH'!$BC37</f>
        <v/>
      </c>
      <c r="AT33" s="449" t="str">
        <f>'LUCERO FRENCH'!$BE37</f>
        <v/>
      </c>
      <c r="AU33" s="449" t="str">
        <f>'LUCERO FRENCH'!$BG37</f>
        <v/>
      </c>
      <c r="AV33" s="449" t="str">
        <f>'LUCERO FRENCH'!$AY37</f>
        <v/>
      </c>
      <c r="AW33" s="450" t="str">
        <f>'LUCERO FRENCH'!$BI37</f>
        <v/>
      </c>
      <c r="AX33" s="451" t="str">
        <f>'LUCERO SAN TELMO 2'!$AR37</f>
        <v/>
      </c>
      <c r="AY33" s="447">
        <f>'LUCERO SAN TELMO 2'!$AQ37</f>
        <v>0</v>
      </c>
      <c r="AZ33" s="448" t="str">
        <f>'LUCERO SAN TELMO 2'!$BA37</f>
        <v/>
      </c>
      <c r="BA33" s="449" t="str">
        <f>'LUCERO SAN TELMO 2'!$BC37</f>
        <v/>
      </c>
      <c r="BB33" s="449" t="str">
        <f>'LUCERO SAN TELMO 2'!$BE37</f>
        <v/>
      </c>
      <c r="BC33" s="449" t="str">
        <f>'LUCERO SAN TELMO 2'!$BG37</f>
        <v/>
      </c>
      <c r="BD33" s="449" t="str">
        <f>'LUCERO SAN TELMO 2'!$AY37</f>
        <v/>
      </c>
      <c r="BE33" s="450" t="str">
        <f>'LUCERO SAN TELMO 2'!$BI37</f>
        <v/>
      </c>
      <c r="BF33" s="451" t="str">
        <f>RESERVA!$AO37</f>
        <v/>
      </c>
      <c r="BG33" s="447" t="str">
        <f>RESERVA!$AN37</f>
        <v/>
      </c>
      <c r="BH33" s="448" t="str">
        <f>RESERVA!$AX37</f>
        <v/>
      </c>
      <c r="BI33" s="449" t="str">
        <f>RESERVA!$AZ37</f>
        <v/>
      </c>
      <c r="BJ33" s="449" t="str">
        <f>RESERVA!$BB37</f>
        <v/>
      </c>
      <c r="BK33" s="449" t="str">
        <f>RESERVA!$BD37</f>
        <v/>
      </c>
      <c r="BL33" s="449" t="str">
        <f>RESERVA!$AV37</f>
        <v/>
      </c>
      <c r="BM33" s="450" t="str">
        <f>RESERVA!$BF37</f>
        <v/>
      </c>
      <c r="BN33" s="451" t="str">
        <f>'LUCERO FLORIDA'!$AR37</f>
        <v/>
      </c>
      <c r="BO33" s="455">
        <f>'LUCERO FLORIDA'!$AQ37</f>
        <v>250000</v>
      </c>
      <c r="BP33" s="448" t="str">
        <f>'LUCERO FLORIDA'!$BA37</f>
        <v/>
      </c>
      <c r="BQ33" s="449" t="str">
        <f>'LUCERO FLORIDA'!$BC37</f>
        <v/>
      </c>
      <c r="BR33" s="449" t="str">
        <f>'LUCERO FLORIDA'!$BE37</f>
        <v/>
      </c>
      <c r="BS33" s="449" t="str">
        <f>'LUCERO FLORIDA'!$BG37</f>
        <v/>
      </c>
      <c r="BT33" s="449" t="str">
        <f>'LUCERO FLORIDA'!$AY37</f>
        <v/>
      </c>
      <c r="BU33" s="450" t="str">
        <f>'LUCERO FLORIDA'!$BI37</f>
        <v/>
      </c>
      <c r="BV33" s="451" t="str">
        <f>'LUCERO GUEMES'!$AR37</f>
        <v/>
      </c>
      <c r="BW33" s="447">
        <f>'LUCERO GUEMES'!$AQ37</f>
        <v>0</v>
      </c>
      <c r="BX33" s="448" t="str">
        <f>'LUCERO GUEMES'!$BA37</f>
        <v/>
      </c>
      <c r="BY33" s="449" t="str">
        <f>'LUCERO GUEMES'!$BC37</f>
        <v/>
      </c>
      <c r="BZ33" s="449" t="str">
        <f>'LUCERO GUEMES'!$BE37</f>
        <v/>
      </c>
      <c r="CA33" s="449" t="str">
        <f>'LUCERO GUEMES'!$BG37</f>
        <v/>
      </c>
      <c r="CB33" s="449" t="str">
        <f>'LUCERO GUEMES'!$AY37</f>
        <v/>
      </c>
      <c r="CC33" s="450" t="str">
        <f>'LUCERO GUEMES'!$BI37</f>
        <v/>
      </c>
      <c r="CD33" s="451" t="str">
        <f>'LUCERO EL SOLAR'!AR37</f>
        <v/>
      </c>
      <c r="CE33" s="455">
        <f>'LUCERO EL SOLAR'!$AQ37</f>
        <v>120000</v>
      </c>
      <c r="CF33" s="448" t="str">
        <f>'LUCERO EL SOLAR'!$BA37</f>
        <v/>
      </c>
      <c r="CG33" s="449" t="str">
        <f>'LUCERO EL SOLAR'!$BC37</f>
        <v/>
      </c>
      <c r="CH33" s="449" t="str">
        <f>'LUCERO EL SOLAR'!$BE37</f>
        <v/>
      </c>
      <c r="CI33" s="449" t="str">
        <f>'LUCERO EL SOLAR'!$BG37</f>
        <v/>
      </c>
      <c r="CJ33" s="449" t="str">
        <f>'LUCERO EL SOLAR'!$AY37</f>
        <v/>
      </c>
      <c r="CK33" s="450" t="str">
        <f>'LUCERO EL SOLAR'!$BI37</f>
        <v/>
      </c>
      <c r="CL33" s="451" t="str">
        <f>'LUCERO GUEMES 2'!$AS37</f>
        <v/>
      </c>
      <c r="CM33" s="447">
        <f>'LUCERO GUEMES 2'!$AQ37</f>
        <v>16000</v>
      </c>
      <c r="CN33" s="448">
        <f>'LUCERO GUEMES 2'!$BB37</f>
        <v>0</v>
      </c>
      <c r="CO33" s="449">
        <f>'LUCERO GUEMES 2'!$BD37</f>
        <v>0</v>
      </c>
      <c r="CP33" s="449">
        <f>'LUCERO GUEMES 2'!$BF37</f>
        <v>0</v>
      </c>
      <c r="CQ33" s="449">
        <f>'LUCERO GUEMES 2'!$BH37</f>
        <v>0</v>
      </c>
      <c r="CR33" s="449">
        <f>'LUCERO GUEMES 2'!$AZ37</f>
        <v>0</v>
      </c>
      <c r="CS33" s="450">
        <f>'LUCERO GUEMES 2'!$BJ37</f>
        <v>0</v>
      </c>
    </row>
    <row r="34">
      <c r="A34" s="456">
        <f>+'LUCERO GUEMES'!A38</f>
        <v>46172</v>
      </c>
      <c r="B34" s="446" t="str">
        <f>'AS SAN TELMO'!AR38</f>
        <v/>
      </c>
      <c r="C34" s="447">
        <f>'AS SAN TELMO'!AQ38</f>
        <v>165300</v>
      </c>
      <c r="D34" s="448" t="str">
        <f>'AS SAN TELMO'!BA38</f>
        <v/>
      </c>
      <c r="E34" s="449" t="str">
        <f>'AS SAN TELMO'!BC38</f>
        <v/>
      </c>
      <c r="F34" s="449" t="str">
        <f>'AS SAN TELMO'!BE38</f>
        <v/>
      </c>
      <c r="G34" s="449" t="str">
        <f>'AS SAN TELMO'!BG38</f>
        <v/>
      </c>
      <c r="H34" s="449" t="str">
        <f>'AS SAN TELMO'!AY38</f>
        <v/>
      </c>
      <c r="I34" s="450" t="str">
        <f>'AS SAN TELMO'!BI38</f>
        <v/>
      </c>
      <c r="J34" s="451" t="str">
        <f>'LUCERO SAN TELMO'!$AR38</f>
        <v/>
      </c>
      <c r="K34" s="447">
        <f>'LUCERO SAN TELMO'!$AQ38</f>
        <v>45000</v>
      </c>
      <c r="L34" s="448" t="str">
        <f>'LUCERO SAN TELMO'!$BA38</f>
        <v/>
      </c>
      <c r="M34" s="449" t="str">
        <f>'LUCERO SAN TELMO'!$BC38</f>
        <v/>
      </c>
      <c r="N34" s="449" t="str">
        <f>'LUCERO SAN TELMO'!$BE38</f>
        <v/>
      </c>
      <c r="O34" s="449" t="str">
        <f>'LUCERO SAN TELMO'!$BG38</f>
        <v/>
      </c>
      <c r="P34" s="449" t="str">
        <f>'LUCERO SAN TELMO'!$AY38</f>
        <v/>
      </c>
      <c r="Q34" s="450" t="str">
        <f>'LUCERO SAN TELMO'!$BI38</f>
        <v/>
      </c>
      <c r="R34" s="451" t="str">
        <f>'AS GUEMES'!$AR38</f>
        <v/>
      </c>
      <c r="S34" s="447" t="str">
        <f>'AS GUEMES'!$AQ38</f>
        <v/>
      </c>
      <c r="T34" s="448" t="str">
        <f>'AS GUEMES'!$BA38</f>
        <v/>
      </c>
      <c r="U34" s="449" t="str">
        <f>'AS GUEMES'!$BC38</f>
        <v/>
      </c>
      <c r="V34" s="449" t="str">
        <f>'AS GUEMES'!$BE38</f>
        <v/>
      </c>
      <c r="W34" s="449" t="str">
        <f>'AS GUEMES'!$BG38</f>
        <v/>
      </c>
      <c r="X34" s="449" t="str">
        <f>'AS GUEMES'!$AY38</f>
        <v/>
      </c>
      <c r="Y34" s="450" t="str">
        <f>'AS GUEMES'!$BI38</f>
        <v/>
      </c>
      <c r="Z34" s="451" t="str">
        <f>'LUCERO RECOLETA'!$AR38</f>
        <v/>
      </c>
      <c r="AA34" s="455">
        <f>'LUCERO RECOLETA'!$AQ38</f>
        <v>0</v>
      </c>
      <c r="AB34" s="448" t="str">
        <f>'LUCERO RECOLETA'!$BA38</f>
        <v/>
      </c>
      <c r="AC34" s="449" t="str">
        <f>'LUCERO RECOLETA'!$BC38</f>
        <v/>
      </c>
      <c r="AD34" s="449" t="str">
        <f>'LUCERO RECOLETA'!$BE38</f>
        <v/>
      </c>
      <c r="AE34" s="449" t="str">
        <f>'LUCERO RECOLETA'!$BG38</f>
        <v/>
      </c>
      <c r="AF34" s="449" t="str">
        <f>'LUCERO RECOLETA'!$AY38</f>
        <v/>
      </c>
      <c r="AG34" s="450" t="str">
        <f>'LUCERO RECOLETA'!$BI38</f>
        <v/>
      </c>
      <c r="AH34" s="451">
        <v>0.0</v>
      </c>
      <c r="AI34" s="447">
        <v>0.0</v>
      </c>
      <c r="AJ34" s="448">
        <v>0.0</v>
      </c>
      <c r="AK34" s="449">
        <v>0.0</v>
      </c>
      <c r="AL34" s="449">
        <v>0.0</v>
      </c>
      <c r="AM34" s="449">
        <v>0.0</v>
      </c>
      <c r="AN34" s="449">
        <v>0.0</v>
      </c>
      <c r="AO34" s="450">
        <v>0.0</v>
      </c>
      <c r="AP34" s="451" t="str">
        <f>'LUCERO FRENCH'!$AR38</f>
        <v/>
      </c>
      <c r="AQ34" s="447">
        <f>'LUCERO FRENCH'!$AQ38</f>
        <v>0</v>
      </c>
      <c r="AR34" s="448" t="str">
        <f>'LUCERO FRENCH'!$BA38</f>
        <v/>
      </c>
      <c r="AS34" s="449" t="str">
        <f>'LUCERO FRENCH'!$BC38</f>
        <v/>
      </c>
      <c r="AT34" s="449" t="str">
        <f>'LUCERO FRENCH'!$BE38</f>
        <v/>
      </c>
      <c r="AU34" s="449" t="str">
        <f>'LUCERO FRENCH'!$BG38</f>
        <v/>
      </c>
      <c r="AV34" s="449" t="str">
        <f>'LUCERO FRENCH'!$AY38</f>
        <v/>
      </c>
      <c r="AW34" s="450" t="str">
        <f>'LUCERO FRENCH'!$BI38</f>
        <v/>
      </c>
      <c r="AX34" s="451" t="str">
        <f>'LUCERO SAN TELMO 2'!$AR38</f>
        <v/>
      </c>
      <c r="AY34" s="447">
        <f>'LUCERO SAN TELMO 2'!$AQ38</f>
        <v>0</v>
      </c>
      <c r="AZ34" s="448" t="str">
        <f>'LUCERO SAN TELMO 2'!$BA38</f>
        <v/>
      </c>
      <c r="BA34" s="449" t="str">
        <f>'LUCERO SAN TELMO 2'!$BC38</f>
        <v/>
      </c>
      <c r="BB34" s="449" t="str">
        <f>'LUCERO SAN TELMO 2'!$BE38</f>
        <v/>
      </c>
      <c r="BC34" s="449" t="str">
        <f>'LUCERO SAN TELMO 2'!$BG38</f>
        <v/>
      </c>
      <c r="BD34" s="449" t="str">
        <f>'LUCERO SAN TELMO 2'!$AY38</f>
        <v/>
      </c>
      <c r="BE34" s="450" t="str">
        <f>'LUCERO SAN TELMO 2'!$BI38</f>
        <v/>
      </c>
      <c r="BF34" s="451" t="str">
        <f>RESERVA!$AO38</f>
        <v/>
      </c>
      <c r="BG34" s="447" t="str">
        <f>RESERVA!$AN38</f>
        <v/>
      </c>
      <c r="BH34" s="448" t="str">
        <f>RESERVA!$AX38</f>
        <v/>
      </c>
      <c r="BI34" s="449" t="str">
        <f>RESERVA!$AZ38</f>
        <v/>
      </c>
      <c r="BJ34" s="449" t="str">
        <f>RESERVA!$BB38</f>
        <v/>
      </c>
      <c r="BK34" s="449" t="str">
        <f>RESERVA!$BD38</f>
        <v/>
      </c>
      <c r="BL34" s="449" t="str">
        <f>RESERVA!$AV38</f>
        <v/>
      </c>
      <c r="BM34" s="450" t="str">
        <f>RESERVA!$BF38</f>
        <v/>
      </c>
      <c r="BN34" s="451" t="str">
        <f>'LUCERO FLORIDA'!$AR38</f>
        <v/>
      </c>
      <c r="BO34" s="455">
        <f>'LUCERO FLORIDA'!$AQ38</f>
        <v>0</v>
      </c>
      <c r="BP34" s="448" t="str">
        <f>'LUCERO FLORIDA'!$BA38</f>
        <v/>
      </c>
      <c r="BQ34" s="449" t="str">
        <f>'LUCERO FLORIDA'!$BC38</f>
        <v/>
      </c>
      <c r="BR34" s="449" t="str">
        <f>'LUCERO FLORIDA'!$BE38</f>
        <v/>
      </c>
      <c r="BS34" s="449" t="str">
        <f>'LUCERO FLORIDA'!$BG38</f>
        <v/>
      </c>
      <c r="BT34" s="449" t="str">
        <f>'LUCERO FLORIDA'!$AY38</f>
        <v/>
      </c>
      <c r="BU34" s="450" t="str">
        <f>'LUCERO FLORIDA'!$BI38</f>
        <v/>
      </c>
      <c r="BV34" s="451" t="str">
        <f>'LUCERO GUEMES'!$AR38</f>
        <v/>
      </c>
      <c r="BW34" s="447" t="str">
        <f>'LUCERO GUEMES'!$AQ38</f>
        <v/>
      </c>
      <c r="BX34" s="448" t="str">
        <f>'LUCERO GUEMES'!$BA38</f>
        <v/>
      </c>
      <c r="BY34" s="449" t="str">
        <f>'LUCERO GUEMES'!$BC38</f>
        <v/>
      </c>
      <c r="BZ34" s="449" t="str">
        <f>'LUCERO GUEMES'!$BE38</f>
        <v/>
      </c>
      <c r="CA34" s="449" t="str">
        <f>'LUCERO GUEMES'!$BG38</f>
        <v/>
      </c>
      <c r="CB34" s="449" t="str">
        <f>'LUCERO GUEMES'!$AY38</f>
        <v/>
      </c>
      <c r="CC34" s="450" t="str">
        <f>'LUCERO GUEMES'!$BI38</f>
        <v/>
      </c>
      <c r="CD34" s="451" t="str">
        <f>'LUCERO EL SOLAR'!AR38</f>
        <v/>
      </c>
      <c r="CE34" s="455">
        <f>'LUCERO EL SOLAR'!$AQ38</f>
        <v>20000</v>
      </c>
      <c r="CF34" s="448" t="str">
        <f>'LUCERO EL SOLAR'!$BA38</f>
        <v/>
      </c>
      <c r="CG34" s="449" t="str">
        <f>'LUCERO EL SOLAR'!$BC38</f>
        <v/>
      </c>
      <c r="CH34" s="449" t="str">
        <f>'LUCERO EL SOLAR'!$BE38</f>
        <v/>
      </c>
      <c r="CI34" s="449" t="str">
        <f>'LUCERO EL SOLAR'!$BG38</f>
        <v/>
      </c>
      <c r="CJ34" s="449" t="str">
        <f>'LUCERO EL SOLAR'!$AY38</f>
        <v/>
      </c>
      <c r="CK34" s="450" t="str">
        <f>'LUCERO EL SOLAR'!$BI38</f>
        <v/>
      </c>
      <c r="CL34" s="451" t="str">
        <f>'LUCERO GUEMES 2'!$AS38</f>
        <v/>
      </c>
      <c r="CM34" s="447" t="str">
        <f>'LUCERO GUEMES 2'!$AQ38</f>
        <v/>
      </c>
      <c r="CN34" s="448">
        <f>'LUCERO GUEMES 2'!$BB38</f>
        <v>0</v>
      </c>
      <c r="CO34" s="449">
        <f>'LUCERO GUEMES 2'!$BD38</f>
        <v>0</v>
      </c>
      <c r="CP34" s="449">
        <f>'LUCERO GUEMES 2'!$BF38</f>
        <v>0</v>
      </c>
      <c r="CQ34" s="449">
        <f>'LUCERO GUEMES 2'!$BH38</f>
        <v>0</v>
      </c>
      <c r="CR34" s="449">
        <f>'LUCERO GUEMES 2'!$AZ38</f>
        <v>0</v>
      </c>
      <c r="CS34" s="450">
        <f>'LUCERO GUEMES 2'!$BJ38</f>
        <v>0</v>
      </c>
    </row>
    <row r="35">
      <c r="A35" s="456">
        <f>+'LUCERO GUEMES'!A39</f>
        <v>46173</v>
      </c>
      <c r="B35" s="446" t="str">
        <f>'AS SAN TELMO'!AR39</f>
        <v/>
      </c>
      <c r="C35" s="447">
        <f>'AS SAN TELMO'!AQ39</f>
        <v>183800</v>
      </c>
      <c r="D35" s="448" t="str">
        <f>'AS SAN TELMO'!BA39</f>
        <v/>
      </c>
      <c r="E35" s="449" t="str">
        <f>'AS SAN TELMO'!BC39</f>
        <v/>
      </c>
      <c r="F35" s="449" t="str">
        <f>'AS SAN TELMO'!BE39</f>
        <v/>
      </c>
      <c r="G35" s="449" t="str">
        <f>'AS SAN TELMO'!BG39</f>
        <v/>
      </c>
      <c r="H35" s="449" t="str">
        <f>'AS SAN TELMO'!AY39</f>
        <v/>
      </c>
      <c r="I35" s="450" t="str">
        <f>'AS SAN TELMO'!BI39</f>
        <v/>
      </c>
      <c r="J35" s="451" t="str">
        <f>'LUCERO SAN TELMO'!$AR39</f>
        <v/>
      </c>
      <c r="K35" s="447">
        <f>'LUCERO SAN TELMO'!$AQ39</f>
        <v>60000</v>
      </c>
      <c r="L35" s="448" t="str">
        <f>'LUCERO SAN TELMO'!$BA39</f>
        <v/>
      </c>
      <c r="M35" s="449" t="str">
        <f>'LUCERO SAN TELMO'!$BC39</f>
        <v/>
      </c>
      <c r="N35" s="449" t="str">
        <f>'LUCERO SAN TELMO'!$BE39</f>
        <v/>
      </c>
      <c r="O35" s="449" t="str">
        <f>'LUCERO SAN TELMO'!$BG39</f>
        <v/>
      </c>
      <c r="P35" s="449" t="str">
        <f>'LUCERO SAN TELMO'!$AY39</f>
        <v/>
      </c>
      <c r="Q35" s="450" t="str">
        <f>'LUCERO SAN TELMO'!$BI39</f>
        <v/>
      </c>
      <c r="R35" s="451" t="str">
        <f>'AS GUEMES'!$AR39</f>
        <v/>
      </c>
      <c r="S35" s="447" t="str">
        <f>'AS GUEMES'!$AQ39</f>
        <v/>
      </c>
      <c r="T35" s="448" t="str">
        <f>'AS GUEMES'!$BA39</f>
        <v/>
      </c>
      <c r="U35" s="449" t="str">
        <f>'AS GUEMES'!$BC39</f>
        <v/>
      </c>
      <c r="V35" s="449" t="str">
        <f>'AS GUEMES'!$BE39</f>
        <v/>
      </c>
      <c r="W35" s="449" t="str">
        <f>'AS GUEMES'!$BG39</f>
        <v/>
      </c>
      <c r="X35" s="449" t="str">
        <f>'AS GUEMES'!$AY39</f>
        <v/>
      </c>
      <c r="Y35" s="450" t="str">
        <f>'AS GUEMES'!$BI39</f>
        <v/>
      </c>
      <c r="Z35" s="451" t="str">
        <f>'LUCERO RECOLETA'!$AR39</f>
        <v/>
      </c>
      <c r="AA35" s="455">
        <f>'LUCERO RECOLETA'!$AQ39</f>
        <v>13000</v>
      </c>
      <c r="AB35" s="448" t="str">
        <f>'LUCERO RECOLETA'!$BA39</f>
        <v/>
      </c>
      <c r="AC35" s="449" t="str">
        <f>'LUCERO RECOLETA'!$BC39</f>
        <v/>
      </c>
      <c r="AD35" s="449" t="str">
        <f>'LUCERO RECOLETA'!$BE39</f>
        <v/>
      </c>
      <c r="AE35" s="449" t="str">
        <f>'LUCERO RECOLETA'!$BG39</f>
        <v/>
      </c>
      <c r="AF35" s="449" t="str">
        <f>'LUCERO RECOLETA'!$AY39</f>
        <v/>
      </c>
      <c r="AG35" s="450" t="str">
        <f>'LUCERO RECOLETA'!$BI39</f>
        <v/>
      </c>
      <c r="AH35" s="451">
        <v>0.0</v>
      </c>
      <c r="AI35" s="447">
        <v>0.0</v>
      </c>
      <c r="AJ35" s="448">
        <v>0.0</v>
      </c>
      <c r="AK35" s="449">
        <v>0.0</v>
      </c>
      <c r="AL35" s="449">
        <v>0.0</v>
      </c>
      <c r="AM35" s="449">
        <v>0.0</v>
      </c>
      <c r="AN35" s="449">
        <v>0.0</v>
      </c>
      <c r="AO35" s="450">
        <v>0.0</v>
      </c>
      <c r="AP35" s="451" t="str">
        <f>'LUCERO FRENCH'!$AR39</f>
        <v/>
      </c>
      <c r="AQ35" s="447">
        <f>'LUCERO FRENCH'!$AQ39</f>
        <v>228000</v>
      </c>
      <c r="AR35" s="448">
        <f>'LUCERO FRENCH'!$BA39</f>
        <v>140</v>
      </c>
      <c r="AS35" s="449" t="str">
        <f>'LUCERO FRENCH'!$BC39</f>
        <v/>
      </c>
      <c r="AT35" s="449" t="str">
        <f>'LUCERO FRENCH'!$BE39</f>
        <v/>
      </c>
      <c r="AU35" s="449" t="str">
        <f>'LUCERO FRENCH'!$BG39</f>
        <v/>
      </c>
      <c r="AV35" s="449" t="str">
        <f>'LUCERO FRENCH'!$AY39</f>
        <v/>
      </c>
      <c r="AW35" s="450" t="str">
        <f>'LUCERO FRENCH'!$BI39</f>
        <v/>
      </c>
      <c r="AX35" s="451" t="str">
        <f>'LUCERO SAN TELMO 2'!$AR39</f>
        <v/>
      </c>
      <c r="AY35" s="447">
        <f>'LUCERO SAN TELMO 2'!$AQ39</f>
        <v>60000</v>
      </c>
      <c r="AZ35" s="448">
        <f>'LUCERO SAN TELMO 2'!$BA39</f>
        <v>20</v>
      </c>
      <c r="BA35" s="449" t="str">
        <f>'LUCERO SAN TELMO 2'!$BC39</f>
        <v/>
      </c>
      <c r="BB35" s="449" t="str">
        <f>'LUCERO SAN TELMO 2'!$BE39</f>
        <v/>
      </c>
      <c r="BC35" s="449" t="str">
        <f>'LUCERO SAN TELMO 2'!$BG39</f>
        <v/>
      </c>
      <c r="BD35" s="449" t="str">
        <f>'LUCERO SAN TELMO 2'!$AY39</f>
        <v/>
      </c>
      <c r="BE35" s="450" t="str">
        <f>'LUCERO SAN TELMO 2'!$BI39</f>
        <v/>
      </c>
      <c r="BF35" s="451" t="str">
        <f>RESERVA!$AO39</f>
        <v/>
      </c>
      <c r="BG35" s="447" t="str">
        <f>RESERVA!$AN39</f>
        <v/>
      </c>
      <c r="BH35" s="448" t="str">
        <f>RESERVA!$AX39</f>
        <v/>
      </c>
      <c r="BI35" s="449" t="str">
        <f>RESERVA!$AZ39</f>
        <v/>
      </c>
      <c r="BJ35" s="449" t="str">
        <f>RESERVA!$BB39</f>
        <v/>
      </c>
      <c r="BK35" s="449" t="str">
        <f>RESERVA!$BD39</f>
        <v/>
      </c>
      <c r="BL35" s="449" t="str">
        <f>RESERVA!$AV39</f>
        <v/>
      </c>
      <c r="BM35" s="450" t="str">
        <f>RESERVA!$BF39</f>
        <v/>
      </c>
      <c r="BN35" s="451" t="str">
        <f>'LUCERO FLORIDA'!$AR39</f>
        <v/>
      </c>
      <c r="BO35" s="455">
        <f>'LUCERO FLORIDA'!$AQ39</f>
        <v>0</v>
      </c>
      <c r="BP35" s="448" t="str">
        <f>'LUCERO FLORIDA'!$BA39</f>
        <v/>
      </c>
      <c r="BQ35" s="449" t="str">
        <f>'LUCERO FLORIDA'!$BC39</f>
        <v/>
      </c>
      <c r="BR35" s="449" t="str">
        <f>'LUCERO FLORIDA'!$BE39</f>
        <v/>
      </c>
      <c r="BS35" s="449" t="str">
        <f>'LUCERO FLORIDA'!$BG39</f>
        <v/>
      </c>
      <c r="BT35" s="449" t="str">
        <f>'LUCERO FLORIDA'!$AY39</f>
        <v/>
      </c>
      <c r="BU35" s="450" t="str">
        <f>'LUCERO FLORIDA'!$BI39</f>
        <v/>
      </c>
      <c r="BV35" s="451" t="str">
        <f>'LUCERO GUEMES'!$AR39</f>
        <v/>
      </c>
      <c r="BW35" s="447" t="str">
        <f>'LUCERO GUEMES'!$AQ39</f>
        <v/>
      </c>
      <c r="BX35" s="448" t="str">
        <f>'LUCERO GUEMES'!$BA39</f>
        <v/>
      </c>
      <c r="BY35" s="449" t="str">
        <f>'LUCERO GUEMES'!$BC39</f>
        <v/>
      </c>
      <c r="BZ35" s="449" t="str">
        <f>'LUCERO GUEMES'!$BE39</f>
        <v/>
      </c>
      <c r="CA35" s="449" t="str">
        <f>'LUCERO GUEMES'!$BG39</f>
        <v/>
      </c>
      <c r="CB35" s="449" t="str">
        <f>'LUCERO GUEMES'!$AY39</f>
        <v/>
      </c>
      <c r="CC35" s="450" t="str">
        <f>'LUCERO GUEMES'!$BI39</f>
        <v/>
      </c>
      <c r="CD35" s="451" t="str">
        <f>'LUCERO EL SOLAR'!AR39</f>
        <v/>
      </c>
      <c r="CE35" s="455">
        <f>'LUCERO EL SOLAR'!$AQ39</f>
        <v>0</v>
      </c>
      <c r="CF35" s="448" t="str">
        <f>'LUCERO EL SOLAR'!$BA39</f>
        <v/>
      </c>
      <c r="CG35" s="449" t="str">
        <f>'LUCERO EL SOLAR'!$BC39</f>
        <v/>
      </c>
      <c r="CH35" s="449" t="str">
        <f>'LUCERO EL SOLAR'!$BE39</f>
        <v/>
      </c>
      <c r="CI35" s="449" t="str">
        <f>'LUCERO EL SOLAR'!$BG39</f>
        <v/>
      </c>
      <c r="CJ35" s="449" t="str">
        <f>'LUCERO EL SOLAR'!$AY39</f>
        <v/>
      </c>
      <c r="CK35" s="450" t="str">
        <f>'LUCERO EL SOLAR'!$BI39</f>
        <v/>
      </c>
      <c r="CL35" s="451" t="str">
        <f>'LUCERO GUEMES 2'!$AS39</f>
        <v/>
      </c>
      <c r="CM35" s="447" t="str">
        <f>'LUCERO GUEMES 2'!$AQ39</f>
        <v/>
      </c>
      <c r="CN35" s="448">
        <f>'LUCERO GUEMES 2'!$BB39</f>
        <v>0</v>
      </c>
      <c r="CO35" s="449">
        <f>'LUCERO GUEMES 2'!$BD39</f>
        <v>0</v>
      </c>
      <c r="CP35" s="449">
        <f>'LUCERO GUEMES 2'!$BF39</f>
        <v>0</v>
      </c>
      <c r="CQ35" s="449">
        <f>'LUCERO GUEMES 2'!$BH39</f>
        <v>0</v>
      </c>
      <c r="CR35" s="449">
        <f>'LUCERO GUEMES 2'!$AZ39</f>
        <v>0</v>
      </c>
      <c r="CS35" s="450">
        <f>'LUCERO GUEMES 2'!$BJ39</f>
        <v>0</v>
      </c>
    </row>
    <row r="36">
      <c r="A36" s="43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457"/>
      <c r="AI36" s="457"/>
      <c r="AJ36" s="457"/>
      <c r="AK36" s="457"/>
      <c r="AL36" s="457"/>
      <c r="AM36" s="457"/>
      <c r="AN36" s="457"/>
      <c r="AO36" s="457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  <c r="CA36" s="222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2"/>
      <c r="CR36" s="222"/>
      <c r="CS36" s="222"/>
    </row>
    <row r="37">
      <c r="A37" s="43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457"/>
      <c r="AI37" s="457"/>
      <c r="AJ37" s="457"/>
      <c r="AK37" s="457"/>
      <c r="AL37" s="457"/>
      <c r="AM37" s="457"/>
      <c r="AN37" s="457"/>
      <c r="AO37" s="457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2"/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222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2"/>
      <c r="CR37" s="222"/>
      <c r="CS37" s="222"/>
    </row>
    <row r="38">
      <c r="A38" s="43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457"/>
      <c r="AI38" s="457"/>
      <c r="AJ38" s="457"/>
      <c r="AK38" s="457"/>
      <c r="AL38" s="457"/>
      <c r="AM38" s="457"/>
      <c r="AN38" s="457"/>
      <c r="AO38" s="457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222"/>
    </row>
    <row r="39">
      <c r="A39" s="458" t="s">
        <v>188</v>
      </c>
      <c r="B39" s="459">
        <f t="shared" ref="B39:CS39" si="1">SUM(B5)</f>
        <v>0</v>
      </c>
      <c r="C39" s="459">
        <f t="shared" si="1"/>
        <v>0</v>
      </c>
      <c r="D39" s="459">
        <f t="shared" si="1"/>
        <v>0</v>
      </c>
      <c r="E39" s="459">
        <f t="shared" si="1"/>
        <v>0</v>
      </c>
      <c r="F39" s="459">
        <f t="shared" si="1"/>
        <v>0</v>
      </c>
      <c r="G39" s="459">
        <f t="shared" si="1"/>
        <v>0</v>
      </c>
      <c r="H39" s="459">
        <f t="shared" si="1"/>
        <v>0</v>
      </c>
      <c r="I39" s="459">
        <f t="shared" si="1"/>
        <v>0</v>
      </c>
      <c r="J39" s="459">
        <f t="shared" si="1"/>
        <v>0</v>
      </c>
      <c r="K39" s="459">
        <f t="shared" si="1"/>
        <v>0</v>
      </c>
      <c r="L39" s="459">
        <f t="shared" si="1"/>
        <v>0</v>
      </c>
      <c r="M39" s="459">
        <f t="shared" si="1"/>
        <v>0</v>
      </c>
      <c r="N39" s="459">
        <f t="shared" si="1"/>
        <v>0</v>
      </c>
      <c r="O39" s="459">
        <f t="shared" si="1"/>
        <v>0</v>
      </c>
      <c r="P39" s="459">
        <f t="shared" si="1"/>
        <v>0</v>
      </c>
      <c r="Q39" s="459">
        <f t="shared" si="1"/>
        <v>0</v>
      </c>
      <c r="R39" s="459">
        <f t="shared" si="1"/>
        <v>0</v>
      </c>
      <c r="S39" s="459">
        <f t="shared" si="1"/>
        <v>0</v>
      </c>
      <c r="T39" s="459">
        <f t="shared" si="1"/>
        <v>0</v>
      </c>
      <c r="U39" s="459">
        <f t="shared" si="1"/>
        <v>0</v>
      </c>
      <c r="V39" s="459">
        <f t="shared" si="1"/>
        <v>0</v>
      </c>
      <c r="W39" s="459">
        <f t="shared" si="1"/>
        <v>0</v>
      </c>
      <c r="X39" s="459">
        <f t="shared" si="1"/>
        <v>0</v>
      </c>
      <c r="Y39" s="459">
        <f t="shared" si="1"/>
        <v>0</v>
      </c>
      <c r="Z39" s="459">
        <f t="shared" si="1"/>
        <v>0</v>
      </c>
      <c r="AA39" s="459">
        <f t="shared" si="1"/>
        <v>0</v>
      </c>
      <c r="AB39" s="459">
        <f t="shared" si="1"/>
        <v>0</v>
      </c>
      <c r="AC39" s="459">
        <f t="shared" si="1"/>
        <v>0</v>
      </c>
      <c r="AD39" s="459">
        <f t="shared" si="1"/>
        <v>0</v>
      </c>
      <c r="AE39" s="459">
        <f t="shared" si="1"/>
        <v>0</v>
      </c>
      <c r="AF39" s="459">
        <f t="shared" si="1"/>
        <v>0</v>
      </c>
      <c r="AG39" s="459">
        <f t="shared" si="1"/>
        <v>0</v>
      </c>
      <c r="AH39" s="459">
        <f t="shared" si="1"/>
        <v>0</v>
      </c>
      <c r="AI39" s="459">
        <f t="shared" si="1"/>
        <v>0</v>
      </c>
      <c r="AJ39" s="459">
        <f t="shared" si="1"/>
        <v>0</v>
      </c>
      <c r="AK39" s="459">
        <f t="shared" si="1"/>
        <v>0</v>
      </c>
      <c r="AL39" s="459">
        <f t="shared" si="1"/>
        <v>0</v>
      </c>
      <c r="AM39" s="459">
        <f t="shared" si="1"/>
        <v>0</v>
      </c>
      <c r="AN39" s="459">
        <f t="shared" si="1"/>
        <v>0</v>
      </c>
      <c r="AO39" s="459">
        <f t="shared" si="1"/>
        <v>0</v>
      </c>
      <c r="AP39" s="459">
        <f t="shared" si="1"/>
        <v>0</v>
      </c>
      <c r="AQ39" s="459">
        <f t="shared" si="1"/>
        <v>0</v>
      </c>
      <c r="AR39" s="459">
        <f t="shared" si="1"/>
        <v>0</v>
      </c>
      <c r="AS39" s="459">
        <f t="shared" si="1"/>
        <v>0</v>
      </c>
      <c r="AT39" s="459">
        <f t="shared" si="1"/>
        <v>0</v>
      </c>
      <c r="AU39" s="459">
        <f t="shared" si="1"/>
        <v>0</v>
      </c>
      <c r="AV39" s="459">
        <f t="shared" si="1"/>
        <v>0</v>
      </c>
      <c r="AW39" s="459">
        <f t="shared" si="1"/>
        <v>0</v>
      </c>
      <c r="AX39" s="459">
        <f t="shared" si="1"/>
        <v>0</v>
      </c>
      <c r="AY39" s="459">
        <f t="shared" si="1"/>
        <v>0</v>
      </c>
      <c r="AZ39" s="459">
        <f t="shared" si="1"/>
        <v>0</v>
      </c>
      <c r="BA39" s="459">
        <f t="shared" si="1"/>
        <v>0</v>
      </c>
      <c r="BB39" s="459">
        <f t="shared" si="1"/>
        <v>0</v>
      </c>
      <c r="BC39" s="459">
        <f t="shared" si="1"/>
        <v>0</v>
      </c>
      <c r="BD39" s="459">
        <f t="shared" si="1"/>
        <v>0</v>
      </c>
      <c r="BE39" s="459">
        <f t="shared" si="1"/>
        <v>0</v>
      </c>
      <c r="BF39" s="459">
        <f t="shared" si="1"/>
        <v>0</v>
      </c>
      <c r="BG39" s="459">
        <f t="shared" si="1"/>
        <v>0</v>
      </c>
      <c r="BH39" s="459">
        <f t="shared" si="1"/>
        <v>0</v>
      </c>
      <c r="BI39" s="459">
        <f t="shared" si="1"/>
        <v>0</v>
      </c>
      <c r="BJ39" s="459">
        <f t="shared" si="1"/>
        <v>0</v>
      </c>
      <c r="BK39" s="459">
        <f t="shared" si="1"/>
        <v>0</v>
      </c>
      <c r="BL39" s="459">
        <f t="shared" si="1"/>
        <v>0</v>
      </c>
      <c r="BM39" s="459">
        <f t="shared" si="1"/>
        <v>0</v>
      </c>
      <c r="BN39" s="459">
        <f t="shared" si="1"/>
        <v>0</v>
      </c>
      <c r="BO39" s="459">
        <f t="shared" si="1"/>
        <v>0</v>
      </c>
      <c r="BP39" s="459">
        <f t="shared" si="1"/>
        <v>0</v>
      </c>
      <c r="BQ39" s="459">
        <f t="shared" si="1"/>
        <v>0</v>
      </c>
      <c r="BR39" s="459">
        <f t="shared" si="1"/>
        <v>0</v>
      </c>
      <c r="BS39" s="459">
        <f t="shared" si="1"/>
        <v>0</v>
      </c>
      <c r="BT39" s="459">
        <f t="shared" si="1"/>
        <v>0</v>
      </c>
      <c r="BU39" s="459">
        <f t="shared" si="1"/>
        <v>0</v>
      </c>
      <c r="BV39" s="459">
        <f t="shared" si="1"/>
        <v>0</v>
      </c>
      <c r="BW39" s="459">
        <f t="shared" si="1"/>
        <v>0</v>
      </c>
      <c r="BX39" s="459">
        <f t="shared" si="1"/>
        <v>0</v>
      </c>
      <c r="BY39" s="459">
        <f t="shared" si="1"/>
        <v>0</v>
      </c>
      <c r="BZ39" s="459">
        <f t="shared" si="1"/>
        <v>0</v>
      </c>
      <c r="CA39" s="459">
        <f t="shared" si="1"/>
        <v>0</v>
      </c>
      <c r="CB39" s="459">
        <f t="shared" si="1"/>
        <v>0</v>
      </c>
      <c r="CC39" s="459">
        <f t="shared" si="1"/>
        <v>0</v>
      </c>
      <c r="CD39" s="459">
        <f t="shared" si="1"/>
        <v>0</v>
      </c>
      <c r="CE39" s="459">
        <f t="shared" si="1"/>
        <v>0</v>
      </c>
      <c r="CF39" s="459">
        <f t="shared" si="1"/>
        <v>0</v>
      </c>
      <c r="CG39" s="459">
        <f t="shared" si="1"/>
        <v>0</v>
      </c>
      <c r="CH39" s="459">
        <f t="shared" si="1"/>
        <v>0</v>
      </c>
      <c r="CI39" s="459">
        <f t="shared" si="1"/>
        <v>0</v>
      </c>
      <c r="CJ39" s="459">
        <f t="shared" si="1"/>
        <v>0</v>
      </c>
      <c r="CK39" s="459">
        <f t="shared" si="1"/>
        <v>0</v>
      </c>
      <c r="CL39" s="459">
        <f t="shared" si="1"/>
        <v>0</v>
      </c>
      <c r="CM39" s="459">
        <f t="shared" si="1"/>
        <v>0</v>
      </c>
      <c r="CN39" s="459">
        <f t="shared" si="1"/>
        <v>0</v>
      </c>
      <c r="CO39" s="459">
        <f t="shared" si="1"/>
        <v>0</v>
      </c>
      <c r="CP39" s="459">
        <f t="shared" si="1"/>
        <v>0</v>
      </c>
      <c r="CQ39" s="459">
        <f t="shared" si="1"/>
        <v>0</v>
      </c>
      <c r="CR39" s="459">
        <f t="shared" si="1"/>
        <v>0</v>
      </c>
      <c r="CS39" s="459">
        <f t="shared" si="1"/>
        <v>0</v>
      </c>
    </row>
    <row r="40">
      <c r="A40" s="458" t="s">
        <v>189</v>
      </c>
      <c r="B40" s="459">
        <f t="shared" ref="B40:CS40" si="2">SUM(B6:B8)</f>
        <v>0</v>
      </c>
      <c r="C40" s="459">
        <f t="shared" si="2"/>
        <v>361200</v>
      </c>
      <c r="D40" s="459">
        <f t="shared" si="2"/>
        <v>0</v>
      </c>
      <c r="E40" s="459">
        <f t="shared" si="2"/>
        <v>0</v>
      </c>
      <c r="F40" s="459">
        <f t="shared" si="2"/>
        <v>0</v>
      </c>
      <c r="G40" s="459">
        <f t="shared" si="2"/>
        <v>0</v>
      </c>
      <c r="H40" s="459">
        <f t="shared" si="2"/>
        <v>0</v>
      </c>
      <c r="I40" s="459">
        <f t="shared" si="2"/>
        <v>0</v>
      </c>
      <c r="J40" s="459">
        <f t="shared" si="2"/>
        <v>0</v>
      </c>
      <c r="K40" s="459">
        <f t="shared" si="2"/>
        <v>483000</v>
      </c>
      <c r="L40" s="459">
        <f t="shared" si="2"/>
        <v>200</v>
      </c>
      <c r="M40" s="459">
        <f t="shared" si="2"/>
        <v>80</v>
      </c>
      <c r="N40" s="459">
        <f t="shared" si="2"/>
        <v>0</v>
      </c>
      <c r="O40" s="459">
        <f t="shared" si="2"/>
        <v>0</v>
      </c>
      <c r="P40" s="459">
        <f t="shared" si="2"/>
        <v>0</v>
      </c>
      <c r="Q40" s="459">
        <f t="shared" si="2"/>
        <v>0</v>
      </c>
      <c r="R40" s="459">
        <f t="shared" si="2"/>
        <v>0</v>
      </c>
      <c r="S40" s="459">
        <f t="shared" si="2"/>
        <v>0</v>
      </c>
      <c r="T40" s="459">
        <f t="shared" si="2"/>
        <v>0</v>
      </c>
      <c r="U40" s="459">
        <f t="shared" si="2"/>
        <v>0</v>
      </c>
      <c r="V40" s="459">
        <f t="shared" si="2"/>
        <v>0</v>
      </c>
      <c r="W40" s="459">
        <f t="shared" si="2"/>
        <v>0</v>
      </c>
      <c r="X40" s="459">
        <f t="shared" si="2"/>
        <v>0</v>
      </c>
      <c r="Y40" s="459">
        <f t="shared" si="2"/>
        <v>0</v>
      </c>
      <c r="Z40" s="459">
        <f t="shared" si="2"/>
        <v>0</v>
      </c>
      <c r="AA40" s="459">
        <f t="shared" si="2"/>
        <v>120000</v>
      </c>
      <c r="AB40" s="459">
        <f t="shared" si="2"/>
        <v>200</v>
      </c>
      <c r="AC40" s="459">
        <f t="shared" si="2"/>
        <v>0</v>
      </c>
      <c r="AD40" s="459">
        <f t="shared" si="2"/>
        <v>0</v>
      </c>
      <c r="AE40" s="459">
        <f t="shared" si="2"/>
        <v>0</v>
      </c>
      <c r="AF40" s="459">
        <f t="shared" si="2"/>
        <v>0</v>
      </c>
      <c r="AG40" s="459">
        <f t="shared" si="2"/>
        <v>0</v>
      </c>
      <c r="AH40" s="459">
        <f t="shared" si="2"/>
        <v>0</v>
      </c>
      <c r="AI40" s="459">
        <f t="shared" si="2"/>
        <v>0</v>
      </c>
      <c r="AJ40" s="459">
        <f t="shared" si="2"/>
        <v>0</v>
      </c>
      <c r="AK40" s="459">
        <f t="shared" si="2"/>
        <v>0</v>
      </c>
      <c r="AL40" s="459">
        <f t="shared" si="2"/>
        <v>0</v>
      </c>
      <c r="AM40" s="459">
        <f t="shared" si="2"/>
        <v>0</v>
      </c>
      <c r="AN40" s="459">
        <f t="shared" si="2"/>
        <v>0</v>
      </c>
      <c r="AO40" s="459">
        <f t="shared" si="2"/>
        <v>0</v>
      </c>
      <c r="AP40" s="459">
        <f t="shared" si="2"/>
        <v>0</v>
      </c>
      <c r="AQ40" s="459">
        <f t="shared" si="2"/>
        <v>0</v>
      </c>
      <c r="AR40" s="459">
        <f t="shared" si="2"/>
        <v>40</v>
      </c>
      <c r="AS40" s="459">
        <f t="shared" si="2"/>
        <v>0</v>
      </c>
      <c r="AT40" s="459">
        <f t="shared" si="2"/>
        <v>0</v>
      </c>
      <c r="AU40" s="459">
        <f t="shared" si="2"/>
        <v>0</v>
      </c>
      <c r="AV40" s="459">
        <f t="shared" si="2"/>
        <v>0</v>
      </c>
      <c r="AW40" s="459">
        <f t="shared" si="2"/>
        <v>0</v>
      </c>
      <c r="AX40" s="459">
        <f t="shared" si="2"/>
        <v>0</v>
      </c>
      <c r="AY40" s="459">
        <f t="shared" si="2"/>
        <v>40000</v>
      </c>
      <c r="AZ40" s="459">
        <f t="shared" si="2"/>
        <v>100</v>
      </c>
      <c r="BA40" s="459">
        <f t="shared" si="2"/>
        <v>0</v>
      </c>
      <c r="BB40" s="459">
        <f t="shared" si="2"/>
        <v>0</v>
      </c>
      <c r="BC40" s="459">
        <f t="shared" si="2"/>
        <v>0</v>
      </c>
      <c r="BD40" s="459">
        <f t="shared" si="2"/>
        <v>0</v>
      </c>
      <c r="BE40" s="459">
        <f t="shared" si="2"/>
        <v>0</v>
      </c>
      <c r="BF40" s="459">
        <f t="shared" si="2"/>
        <v>0</v>
      </c>
      <c r="BG40" s="459">
        <f t="shared" si="2"/>
        <v>0</v>
      </c>
      <c r="BH40" s="459">
        <f t="shared" si="2"/>
        <v>0</v>
      </c>
      <c r="BI40" s="459">
        <f t="shared" si="2"/>
        <v>0</v>
      </c>
      <c r="BJ40" s="459">
        <f t="shared" si="2"/>
        <v>0</v>
      </c>
      <c r="BK40" s="459">
        <f t="shared" si="2"/>
        <v>0</v>
      </c>
      <c r="BL40" s="459">
        <f t="shared" si="2"/>
        <v>0</v>
      </c>
      <c r="BM40" s="459">
        <f t="shared" si="2"/>
        <v>0</v>
      </c>
      <c r="BN40" s="459">
        <f t="shared" si="2"/>
        <v>0</v>
      </c>
      <c r="BO40" s="459">
        <f t="shared" si="2"/>
        <v>135000</v>
      </c>
      <c r="BP40" s="459">
        <f t="shared" si="2"/>
        <v>620</v>
      </c>
      <c r="BQ40" s="459">
        <f t="shared" si="2"/>
        <v>140</v>
      </c>
      <c r="BR40" s="459">
        <f t="shared" si="2"/>
        <v>0</v>
      </c>
      <c r="BS40" s="459">
        <f t="shared" si="2"/>
        <v>0</v>
      </c>
      <c r="BT40" s="459">
        <f t="shared" si="2"/>
        <v>0</v>
      </c>
      <c r="BU40" s="459">
        <f t="shared" si="2"/>
        <v>0</v>
      </c>
      <c r="BV40" s="459">
        <f t="shared" si="2"/>
        <v>0</v>
      </c>
      <c r="BW40" s="459">
        <f t="shared" si="2"/>
        <v>0</v>
      </c>
      <c r="BX40" s="459">
        <f t="shared" si="2"/>
        <v>0</v>
      </c>
      <c r="BY40" s="459">
        <f t="shared" si="2"/>
        <v>0</v>
      </c>
      <c r="BZ40" s="459">
        <f t="shared" si="2"/>
        <v>0</v>
      </c>
      <c r="CA40" s="459">
        <f t="shared" si="2"/>
        <v>0</v>
      </c>
      <c r="CB40" s="459">
        <f t="shared" si="2"/>
        <v>0</v>
      </c>
      <c r="CC40" s="459">
        <f t="shared" si="2"/>
        <v>0</v>
      </c>
      <c r="CD40" s="459">
        <f t="shared" si="2"/>
        <v>0</v>
      </c>
      <c r="CE40" s="459">
        <f t="shared" si="2"/>
        <v>225000</v>
      </c>
      <c r="CF40" s="459">
        <f t="shared" si="2"/>
        <v>0</v>
      </c>
      <c r="CG40" s="459">
        <f t="shared" si="2"/>
        <v>0</v>
      </c>
      <c r="CH40" s="459">
        <f t="shared" si="2"/>
        <v>0</v>
      </c>
      <c r="CI40" s="459">
        <f t="shared" si="2"/>
        <v>0</v>
      </c>
      <c r="CJ40" s="459">
        <f t="shared" si="2"/>
        <v>0</v>
      </c>
      <c r="CK40" s="459">
        <f t="shared" si="2"/>
        <v>0</v>
      </c>
      <c r="CL40" s="459">
        <f t="shared" si="2"/>
        <v>0</v>
      </c>
      <c r="CM40" s="459">
        <f t="shared" si="2"/>
        <v>0</v>
      </c>
      <c r="CN40" s="459">
        <f t="shared" si="2"/>
        <v>0</v>
      </c>
      <c r="CO40" s="459">
        <f t="shared" si="2"/>
        <v>0</v>
      </c>
      <c r="CP40" s="459">
        <f t="shared" si="2"/>
        <v>0</v>
      </c>
      <c r="CQ40" s="459">
        <f t="shared" si="2"/>
        <v>0</v>
      </c>
      <c r="CR40" s="459">
        <f t="shared" si="2"/>
        <v>0</v>
      </c>
      <c r="CS40" s="459">
        <f t="shared" si="2"/>
        <v>0</v>
      </c>
    </row>
    <row r="41">
      <c r="A41" s="458" t="s">
        <v>190</v>
      </c>
      <c r="B41" s="459">
        <f t="shared" ref="B41:CS41" si="3">SUM(B9:B12)</f>
        <v>0</v>
      </c>
      <c r="C41" s="459">
        <f t="shared" si="3"/>
        <v>610100</v>
      </c>
      <c r="D41" s="459">
        <f t="shared" si="3"/>
        <v>0</v>
      </c>
      <c r="E41" s="459">
        <f t="shared" si="3"/>
        <v>0</v>
      </c>
      <c r="F41" s="459">
        <f t="shared" si="3"/>
        <v>0</v>
      </c>
      <c r="G41" s="459">
        <f t="shared" si="3"/>
        <v>0</v>
      </c>
      <c r="H41" s="459">
        <f t="shared" si="3"/>
        <v>0</v>
      </c>
      <c r="I41" s="459">
        <f t="shared" si="3"/>
        <v>0</v>
      </c>
      <c r="J41" s="459">
        <f t="shared" si="3"/>
        <v>0</v>
      </c>
      <c r="K41" s="459">
        <f t="shared" si="3"/>
        <v>179000</v>
      </c>
      <c r="L41" s="459">
        <f t="shared" si="3"/>
        <v>0</v>
      </c>
      <c r="M41" s="459">
        <f t="shared" si="3"/>
        <v>0</v>
      </c>
      <c r="N41" s="459">
        <f t="shared" si="3"/>
        <v>0</v>
      </c>
      <c r="O41" s="459">
        <f t="shared" si="3"/>
        <v>0</v>
      </c>
      <c r="P41" s="459">
        <f t="shared" si="3"/>
        <v>200</v>
      </c>
      <c r="Q41" s="459">
        <f t="shared" si="3"/>
        <v>0</v>
      </c>
      <c r="R41" s="459">
        <f t="shared" si="3"/>
        <v>0</v>
      </c>
      <c r="S41" s="459">
        <f t="shared" si="3"/>
        <v>0</v>
      </c>
      <c r="T41" s="459">
        <f t="shared" si="3"/>
        <v>0</v>
      </c>
      <c r="U41" s="459">
        <f t="shared" si="3"/>
        <v>0</v>
      </c>
      <c r="V41" s="459">
        <f t="shared" si="3"/>
        <v>0</v>
      </c>
      <c r="W41" s="459">
        <f t="shared" si="3"/>
        <v>0</v>
      </c>
      <c r="X41" s="459">
        <f t="shared" si="3"/>
        <v>0</v>
      </c>
      <c r="Y41" s="459">
        <f t="shared" si="3"/>
        <v>0</v>
      </c>
      <c r="Z41" s="459">
        <f t="shared" si="3"/>
        <v>0</v>
      </c>
      <c r="AA41" s="459">
        <f t="shared" si="3"/>
        <v>290000</v>
      </c>
      <c r="AB41" s="459">
        <f t="shared" si="3"/>
        <v>0</v>
      </c>
      <c r="AC41" s="459">
        <f t="shared" si="3"/>
        <v>0</v>
      </c>
      <c r="AD41" s="459">
        <f t="shared" si="3"/>
        <v>0</v>
      </c>
      <c r="AE41" s="459">
        <f t="shared" si="3"/>
        <v>0</v>
      </c>
      <c r="AF41" s="459">
        <f t="shared" si="3"/>
        <v>0</v>
      </c>
      <c r="AG41" s="459">
        <f t="shared" si="3"/>
        <v>0</v>
      </c>
      <c r="AH41" s="459">
        <f t="shared" si="3"/>
        <v>0</v>
      </c>
      <c r="AI41" s="459">
        <f t="shared" si="3"/>
        <v>0</v>
      </c>
      <c r="AJ41" s="459">
        <f t="shared" si="3"/>
        <v>0</v>
      </c>
      <c r="AK41" s="459">
        <f t="shared" si="3"/>
        <v>0</v>
      </c>
      <c r="AL41" s="459">
        <f t="shared" si="3"/>
        <v>0</v>
      </c>
      <c r="AM41" s="459">
        <f t="shared" si="3"/>
        <v>0</v>
      </c>
      <c r="AN41" s="459">
        <f t="shared" si="3"/>
        <v>0</v>
      </c>
      <c r="AO41" s="459">
        <f t="shared" si="3"/>
        <v>0</v>
      </c>
      <c r="AP41" s="459">
        <f t="shared" si="3"/>
        <v>0</v>
      </c>
      <c r="AQ41" s="459">
        <f t="shared" si="3"/>
        <v>100000</v>
      </c>
      <c r="AR41" s="459">
        <f t="shared" si="3"/>
        <v>0</v>
      </c>
      <c r="AS41" s="459">
        <f t="shared" si="3"/>
        <v>0</v>
      </c>
      <c r="AT41" s="459">
        <f t="shared" si="3"/>
        <v>0</v>
      </c>
      <c r="AU41" s="459">
        <f t="shared" si="3"/>
        <v>0</v>
      </c>
      <c r="AV41" s="459">
        <f t="shared" si="3"/>
        <v>0</v>
      </c>
      <c r="AW41" s="459">
        <f t="shared" si="3"/>
        <v>0</v>
      </c>
      <c r="AX41" s="459">
        <f t="shared" si="3"/>
        <v>0</v>
      </c>
      <c r="AY41" s="459">
        <f t="shared" si="3"/>
        <v>298000</v>
      </c>
      <c r="AZ41" s="459">
        <f t="shared" si="3"/>
        <v>150</v>
      </c>
      <c r="BA41" s="459">
        <f t="shared" si="3"/>
        <v>0</v>
      </c>
      <c r="BB41" s="459">
        <f t="shared" si="3"/>
        <v>0</v>
      </c>
      <c r="BC41" s="459">
        <f t="shared" si="3"/>
        <v>0</v>
      </c>
      <c r="BD41" s="459">
        <f t="shared" si="3"/>
        <v>0</v>
      </c>
      <c r="BE41" s="459">
        <f t="shared" si="3"/>
        <v>0</v>
      </c>
      <c r="BF41" s="459">
        <f t="shared" si="3"/>
        <v>0</v>
      </c>
      <c r="BG41" s="459">
        <f t="shared" si="3"/>
        <v>0</v>
      </c>
      <c r="BH41" s="459">
        <f t="shared" si="3"/>
        <v>0</v>
      </c>
      <c r="BI41" s="459">
        <f t="shared" si="3"/>
        <v>0</v>
      </c>
      <c r="BJ41" s="459">
        <f t="shared" si="3"/>
        <v>0</v>
      </c>
      <c r="BK41" s="459">
        <f t="shared" si="3"/>
        <v>0</v>
      </c>
      <c r="BL41" s="459">
        <f t="shared" si="3"/>
        <v>0</v>
      </c>
      <c r="BM41" s="459">
        <f t="shared" si="3"/>
        <v>0</v>
      </c>
      <c r="BN41" s="459">
        <f t="shared" si="3"/>
        <v>0</v>
      </c>
      <c r="BO41" s="459">
        <f t="shared" si="3"/>
        <v>374000</v>
      </c>
      <c r="BP41" s="459">
        <f t="shared" si="3"/>
        <v>340</v>
      </c>
      <c r="BQ41" s="459">
        <f t="shared" si="3"/>
        <v>0</v>
      </c>
      <c r="BR41" s="459">
        <f t="shared" si="3"/>
        <v>0</v>
      </c>
      <c r="BS41" s="459">
        <f t="shared" si="3"/>
        <v>0</v>
      </c>
      <c r="BT41" s="459">
        <f t="shared" si="3"/>
        <v>0</v>
      </c>
      <c r="BU41" s="459">
        <f t="shared" si="3"/>
        <v>0</v>
      </c>
      <c r="BV41" s="459">
        <f t="shared" si="3"/>
        <v>0</v>
      </c>
      <c r="BW41" s="459">
        <f t="shared" si="3"/>
        <v>0</v>
      </c>
      <c r="BX41" s="459">
        <f t="shared" si="3"/>
        <v>0</v>
      </c>
      <c r="BY41" s="459">
        <f t="shared" si="3"/>
        <v>0</v>
      </c>
      <c r="BZ41" s="459">
        <f t="shared" si="3"/>
        <v>0</v>
      </c>
      <c r="CA41" s="459">
        <f t="shared" si="3"/>
        <v>0</v>
      </c>
      <c r="CB41" s="459">
        <f t="shared" si="3"/>
        <v>0</v>
      </c>
      <c r="CC41" s="459">
        <f t="shared" si="3"/>
        <v>0</v>
      </c>
      <c r="CD41" s="459">
        <f t="shared" si="3"/>
        <v>0</v>
      </c>
      <c r="CE41" s="459">
        <f t="shared" si="3"/>
        <v>30000</v>
      </c>
      <c r="CF41" s="459">
        <f t="shared" si="3"/>
        <v>0</v>
      </c>
      <c r="CG41" s="459">
        <f t="shared" si="3"/>
        <v>0</v>
      </c>
      <c r="CH41" s="459">
        <f t="shared" si="3"/>
        <v>0</v>
      </c>
      <c r="CI41" s="459">
        <f t="shared" si="3"/>
        <v>0</v>
      </c>
      <c r="CJ41" s="459">
        <f t="shared" si="3"/>
        <v>0</v>
      </c>
      <c r="CK41" s="459">
        <f t="shared" si="3"/>
        <v>0</v>
      </c>
      <c r="CL41" s="459">
        <f t="shared" si="3"/>
        <v>0</v>
      </c>
      <c r="CM41" s="459">
        <f t="shared" si="3"/>
        <v>60000</v>
      </c>
      <c r="CN41" s="459">
        <f t="shared" si="3"/>
        <v>0</v>
      </c>
      <c r="CO41" s="459">
        <f t="shared" si="3"/>
        <v>0</v>
      </c>
      <c r="CP41" s="459">
        <f t="shared" si="3"/>
        <v>0</v>
      </c>
      <c r="CQ41" s="459">
        <f t="shared" si="3"/>
        <v>0</v>
      </c>
      <c r="CR41" s="459">
        <f t="shared" si="3"/>
        <v>0</v>
      </c>
      <c r="CS41" s="459">
        <f t="shared" si="3"/>
        <v>0</v>
      </c>
    </row>
    <row r="42">
      <c r="A42" s="458" t="s">
        <v>191</v>
      </c>
      <c r="B42" s="459">
        <f t="shared" ref="B42:CS42" si="4">SUM(B13:B15)</f>
        <v>0</v>
      </c>
      <c r="C42" s="459">
        <f t="shared" si="4"/>
        <v>1092600</v>
      </c>
      <c r="D42" s="459">
        <f t="shared" si="4"/>
        <v>0</v>
      </c>
      <c r="E42" s="459">
        <f t="shared" si="4"/>
        <v>0</v>
      </c>
      <c r="F42" s="459">
        <f t="shared" si="4"/>
        <v>0</v>
      </c>
      <c r="G42" s="459">
        <f t="shared" si="4"/>
        <v>0</v>
      </c>
      <c r="H42" s="459">
        <f t="shared" si="4"/>
        <v>0</v>
      </c>
      <c r="I42" s="459">
        <f t="shared" si="4"/>
        <v>0</v>
      </c>
      <c r="J42" s="459">
        <f t="shared" si="4"/>
        <v>0</v>
      </c>
      <c r="K42" s="459">
        <f t="shared" si="4"/>
        <v>88000</v>
      </c>
      <c r="L42" s="459">
        <f t="shared" si="4"/>
        <v>190</v>
      </c>
      <c r="M42" s="459">
        <f t="shared" si="4"/>
        <v>0</v>
      </c>
      <c r="N42" s="459">
        <f t="shared" si="4"/>
        <v>0</v>
      </c>
      <c r="O42" s="459">
        <f t="shared" si="4"/>
        <v>0</v>
      </c>
      <c r="P42" s="459">
        <f t="shared" si="4"/>
        <v>0</v>
      </c>
      <c r="Q42" s="459">
        <f t="shared" si="4"/>
        <v>0</v>
      </c>
      <c r="R42" s="459">
        <f t="shared" si="4"/>
        <v>0</v>
      </c>
      <c r="S42" s="459">
        <f t="shared" si="4"/>
        <v>0</v>
      </c>
      <c r="T42" s="459">
        <f t="shared" si="4"/>
        <v>0</v>
      </c>
      <c r="U42" s="459">
        <f t="shared" si="4"/>
        <v>0</v>
      </c>
      <c r="V42" s="459">
        <f t="shared" si="4"/>
        <v>0</v>
      </c>
      <c r="W42" s="459">
        <f t="shared" si="4"/>
        <v>0</v>
      </c>
      <c r="X42" s="459">
        <f t="shared" si="4"/>
        <v>0</v>
      </c>
      <c r="Y42" s="459">
        <f t="shared" si="4"/>
        <v>0</v>
      </c>
      <c r="Z42" s="459">
        <f t="shared" si="4"/>
        <v>0</v>
      </c>
      <c r="AA42" s="459">
        <f t="shared" si="4"/>
        <v>30000</v>
      </c>
      <c r="AB42" s="459">
        <f t="shared" si="4"/>
        <v>0</v>
      </c>
      <c r="AC42" s="459">
        <f t="shared" si="4"/>
        <v>0</v>
      </c>
      <c r="AD42" s="459">
        <f t="shared" si="4"/>
        <v>0</v>
      </c>
      <c r="AE42" s="459">
        <f t="shared" si="4"/>
        <v>0</v>
      </c>
      <c r="AF42" s="459">
        <f t="shared" si="4"/>
        <v>60</v>
      </c>
      <c r="AG42" s="459">
        <f t="shared" si="4"/>
        <v>0</v>
      </c>
      <c r="AH42" s="459">
        <f t="shared" si="4"/>
        <v>0</v>
      </c>
      <c r="AI42" s="459">
        <f t="shared" si="4"/>
        <v>0</v>
      </c>
      <c r="AJ42" s="459">
        <f t="shared" si="4"/>
        <v>0</v>
      </c>
      <c r="AK42" s="459">
        <f t="shared" si="4"/>
        <v>0</v>
      </c>
      <c r="AL42" s="459">
        <f t="shared" si="4"/>
        <v>0</v>
      </c>
      <c r="AM42" s="459">
        <f t="shared" si="4"/>
        <v>0</v>
      </c>
      <c r="AN42" s="459">
        <f t="shared" si="4"/>
        <v>0</v>
      </c>
      <c r="AO42" s="459">
        <f t="shared" si="4"/>
        <v>0</v>
      </c>
      <c r="AP42" s="459">
        <f t="shared" si="4"/>
        <v>0</v>
      </c>
      <c r="AQ42" s="459">
        <f t="shared" si="4"/>
        <v>580000</v>
      </c>
      <c r="AR42" s="459">
        <f t="shared" si="4"/>
        <v>0</v>
      </c>
      <c r="AS42" s="459">
        <f t="shared" si="4"/>
        <v>0</v>
      </c>
      <c r="AT42" s="459">
        <f t="shared" si="4"/>
        <v>0</v>
      </c>
      <c r="AU42" s="459">
        <f t="shared" si="4"/>
        <v>0</v>
      </c>
      <c r="AV42" s="459">
        <f t="shared" si="4"/>
        <v>0</v>
      </c>
      <c r="AW42" s="459">
        <f t="shared" si="4"/>
        <v>0</v>
      </c>
      <c r="AX42" s="459">
        <f t="shared" si="4"/>
        <v>0</v>
      </c>
      <c r="AY42" s="459">
        <f t="shared" si="4"/>
        <v>0</v>
      </c>
      <c r="AZ42" s="459">
        <f t="shared" si="4"/>
        <v>0</v>
      </c>
      <c r="BA42" s="459">
        <f t="shared" si="4"/>
        <v>0</v>
      </c>
      <c r="BB42" s="459">
        <f t="shared" si="4"/>
        <v>0</v>
      </c>
      <c r="BC42" s="459">
        <f t="shared" si="4"/>
        <v>0</v>
      </c>
      <c r="BD42" s="459">
        <f t="shared" si="4"/>
        <v>0</v>
      </c>
      <c r="BE42" s="459">
        <f t="shared" si="4"/>
        <v>0</v>
      </c>
      <c r="BF42" s="459">
        <f t="shared" si="4"/>
        <v>0</v>
      </c>
      <c r="BG42" s="459">
        <f t="shared" si="4"/>
        <v>0</v>
      </c>
      <c r="BH42" s="459">
        <f t="shared" si="4"/>
        <v>0</v>
      </c>
      <c r="BI42" s="459">
        <f t="shared" si="4"/>
        <v>0</v>
      </c>
      <c r="BJ42" s="459">
        <f t="shared" si="4"/>
        <v>0</v>
      </c>
      <c r="BK42" s="459">
        <f t="shared" si="4"/>
        <v>0</v>
      </c>
      <c r="BL42" s="459">
        <f t="shared" si="4"/>
        <v>0</v>
      </c>
      <c r="BM42" s="459">
        <f t="shared" si="4"/>
        <v>0</v>
      </c>
      <c r="BN42" s="459">
        <f t="shared" si="4"/>
        <v>0</v>
      </c>
      <c r="BO42" s="459">
        <f t="shared" si="4"/>
        <v>245000</v>
      </c>
      <c r="BP42" s="459">
        <f t="shared" si="4"/>
        <v>0</v>
      </c>
      <c r="BQ42" s="459">
        <f t="shared" si="4"/>
        <v>0</v>
      </c>
      <c r="BR42" s="459">
        <f t="shared" si="4"/>
        <v>0</v>
      </c>
      <c r="BS42" s="459">
        <f t="shared" si="4"/>
        <v>0</v>
      </c>
      <c r="BT42" s="459">
        <f t="shared" si="4"/>
        <v>0</v>
      </c>
      <c r="BU42" s="459">
        <f t="shared" si="4"/>
        <v>0</v>
      </c>
      <c r="BV42" s="459">
        <f t="shared" si="4"/>
        <v>0</v>
      </c>
      <c r="BW42" s="459">
        <f t="shared" si="4"/>
        <v>0</v>
      </c>
      <c r="BX42" s="459">
        <f t="shared" si="4"/>
        <v>0</v>
      </c>
      <c r="BY42" s="459">
        <f t="shared" si="4"/>
        <v>0</v>
      </c>
      <c r="BZ42" s="459">
        <f t="shared" si="4"/>
        <v>0</v>
      </c>
      <c r="CA42" s="459">
        <f t="shared" si="4"/>
        <v>0</v>
      </c>
      <c r="CB42" s="459">
        <f t="shared" si="4"/>
        <v>0</v>
      </c>
      <c r="CC42" s="459">
        <f t="shared" si="4"/>
        <v>0</v>
      </c>
      <c r="CD42" s="459">
        <f t="shared" si="4"/>
        <v>0</v>
      </c>
      <c r="CE42" s="459">
        <f t="shared" si="4"/>
        <v>106000</v>
      </c>
      <c r="CF42" s="459">
        <f t="shared" si="4"/>
        <v>0</v>
      </c>
      <c r="CG42" s="459">
        <f t="shared" si="4"/>
        <v>0</v>
      </c>
      <c r="CH42" s="459">
        <f t="shared" si="4"/>
        <v>0</v>
      </c>
      <c r="CI42" s="459">
        <f t="shared" si="4"/>
        <v>0</v>
      </c>
      <c r="CJ42" s="459">
        <f t="shared" si="4"/>
        <v>0</v>
      </c>
      <c r="CK42" s="459">
        <f t="shared" si="4"/>
        <v>0</v>
      </c>
      <c r="CL42" s="459">
        <f t="shared" si="4"/>
        <v>0</v>
      </c>
      <c r="CM42" s="459">
        <f t="shared" si="4"/>
        <v>0</v>
      </c>
      <c r="CN42" s="459">
        <f t="shared" si="4"/>
        <v>0</v>
      </c>
      <c r="CO42" s="459">
        <f t="shared" si="4"/>
        <v>0</v>
      </c>
      <c r="CP42" s="459">
        <f t="shared" si="4"/>
        <v>0</v>
      </c>
      <c r="CQ42" s="459">
        <f t="shared" si="4"/>
        <v>0</v>
      </c>
      <c r="CR42" s="459">
        <f t="shared" si="4"/>
        <v>0</v>
      </c>
      <c r="CS42" s="459">
        <f t="shared" si="4"/>
        <v>0</v>
      </c>
    </row>
    <row r="43">
      <c r="A43" s="458" t="s">
        <v>192</v>
      </c>
      <c r="B43" s="459">
        <f t="shared" ref="B43:CS43" si="5">SUM(B15:B17)</f>
        <v>32500</v>
      </c>
      <c r="C43" s="459">
        <f t="shared" si="5"/>
        <v>274300</v>
      </c>
      <c r="D43" s="459">
        <f t="shared" si="5"/>
        <v>0</v>
      </c>
      <c r="E43" s="459">
        <f t="shared" si="5"/>
        <v>0</v>
      </c>
      <c r="F43" s="459">
        <f t="shared" si="5"/>
        <v>0</v>
      </c>
      <c r="G43" s="459">
        <f t="shared" si="5"/>
        <v>0</v>
      </c>
      <c r="H43" s="459">
        <f t="shared" si="5"/>
        <v>0</v>
      </c>
      <c r="I43" s="459">
        <f t="shared" si="5"/>
        <v>0</v>
      </c>
      <c r="J43" s="459">
        <f t="shared" si="5"/>
        <v>0</v>
      </c>
      <c r="K43" s="459">
        <f t="shared" si="5"/>
        <v>181000</v>
      </c>
      <c r="L43" s="459">
        <f t="shared" si="5"/>
        <v>0</v>
      </c>
      <c r="M43" s="459">
        <f t="shared" si="5"/>
        <v>0</v>
      </c>
      <c r="N43" s="459">
        <f t="shared" si="5"/>
        <v>0</v>
      </c>
      <c r="O43" s="459">
        <f t="shared" si="5"/>
        <v>0</v>
      </c>
      <c r="P43" s="459">
        <f t="shared" si="5"/>
        <v>0</v>
      </c>
      <c r="Q43" s="459">
        <f t="shared" si="5"/>
        <v>0</v>
      </c>
      <c r="R43" s="459">
        <f t="shared" si="5"/>
        <v>0</v>
      </c>
      <c r="S43" s="459">
        <f t="shared" si="5"/>
        <v>0</v>
      </c>
      <c r="T43" s="459">
        <f t="shared" si="5"/>
        <v>0</v>
      </c>
      <c r="U43" s="459">
        <f t="shared" si="5"/>
        <v>0</v>
      </c>
      <c r="V43" s="459">
        <f t="shared" si="5"/>
        <v>0</v>
      </c>
      <c r="W43" s="459">
        <f t="shared" si="5"/>
        <v>0</v>
      </c>
      <c r="X43" s="459">
        <f t="shared" si="5"/>
        <v>0</v>
      </c>
      <c r="Y43" s="459">
        <f t="shared" si="5"/>
        <v>0</v>
      </c>
      <c r="Z43" s="459">
        <f t="shared" si="5"/>
        <v>0</v>
      </c>
      <c r="AA43" s="459">
        <f t="shared" si="5"/>
        <v>0</v>
      </c>
      <c r="AB43" s="459">
        <f t="shared" si="5"/>
        <v>0</v>
      </c>
      <c r="AC43" s="459">
        <f t="shared" si="5"/>
        <v>0</v>
      </c>
      <c r="AD43" s="459">
        <f t="shared" si="5"/>
        <v>0</v>
      </c>
      <c r="AE43" s="459">
        <f t="shared" si="5"/>
        <v>0</v>
      </c>
      <c r="AF43" s="459">
        <f t="shared" si="5"/>
        <v>0</v>
      </c>
      <c r="AG43" s="459">
        <f t="shared" si="5"/>
        <v>0</v>
      </c>
      <c r="AH43" s="459">
        <f t="shared" si="5"/>
        <v>0</v>
      </c>
      <c r="AI43" s="459">
        <f t="shared" si="5"/>
        <v>0</v>
      </c>
      <c r="AJ43" s="459">
        <f t="shared" si="5"/>
        <v>0</v>
      </c>
      <c r="AK43" s="459">
        <f t="shared" si="5"/>
        <v>0</v>
      </c>
      <c r="AL43" s="459">
        <f t="shared" si="5"/>
        <v>0</v>
      </c>
      <c r="AM43" s="459">
        <f t="shared" si="5"/>
        <v>0</v>
      </c>
      <c r="AN43" s="459">
        <f t="shared" si="5"/>
        <v>0</v>
      </c>
      <c r="AO43" s="459">
        <f t="shared" si="5"/>
        <v>0</v>
      </c>
      <c r="AP43" s="459">
        <f t="shared" si="5"/>
        <v>0</v>
      </c>
      <c r="AQ43" s="459">
        <f t="shared" si="5"/>
        <v>30000</v>
      </c>
      <c r="AR43" s="459">
        <f t="shared" si="5"/>
        <v>0</v>
      </c>
      <c r="AS43" s="459">
        <f t="shared" si="5"/>
        <v>0</v>
      </c>
      <c r="AT43" s="459">
        <f t="shared" si="5"/>
        <v>0</v>
      </c>
      <c r="AU43" s="459">
        <f t="shared" si="5"/>
        <v>0</v>
      </c>
      <c r="AV43" s="459">
        <f t="shared" si="5"/>
        <v>0</v>
      </c>
      <c r="AW43" s="459">
        <f t="shared" si="5"/>
        <v>0</v>
      </c>
      <c r="AX43" s="459">
        <f t="shared" si="5"/>
        <v>0</v>
      </c>
      <c r="AY43" s="459">
        <f t="shared" si="5"/>
        <v>0</v>
      </c>
      <c r="AZ43" s="459">
        <f t="shared" si="5"/>
        <v>0</v>
      </c>
      <c r="BA43" s="459">
        <f t="shared" si="5"/>
        <v>0</v>
      </c>
      <c r="BB43" s="459">
        <f t="shared" si="5"/>
        <v>0</v>
      </c>
      <c r="BC43" s="459">
        <f t="shared" si="5"/>
        <v>0</v>
      </c>
      <c r="BD43" s="459">
        <f t="shared" si="5"/>
        <v>0</v>
      </c>
      <c r="BE43" s="459">
        <f t="shared" si="5"/>
        <v>0</v>
      </c>
      <c r="BF43" s="459">
        <f t="shared" si="5"/>
        <v>0</v>
      </c>
      <c r="BG43" s="459">
        <f t="shared" si="5"/>
        <v>0</v>
      </c>
      <c r="BH43" s="459">
        <f t="shared" si="5"/>
        <v>0</v>
      </c>
      <c r="BI43" s="459">
        <f t="shared" si="5"/>
        <v>0</v>
      </c>
      <c r="BJ43" s="459">
        <f t="shared" si="5"/>
        <v>0</v>
      </c>
      <c r="BK43" s="459">
        <f t="shared" si="5"/>
        <v>0</v>
      </c>
      <c r="BL43" s="459">
        <f t="shared" si="5"/>
        <v>0</v>
      </c>
      <c r="BM43" s="459">
        <f t="shared" si="5"/>
        <v>0</v>
      </c>
      <c r="BN43" s="459">
        <f t="shared" si="5"/>
        <v>0</v>
      </c>
      <c r="BO43" s="459">
        <f t="shared" si="5"/>
        <v>230000</v>
      </c>
      <c r="BP43" s="459">
        <f t="shared" si="5"/>
        <v>0</v>
      </c>
      <c r="BQ43" s="459">
        <f t="shared" si="5"/>
        <v>0</v>
      </c>
      <c r="BR43" s="459">
        <f t="shared" si="5"/>
        <v>0</v>
      </c>
      <c r="BS43" s="459">
        <f t="shared" si="5"/>
        <v>0</v>
      </c>
      <c r="BT43" s="459">
        <f t="shared" si="5"/>
        <v>0</v>
      </c>
      <c r="BU43" s="459">
        <f t="shared" si="5"/>
        <v>0</v>
      </c>
      <c r="BV43" s="459">
        <f t="shared" si="5"/>
        <v>0</v>
      </c>
      <c r="BW43" s="459">
        <f t="shared" si="5"/>
        <v>0</v>
      </c>
      <c r="BX43" s="459">
        <f t="shared" si="5"/>
        <v>0</v>
      </c>
      <c r="BY43" s="459">
        <f t="shared" si="5"/>
        <v>0</v>
      </c>
      <c r="BZ43" s="459">
        <f t="shared" si="5"/>
        <v>0</v>
      </c>
      <c r="CA43" s="459">
        <f t="shared" si="5"/>
        <v>0</v>
      </c>
      <c r="CB43" s="459">
        <f t="shared" si="5"/>
        <v>0</v>
      </c>
      <c r="CC43" s="459">
        <f t="shared" si="5"/>
        <v>0</v>
      </c>
      <c r="CD43" s="459">
        <f t="shared" si="5"/>
        <v>0</v>
      </c>
      <c r="CE43" s="459">
        <f t="shared" si="5"/>
        <v>86000</v>
      </c>
      <c r="CF43" s="459">
        <f t="shared" si="5"/>
        <v>0</v>
      </c>
      <c r="CG43" s="459">
        <f t="shared" si="5"/>
        <v>0</v>
      </c>
      <c r="CH43" s="459">
        <f t="shared" si="5"/>
        <v>0</v>
      </c>
      <c r="CI43" s="459">
        <f t="shared" si="5"/>
        <v>0</v>
      </c>
      <c r="CJ43" s="459">
        <f t="shared" si="5"/>
        <v>0</v>
      </c>
      <c r="CK43" s="459">
        <f t="shared" si="5"/>
        <v>0</v>
      </c>
      <c r="CL43" s="459">
        <f t="shared" si="5"/>
        <v>0</v>
      </c>
      <c r="CM43" s="459">
        <f t="shared" si="5"/>
        <v>0</v>
      </c>
      <c r="CN43" s="459">
        <f t="shared" si="5"/>
        <v>0</v>
      </c>
      <c r="CO43" s="459">
        <f t="shared" si="5"/>
        <v>0</v>
      </c>
      <c r="CP43" s="459">
        <f t="shared" si="5"/>
        <v>0</v>
      </c>
      <c r="CQ43" s="459">
        <f t="shared" si="5"/>
        <v>0</v>
      </c>
      <c r="CR43" s="459">
        <f t="shared" si="5"/>
        <v>0</v>
      </c>
      <c r="CS43" s="459">
        <f t="shared" si="5"/>
        <v>0</v>
      </c>
    </row>
    <row r="44">
      <c r="A44" s="458" t="s">
        <v>193</v>
      </c>
      <c r="B44" s="459">
        <f t="shared" ref="B44:CS44" si="6">SUM(B18:B21)</f>
        <v>0</v>
      </c>
      <c r="C44" s="459">
        <f t="shared" si="6"/>
        <v>1063400</v>
      </c>
      <c r="D44" s="459">
        <f t="shared" si="6"/>
        <v>0</v>
      </c>
      <c r="E44" s="459">
        <f t="shared" si="6"/>
        <v>0</v>
      </c>
      <c r="F44" s="459">
        <f t="shared" si="6"/>
        <v>0</v>
      </c>
      <c r="G44" s="459">
        <f t="shared" si="6"/>
        <v>0</v>
      </c>
      <c r="H44" s="459">
        <f t="shared" si="6"/>
        <v>0</v>
      </c>
      <c r="I44" s="459">
        <f t="shared" si="6"/>
        <v>0</v>
      </c>
      <c r="J44" s="459">
        <f t="shared" si="6"/>
        <v>0</v>
      </c>
      <c r="K44" s="459">
        <f t="shared" si="6"/>
        <v>773000</v>
      </c>
      <c r="L44" s="459">
        <f t="shared" si="6"/>
        <v>0</v>
      </c>
      <c r="M44" s="459">
        <f t="shared" si="6"/>
        <v>0</v>
      </c>
      <c r="N44" s="459">
        <f t="shared" si="6"/>
        <v>0</v>
      </c>
      <c r="O44" s="459">
        <f t="shared" si="6"/>
        <v>0</v>
      </c>
      <c r="P44" s="459">
        <f t="shared" si="6"/>
        <v>0</v>
      </c>
      <c r="Q44" s="459">
        <f t="shared" si="6"/>
        <v>0</v>
      </c>
      <c r="R44" s="459">
        <f t="shared" si="6"/>
        <v>0</v>
      </c>
      <c r="S44" s="459">
        <f t="shared" si="6"/>
        <v>0</v>
      </c>
      <c r="T44" s="459">
        <f t="shared" si="6"/>
        <v>0</v>
      </c>
      <c r="U44" s="459">
        <f t="shared" si="6"/>
        <v>0</v>
      </c>
      <c r="V44" s="459">
        <f t="shared" si="6"/>
        <v>0</v>
      </c>
      <c r="W44" s="459">
        <f t="shared" si="6"/>
        <v>0</v>
      </c>
      <c r="X44" s="459">
        <f t="shared" si="6"/>
        <v>0</v>
      </c>
      <c r="Y44" s="459">
        <f t="shared" si="6"/>
        <v>0</v>
      </c>
      <c r="Z44" s="459">
        <f t="shared" si="6"/>
        <v>0</v>
      </c>
      <c r="AA44" s="459">
        <f t="shared" si="6"/>
        <v>230000</v>
      </c>
      <c r="AB44" s="459">
        <f t="shared" si="6"/>
        <v>200</v>
      </c>
      <c r="AC44" s="459">
        <f t="shared" si="6"/>
        <v>0</v>
      </c>
      <c r="AD44" s="459">
        <f t="shared" si="6"/>
        <v>0</v>
      </c>
      <c r="AE44" s="459">
        <f t="shared" si="6"/>
        <v>0</v>
      </c>
      <c r="AF44" s="459">
        <f t="shared" si="6"/>
        <v>0</v>
      </c>
      <c r="AG44" s="459">
        <f t="shared" si="6"/>
        <v>0</v>
      </c>
      <c r="AH44" s="459">
        <f t="shared" si="6"/>
        <v>0</v>
      </c>
      <c r="AI44" s="459">
        <f t="shared" si="6"/>
        <v>0</v>
      </c>
      <c r="AJ44" s="459">
        <f t="shared" si="6"/>
        <v>0</v>
      </c>
      <c r="AK44" s="459">
        <f t="shared" si="6"/>
        <v>0</v>
      </c>
      <c r="AL44" s="459">
        <f t="shared" si="6"/>
        <v>0</v>
      </c>
      <c r="AM44" s="459">
        <f t="shared" si="6"/>
        <v>0</v>
      </c>
      <c r="AN44" s="459">
        <f t="shared" si="6"/>
        <v>0</v>
      </c>
      <c r="AO44" s="459">
        <f t="shared" si="6"/>
        <v>0</v>
      </c>
      <c r="AP44" s="459">
        <f t="shared" si="6"/>
        <v>0</v>
      </c>
      <c r="AQ44" s="459">
        <f t="shared" si="6"/>
        <v>92000</v>
      </c>
      <c r="AR44" s="459">
        <f t="shared" si="6"/>
        <v>0</v>
      </c>
      <c r="AS44" s="459">
        <f t="shared" si="6"/>
        <v>0</v>
      </c>
      <c r="AT44" s="459">
        <f t="shared" si="6"/>
        <v>0</v>
      </c>
      <c r="AU44" s="459">
        <f t="shared" si="6"/>
        <v>0</v>
      </c>
      <c r="AV44" s="459">
        <f t="shared" si="6"/>
        <v>0</v>
      </c>
      <c r="AW44" s="459">
        <f t="shared" si="6"/>
        <v>0</v>
      </c>
      <c r="AX44" s="459">
        <f t="shared" si="6"/>
        <v>0</v>
      </c>
      <c r="AY44" s="459">
        <f t="shared" si="6"/>
        <v>0</v>
      </c>
      <c r="AZ44" s="459">
        <f t="shared" si="6"/>
        <v>0</v>
      </c>
      <c r="BA44" s="459">
        <f t="shared" si="6"/>
        <v>0</v>
      </c>
      <c r="BB44" s="459">
        <f t="shared" si="6"/>
        <v>0</v>
      </c>
      <c r="BC44" s="459">
        <f t="shared" si="6"/>
        <v>0</v>
      </c>
      <c r="BD44" s="459">
        <f t="shared" si="6"/>
        <v>0</v>
      </c>
      <c r="BE44" s="459">
        <f t="shared" si="6"/>
        <v>0</v>
      </c>
      <c r="BF44" s="459">
        <f t="shared" si="6"/>
        <v>0</v>
      </c>
      <c r="BG44" s="459">
        <f t="shared" si="6"/>
        <v>0</v>
      </c>
      <c r="BH44" s="459">
        <f t="shared" si="6"/>
        <v>0</v>
      </c>
      <c r="BI44" s="459">
        <f t="shared" si="6"/>
        <v>0</v>
      </c>
      <c r="BJ44" s="459">
        <f t="shared" si="6"/>
        <v>0</v>
      </c>
      <c r="BK44" s="459">
        <f t="shared" si="6"/>
        <v>0</v>
      </c>
      <c r="BL44" s="459">
        <f t="shared" si="6"/>
        <v>0</v>
      </c>
      <c r="BM44" s="459">
        <f t="shared" si="6"/>
        <v>0</v>
      </c>
      <c r="BN44" s="459">
        <f t="shared" si="6"/>
        <v>0</v>
      </c>
      <c r="BO44" s="459">
        <f t="shared" si="6"/>
        <v>1425000</v>
      </c>
      <c r="BP44" s="459">
        <f t="shared" si="6"/>
        <v>300</v>
      </c>
      <c r="BQ44" s="459">
        <f t="shared" si="6"/>
        <v>60</v>
      </c>
      <c r="BR44" s="459">
        <f t="shared" si="6"/>
        <v>0</v>
      </c>
      <c r="BS44" s="459">
        <f t="shared" si="6"/>
        <v>0</v>
      </c>
      <c r="BT44" s="459">
        <f t="shared" si="6"/>
        <v>0</v>
      </c>
      <c r="BU44" s="459">
        <f t="shared" si="6"/>
        <v>0</v>
      </c>
      <c r="BV44" s="459">
        <f t="shared" si="6"/>
        <v>0</v>
      </c>
      <c r="BW44" s="459">
        <f t="shared" si="6"/>
        <v>0</v>
      </c>
      <c r="BX44" s="459">
        <f t="shared" si="6"/>
        <v>0</v>
      </c>
      <c r="BY44" s="459">
        <f t="shared" si="6"/>
        <v>0</v>
      </c>
      <c r="BZ44" s="459">
        <f t="shared" si="6"/>
        <v>0</v>
      </c>
      <c r="CA44" s="459">
        <f t="shared" si="6"/>
        <v>0</v>
      </c>
      <c r="CB44" s="459">
        <f t="shared" si="6"/>
        <v>0</v>
      </c>
      <c r="CC44" s="459">
        <f t="shared" si="6"/>
        <v>0</v>
      </c>
      <c r="CD44" s="459">
        <f t="shared" si="6"/>
        <v>0</v>
      </c>
      <c r="CE44" s="459">
        <f t="shared" si="6"/>
        <v>40000</v>
      </c>
      <c r="CF44" s="459">
        <f t="shared" si="6"/>
        <v>0</v>
      </c>
      <c r="CG44" s="459">
        <f t="shared" si="6"/>
        <v>0</v>
      </c>
      <c r="CH44" s="459">
        <f t="shared" si="6"/>
        <v>0</v>
      </c>
      <c r="CI44" s="459">
        <f t="shared" si="6"/>
        <v>0</v>
      </c>
      <c r="CJ44" s="459">
        <f t="shared" si="6"/>
        <v>0</v>
      </c>
      <c r="CK44" s="459">
        <f t="shared" si="6"/>
        <v>0</v>
      </c>
      <c r="CL44" s="459">
        <f t="shared" si="6"/>
        <v>0</v>
      </c>
      <c r="CM44" s="459">
        <f t="shared" si="6"/>
        <v>60000</v>
      </c>
      <c r="CN44" s="459">
        <f t="shared" si="6"/>
        <v>0</v>
      </c>
      <c r="CO44" s="459">
        <f t="shared" si="6"/>
        <v>0</v>
      </c>
      <c r="CP44" s="459">
        <f t="shared" si="6"/>
        <v>0</v>
      </c>
      <c r="CQ44" s="459">
        <f t="shared" si="6"/>
        <v>0</v>
      </c>
      <c r="CR44" s="459">
        <f t="shared" si="6"/>
        <v>0</v>
      </c>
      <c r="CS44" s="459">
        <f t="shared" si="6"/>
        <v>0</v>
      </c>
    </row>
    <row r="45">
      <c r="A45" s="458" t="s">
        <v>194</v>
      </c>
      <c r="B45" s="459">
        <f t="shared" ref="B45:CS45" si="7">SUM(B22:B24)</f>
        <v>0</v>
      </c>
      <c r="C45" s="459">
        <f t="shared" si="7"/>
        <v>267700</v>
      </c>
      <c r="D45" s="459">
        <f t="shared" si="7"/>
        <v>0</v>
      </c>
      <c r="E45" s="459">
        <f t="shared" si="7"/>
        <v>0</v>
      </c>
      <c r="F45" s="459">
        <f t="shared" si="7"/>
        <v>0</v>
      </c>
      <c r="G45" s="459">
        <f t="shared" si="7"/>
        <v>0</v>
      </c>
      <c r="H45" s="459">
        <f t="shared" si="7"/>
        <v>0</v>
      </c>
      <c r="I45" s="459">
        <f t="shared" si="7"/>
        <v>0</v>
      </c>
      <c r="J45" s="459">
        <f t="shared" si="7"/>
        <v>0</v>
      </c>
      <c r="K45" s="459">
        <f t="shared" si="7"/>
        <v>256000</v>
      </c>
      <c r="L45" s="459">
        <f t="shared" si="7"/>
        <v>140</v>
      </c>
      <c r="M45" s="459">
        <f t="shared" si="7"/>
        <v>0</v>
      </c>
      <c r="N45" s="459">
        <f t="shared" si="7"/>
        <v>0</v>
      </c>
      <c r="O45" s="459">
        <f t="shared" si="7"/>
        <v>0</v>
      </c>
      <c r="P45" s="459">
        <f t="shared" si="7"/>
        <v>0</v>
      </c>
      <c r="Q45" s="459">
        <f t="shared" si="7"/>
        <v>0</v>
      </c>
      <c r="R45" s="459">
        <f t="shared" si="7"/>
        <v>0</v>
      </c>
      <c r="S45" s="459">
        <f t="shared" si="7"/>
        <v>0</v>
      </c>
      <c r="T45" s="459">
        <f t="shared" si="7"/>
        <v>0</v>
      </c>
      <c r="U45" s="459">
        <f t="shared" si="7"/>
        <v>0</v>
      </c>
      <c r="V45" s="459">
        <f t="shared" si="7"/>
        <v>0</v>
      </c>
      <c r="W45" s="459">
        <f t="shared" si="7"/>
        <v>0</v>
      </c>
      <c r="X45" s="459">
        <f t="shared" si="7"/>
        <v>0</v>
      </c>
      <c r="Y45" s="459">
        <f t="shared" si="7"/>
        <v>0</v>
      </c>
      <c r="Z45" s="459">
        <f t="shared" si="7"/>
        <v>0</v>
      </c>
      <c r="AA45" s="459">
        <f t="shared" si="7"/>
        <v>0</v>
      </c>
      <c r="AB45" s="459">
        <f t="shared" si="7"/>
        <v>300</v>
      </c>
      <c r="AC45" s="459">
        <f t="shared" si="7"/>
        <v>0</v>
      </c>
      <c r="AD45" s="459">
        <f t="shared" si="7"/>
        <v>0</v>
      </c>
      <c r="AE45" s="459">
        <f t="shared" si="7"/>
        <v>0</v>
      </c>
      <c r="AF45" s="459">
        <f t="shared" si="7"/>
        <v>0</v>
      </c>
      <c r="AG45" s="459">
        <f t="shared" si="7"/>
        <v>0</v>
      </c>
      <c r="AH45" s="459">
        <f t="shared" si="7"/>
        <v>0</v>
      </c>
      <c r="AI45" s="459">
        <f t="shared" si="7"/>
        <v>0</v>
      </c>
      <c r="AJ45" s="459">
        <f t="shared" si="7"/>
        <v>0</v>
      </c>
      <c r="AK45" s="459">
        <f t="shared" si="7"/>
        <v>0</v>
      </c>
      <c r="AL45" s="459">
        <f t="shared" si="7"/>
        <v>0</v>
      </c>
      <c r="AM45" s="459">
        <f t="shared" si="7"/>
        <v>0</v>
      </c>
      <c r="AN45" s="459">
        <f t="shared" si="7"/>
        <v>0</v>
      </c>
      <c r="AO45" s="459">
        <f t="shared" si="7"/>
        <v>0</v>
      </c>
      <c r="AP45" s="459">
        <f t="shared" si="7"/>
        <v>0</v>
      </c>
      <c r="AQ45" s="459">
        <f t="shared" si="7"/>
        <v>0</v>
      </c>
      <c r="AR45" s="459">
        <f t="shared" si="7"/>
        <v>40</v>
      </c>
      <c r="AS45" s="459">
        <f t="shared" si="7"/>
        <v>0</v>
      </c>
      <c r="AT45" s="459">
        <f t="shared" si="7"/>
        <v>0</v>
      </c>
      <c r="AU45" s="459">
        <f t="shared" si="7"/>
        <v>0</v>
      </c>
      <c r="AV45" s="459">
        <f t="shared" si="7"/>
        <v>0</v>
      </c>
      <c r="AW45" s="459">
        <f t="shared" si="7"/>
        <v>0</v>
      </c>
      <c r="AX45" s="459">
        <f t="shared" si="7"/>
        <v>0</v>
      </c>
      <c r="AY45" s="459">
        <f t="shared" si="7"/>
        <v>0</v>
      </c>
      <c r="AZ45" s="459">
        <f t="shared" si="7"/>
        <v>0</v>
      </c>
      <c r="BA45" s="459">
        <f t="shared" si="7"/>
        <v>0</v>
      </c>
      <c r="BB45" s="459">
        <f t="shared" si="7"/>
        <v>0</v>
      </c>
      <c r="BC45" s="459">
        <f t="shared" si="7"/>
        <v>0</v>
      </c>
      <c r="BD45" s="459">
        <f t="shared" si="7"/>
        <v>0</v>
      </c>
      <c r="BE45" s="459">
        <f t="shared" si="7"/>
        <v>0</v>
      </c>
      <c r="BF45" s="459">
        <f t="shared" si="7"/>
        <v>0</v>
      </c>
      <c r="BG45" s="459">
        <f t="shared" si="7"/>
        <v>0</v>
      </c>
      <c r="BH45" s="459">
        <f t="shared" si="7"/>
        <v>0</v>
      </c>
      <c r="BI45" s="459">
        <f t="shared" si="7"/>
        <v>0</v>
      </c>
      <c r="BJ45" s="459">
        <f t="shared" si="7"/>
        <v>0</v>
      </c>
      <c r="BK45" s="459">
        <f t="shared" si="7"/>
        <v>0</v>
      </c>
      <c r="BL45" s="459">
        <f t="shared" si="7"/>
        <v>0</v>
      </c>
      <c r="BM45" s="459">
        <f t="shared" si="7"/>
        <v>0</v>
      </c>
      <c r="BN45" s="459">
        <f t="shared" si="7"/>
        <v>0</v>
      </c>
      <c r="BO45" s="459">
        <f t="shared" si="7"/>
        <v>535000</v>
      </c>
      <c r="BP45" s="459">
        <f t="shared" si="7"/>
        <v>0</v>
      </c>
      <c r="BQ45" s="459">
        <f t="shared" si="7"/>
        <v>0</v>
      </c>
      <c r="BR45" s="459">
        <f t="shared" si="7"/>
        <v>0</v>
      </c>
      <c r="BS45" s="459">
        <f t="shared" si="7"/>
        <v>0</v>
      </c>
      <c r="BT45" s="459">
        <f t="shared" si="7"/>
        <v>0</v>
      </c>
      <c r="BU45" s="459">
        <f t="shared" si="7"/>
        <v>0</v>
      </c>
      <c r="BV45" s="459">
        <f t="shared" si="7"/>
        <v>0</v>
      </c>
      <c r="BW45" s="459">
        <f t="shared" si="7"/>
        <v>216000</v>
      </c>
      <c r="BX45" s="459">
        <f t="shared" si="7"/>
        <v>0</v>
      </c>
      <c r="BY45" s="459">
        <f t="shared" si="7"/>
        <v>0</v>
      </c>
      <c r="BZ45" s="459">
        <f t="shared" si="7"/>
        <v>0</v>
      </c>
      <c r="CA45" s="459">
        <f t="shared" si="7"/>
        <v>0</v>
      </c>
      <c r="CB45" s="459">
        <f t="shared" si="7"/>
        <v>0</v>
      </c>
      <c r="CC45" s="459">
        <f t="shared" si="7"/>
        <v>0</v>
      </c>
      <c r="CD45" s="459">
        <f t="shared" si="7"/>
        <v>0</v>
      </c>
      <c r="CE45" s="459">
        <f t="shared" si="7"/>
        <v>0</v>
      </c>
      <c r="CF45" s="459">
        <f t="shared" si="7"/>
        <v>0</v>
      </c>
      <c r="CG45" s="459">
        <f t="shared" si="7"/>
        <v>0</v>
      </c>
      <c r="CH45" s="459">
        <f t="shared" si="7"/>
        <v>0</v>
      </c>
      <c r="CI45" s="459">
        <f t="shared" si="7"/>
        <v>0</v>
      </c>
      <c r="CJ45" s="459">
        <f t="shared" si="7"/>
        <v>0</v>
      </c>
      <c r="CK45" s="459">
        <f t="shared" si="7"/>
        <v>0</v>
      </c>
      <c r="CL45" s="459">
        <f t="shared" si="7"/>
        <v>0</v>
      </c>
      <c r="CM45" s="459">
        <f t="shared" si="7"/>
        <v>180000</v>
      </c>
      <c r="CN45" s="459">
        <f t="shared" si="7"/>
        <v>0</v>
      </c>
      <c r="CO45" s="459">
        <f t="shared" si="7"/>
        <v>0</v>
      </c>
      <c r="CP45" s="459">
        <f t="shared" si="7"/>
        <v>0</v>
      </c>
      <c r="CQ45" s="459">
        <f t="shared" si="7"/>
        <v>0</v>
      </c>
      <c r="CR45" s="459">
        <f t="shared" si="7"/>
        <v>0</v>
      </c>
      <c r="CS45" s="459">
        <f t="shared" si="7"/>
        <v>0</v>
      </c>
    </row>
    <row r="46">
      <c r="A46" s="458" t="s">
        <v>195</v>
      </c>
      <c r="B46" s="459">
        <f t="shared" ref="B46:CS46" si="8">SUM(B25:B29)</f>
        <v>0</v>
      </c>
      <c r="C46" s="459">
        <f t="shared" si="8"/>
        <v>1578400</v>
      </c>
      <c r="D46" s="459">
        <f t="shared" si="8"/>
        <v>0</v>
      </c>
      <c r="E46" s="459">
        <f t="shared" si="8"/>
        <v>0</v>
      </c>
      <c r="F46" s="459">
        <f t="shared" si="8"/>
        <v>0</v>
      </c>
      <c r="G46" s="459">
        <f t="shared" si="8"/>
        <v>0</v>
      </c>
      <c r="H46" s="459">
        <f t="shared" si="8"/>
        <v>0</v>
      </c>
      <c r="I46" s="459">
        <f t="shared" si="8"/>
        <v>0</v>
      </c>
      <c r="J46" s="459">
        <f t="shared" si="8"/>
        <v>0</v>
      </c>
      <c r="K46" s="459">
        <f t="shared" si="8"/>
        <v>325000</v>
      </c>
      <c r="L46" s="459">
        <f t="shared" si="8"/>
        <v>0</v>
      </c>
      <c r="M46" s="459">
        <f t="shared" si="8"/>
        <v>0</v>
      </c>
      <c r="N46" s="459">
        <f t="shared" si="8"/>
        <v>0</v>
      </c>
      <c r="O46" s="459">
        <f t="shared" si="8"/>
        <v>0</v>
      </c>
      <c r="P46" s="459">
        <f t="shared" si="8"/>
        <v>0</v>
      </c>
      <c r="Q46" s="459">
        <f t="shared" si="8"/>
        <v>0</v>
      </c>
      <c r="R46" s="459">
        <f t="shared" si="8"/>
        <v>0</v>
      </c>
      <c r="S46" s="459">
        <f t="shared" si="8"/>
        <v>0</v>
      </c>
      <c r="T46" s="459">
        <f t="shared" si="8"/>
        <v>0</v>
      </c>
      <c r="U46" s="459">
        <f t="shared" si="8"/>
        <v>0</v>
      </c>
      <c r="V46" s="459">
        <f t="shared" si="8"/>
        <v>0</v>
      </c>
      <c r="W46" s="459">
        <f t="shared" si="8"/>
        <v>0</v>
      </c>
      <c r="X46" s="459">
        <f t="shared" si="8"/>
        <v>0</v>
      </c>
      <c r="Y46" s="459">
        <f t="shared" si="8"/>
        <v>0</v>
      </c>
      <c r="Z46" s="459">
        <f t="shared" si="8"/>
        <v>0</v>
      </c>
      <c r="AA46" s="459">
        <f t="shared" si="8"/>
        <v>290000</v>
      </c>
      <c r="AB46" s="459">
        <f t="shared" si="8"/>
        <v>240</v>
      </c>
      <c r="AC46" s="459">
        <f t="shared" si="8"/>
        <v>0</v>
      </c>
      <c r="AD46" s="459">
        <f t="shared" si="8"/>
        <v>0</v>
      </c>
      <c r="AE46" s="459">
        <f t="shared" si="8"/>
        <v>0</v>
      </c>
      <c r="AF46" s="459">
        <f t="shared" si="8"/>
        <v>0</v>
      </c>
      <c r="AG46" s="459">
        <f t="shared" si="8"/>
        <v>0</v>
      </c>
      <c r="AH46" s="459">
        <f t="shared" si="8"/>
        <v>0</v>
      </c>
      <c r="AI46" s="459">
        <f t="shared" si="8"/>
        <v>0</v>
      </c>
      <c r="AJ46" s="459">
        <f t="shared" si="8"/>
        <v>0</v>
      </c>
      <c r="AK46" s="459">
        <f t="shared" si="8"/>
        <v>0</v>
      </c>
      <c r="AL46" s="459">
        <f t="shared" si="8"/>
        <v>0</v>
      </c>
      <c r="AM46" s="459">
        <f t="shared" si="8"/>
        <v>0</v>
      </c>
      <c r="AN46" s="459">
        <f t="shared" si="8"/>
        <v>0</v>
      </c>
      <c r="AO46" s="459">
        <f t="shared" si="8"/>
        <v>0</v>
      </c>
      <c r="AP46" s="459">
        <f t="shared" si="8"/>
        <v>0</v>
      </c>
      <c r="AQ46" s="459">
        <f t="shared" si="8"/>
        <v>340000</v>
      </c>
      <c r="AR46" s="459">
        <f t="shared" si="8"/>
        <v>230</v>
      </c>
      <c r="AS46" s="459">
        <f t="shared" si="8"/>
        <v>0</v>
      </c>
      <c r="AT46" s="459">
        <f t="shared" si="8"/>
        <v>0</v>
      </c>
      <c r="AU46" s="459">
        <f t="shared" si="8"/>
        <v>0</v>
      </c>
      <c r="AV46" s="459">
        <f t="shared" si="8"/>
        <v>0</v>
      </c>
      <c r="AW46" s="459">
        <f t="shared" si="8"/>
        <v>0</v>
      </c>
      <c r="AX46" s="459">
        <f t="shared" si="8"/>
        <v>0</v>
      </c>
      <c r="AY46" s="459">
        <f t="shared" si="8"/>
        <v>63000</v>
      </c>
      <c r="AZ46" s="459">
        <f t="shared" si="8"/>
        <v>0</v>
      </c>
      <c r="BA46" s="459">
        <f t="shared" si="8"/>
        <v>0</v>
      </c>
      <c r="BB46" s="459">
        <f t="shared" si="8"/>
        <v>0</v>
      </c>
      <c r="BC46" s="459">
        <f t="shared" si="8"/>
        <v>0</v>
      </c>
      <c r="BD46" s="459">
        <f t="shared" si="8"/>
        <v>0</v>
      </c>
      <c r="BE46" s="459">
        <f t="shared" si="8"/>
        <v>0</v>
      </c>
      <c r="BF46" s="459">
        <f t="shared" si="8"/>
        <v>0</v>
      </c>
      <c r="BG46" s="459">
        <f t="shared" si="8"/>
        <v>0</v>
      </c>
      <c r="BH46" s="459">
        <f t="shared" si="8"/>
        <v>0</v>
      </c>
      <c r="BI46" s="459">
        <f t="shared" si="8"/>
        <v>0</v>
      </c>
      <c r="BJ46" s="459">
        <f t="shared" si="8"/>
        <v>0</v>
      </c>
      <c r="BK46" s="459">
        <f t="shared" si="8"/>
        <v>0</v>
      </c>
      <c r="BL46" s="459">
        <f t="shared" si="8"/>
        <v>0</v>
      </c>
      <c r="BM46" s="459">
        <f t="shared" si="8"/>
        <v>0</v>
      </c>
      <c r="BN46" s="459">
        <f t="shared" si="8"/>
        <v>0</v>
      </c>
      <c r="BO46" s="459">
        <f t="shared" si="8"/>
        <v>890000</v>
      </c>
      <c r="BP46" s="459">
        <f t="shared" si="8"/>
        <v>525</v>
      </c>
      <c r="BQ46" s="459">
        <f t="shared" si="8"/>
        <v>100</v>
      </c>
      <c r="BR46" s="459">
        <f t="shared" si="8"/>
        <v>0</v>
      </c>
      <c r="BS46" s="459">
        <f t="shared" si="8"/>
        <v>0</v>
      </c>
      <c r="BT46" s="459">
        <f t="shared" si="8"/>
        <v>400</v>
      </c>
      <c r="BU46" s="459">
        <f t="shared" si="8"/>
        <v>0</v>
      </c>
      <c r="BV46" s="459">
        <f t="shared" si="8"/>
        <v>0</v>
      </c>
      <c r="BW46" s="459">
        <f t="shared" si="8"/>
        <v>0</v>
      </c>
      <c r="BX46" s="459">
        <f t="shared" si="8"/>
        <v>0</v>
      </c>
      <c r="BY46" s="459">
        <f t="shared" si="8"/>
        <v>0</v>
      </c>
      <c r="BZ46" s="459">
        <f t="shared" si="8"/>
        <v>0</v>
      </c>
      <c r="CA46" s="459">
        <f t="shared" si="8"/>
        <v>0</v>
      </c>
      <c r="CB46" s="459">
        <f t="shared" si="8"/>
        <v>0</v>
      </c>
      <c r="CC46" s="459">
        <f t="shared" si="8"/>
        <v>0</v>
      </c>
      <c r="CD46" s="459">
        <f t="shared" si="8"/>
        <v>0</v>
      </c>
      <c r="CE46" s="459">
        <f t="shared" si="8"/>
        <v>154000</v>
      </c>
      <c r="CF46" s="459">
        <f t="shared" si="8"/>
        <v>0</v>
      </c>
      <c r="CG46" s="459">
        <f t="shared" si="8"/>
        <v>0</v>
      </c>
      <c r="CH46" s="459">
        <f t="shared" si="8"/>
        <v>0</v>
      </c>
      <c r="CI46" s="459">
        <f t="shared" si="8"/>
        <v>0</v>
      </c>
      <c r="CJ46" s="459">
        <f t="shared" si="8"/>
        <v>0</v>
      </c>
      <c r="CK46" s="459">
        <f t="shared" si="8"/>
        <v>0</v>
      </c>
      <c r="CL46" s="459">
        <f t="shared" si="8"/>
        <v>0</v>
      </c>
      <c r="CM46" s="459">
        <f t="shared" si="8"/>
        <v>40000</v>
      </c>
      <c r="CN46" s="459">
        <f t="shared" si="8"/>
        <v>0</v>
      </c>
      <c r="CO46" s="459">
        <f t="shared" si="8"/>
        <v>0</v>
      </c>
      <c r="CP46" s="459">
        <f t="shared" si="8"/>
        <v>0</v>
      </c>
      <c r="CQ46" s="459">
        <f t="shared" si="8"/>
        <v>0</v>
      </c>
      <c r="CR46" s="459">
        <f t="shared" si="8"/>
        <v>0</v>
      </c>
      <c r="CS46" s="459">
        <f t="shared" si="8"/>
        <v>0</v>
      </c>
    </row>
    <row r="47">
      <c r="A47" s="458" t="s">
        <v>196</v>
      </c>
      <c r="B47" s="459">
        <f t="shared" ref="B47:CS47" si="9">SUM(B30:B33)</f>
        <v>0</v>
      </c>
      <c r="C47" s="459">
        <f t="shared" si="9"/>
        <v>313200</v>
      </c>
      <c r="D47" s="459">
        <f t="shared" si="9"/>
        <v>0</v>
      </c>
      <c r="E47" s="459">
        <f t="shared" si="9"/>
        <v>0</v>
      </c>
      <c r="F47" s="459">
        <f t="shared" si="9"/>
        <v>0</v>
      </c>
      <c r="G47" s="459">
        <f t="shared" si="9"/>
        <v>0</v>
      </c>
      <c r="H47" s="459">
        <f t="shared" si="9"/>
        <v>0</v>
      </c>
      <c r="I47" s="459">
        <f t="shared" si="9"/>
        <v>0</v>
      </c>
      <c r="J47" s="459">
        <f t="shared" si="9"/>
        <v>0</v>
      </c>
      <c r="K47" s="459">
        <f t="shared" si="9"/>
        <v>171000</v>
      </c>
      <c r="L47" s="459">
        <f t="shared" si="9"/>
        <v>0</v>
      </c>
      <c r="M47" s="459">
        <f t="shared" si="9"/>
        <v>0</v>
      </c>
      <c r="N47" s="459">
        <f t="shared" si="9"/>
        <v>0</v>
      </c>
      <c r="O47" s="459">
        <f t="shared" si="9"/>
        <v>0</v>
      </c>
      <c r="P47" s="459">
        <f t="shared" si="9"/>
        <v>0</v>
      </c>
      <c r="Q47" s="459">
        <f t="shared" si="9"/>
        <v>0</v>
      </c>
      <c r="R47" s="459">
        <f t="shared" si="9"/>
        <v>0</v>
      </c>
      <c r="S47" s="459">
        <f t="shared" si="9"/>
        <v>0</v>
      </c>
      <c r="T47" s="459">
        <f t="shared" si="9"/>
        <v>0</v>
      </c>
      <c r="U47" s="459">
        <f t="shared" si="9"/>
        <v>0</v>
      </c>
      <c r="V47" s="459">
        <f t="shared" si="9"/>
        <v>0</v>
      </c>
      <c r="W47" s="459">
        <f t="shared" si="9"/>
        <v>0</v>
      </c>
      <c r="X47" s="459">
        <f t="shared" si="9"/>
        <v>0</v>
      </c>
      <c r="Y47" s="459">
        <f t="shared" si="9"/>
        <v>0</v>
      </c>
      <c r="Z47" s="459">
        <f t="shared" si="9"/>
        <v>0</v>
      </c>
      <c r="AA47" s="459">
        <f t="shared" si="9"/>
        <v>120000</v>
      </c>
      <c r="AB47" s="459">
        <f t="shared" si="9"/>
        <v>0</v>
      </c>
      <c r="AC47" s="459">
        <f t="shared" si="9"/>
        <v>0</v>
      </c>
      <c r="AD47" s="459">
        <f t="shared" si="9"/>
        <v>0</v>
      </c>
      <c r="AE47" s="459">
        <f t="shared" si="9"/>
        <v>0</v>
      </c>
      <c r="AF47" s="459">
        <f t="shared" si="9"/>
        <v>0</v>
      </c>
      <c r="AG47" s="459">
        <f t="shared" si="9"/>
        <v>0</v>
      </c>
      <c r="AH47" s="459">
        <f t="shared" si="9"/>
        <v>0</v>
      </c>
      <c r="AI47" s="459">
        <f t="shared" si="9"/>
        <v>0</v>
      </c>
      <c r="AJ47" s="459">
        <f t="shared" si="9"/>
        <v>0</v>
      </c>
      <c r="AK47" s="459">
        <f t="shared" si="9"/>
        <v>0</v>
      </c>
      <c r="AL47" s="459">
        <f t="shared" si="9"/>
        <v>0</v>
      </c>
      <c r="AM47" s="459">
        <f t="shared" si="9"/>
        <v>0</v>
      </c>
      <c r="AN47" s="459">
        <f t="shared" si="9"/>
        <v>0</v>
      </c>
      <c r="AO47" s="459">
        <f t="shared" si="9"/>
        <v>0</v>
      </c>
      <c r="AP47" s="459">
        <f t="shared" si="9"/>
        <v>0</v>
      </c>
      <c r="AQ47" s="459">
        <f t="shared" si="9"/>
        <v>0</v>
      </c>
      <c r="AR47" s="459">
        <f t="shared" si="9"/>
        <v>490</v>
      </c>
      <c r="AS47" s="459">
        <f t="shared" si="9"/>
        <v>0</v>
      </c>
      <c r="AT47" s="459">
        <f t="shared" si="9"/>
        <v>0</v>
      </c>
      <c r="AU47" s="459">
        <f t="shared" si="9"/>
        <v>0</v>
      </c>
      <c r="AV47" s="459">
        <f t="shared" si="9"/>
        <v>0</v>
      </c>
      <c r="AW47" s="459">
        <f t="shared" si="9"/>
        <v>0</v>
      </c>
      <c r="AX47" s="459">
        <f t="shared" si="9"/>
        <v>0</v>
      </c>
      <c r="AY47" s="459">
        <f t="shared" si="9"/>
        <v>0</v>
      </c>
      <c r="AZ47" s="459">
        <f t="shared" si="9"/>
        <v>0</v>
      </c>
      <c r="BA47" s="459">
        <f t="shared" si="9"/>
        <v>0</v>
      </c>
      <c r="BB47" s="459">
        <f t="shared" si="9"/>
        <v>0</v>
      </c>
      <c r="BC47" s="459">
        <f t="shared" si="9"/>
        <v>0</v>
      </c>
      <c r="BD47" s="459">
        <f t="shared" si="9"/>
        <v>0</v>
      </c>
      <c r="BE47" s="459">
        <f t="shared" si="9"/>
        <v>0</v>
      </c>
      <c r="BF47" s="459">
        <f t="shared" si="9"/>
        <v>0</v>
      </c>
      <c r="BG47" s="459">
        <f t="shared" si="9"/>
        <v>0</v>
      </c>
      <c r="BH47" s="459">
        <f t="shared" si="9"/>
        <v>0</v>
      </c>
      <c r="BI47" s="459">
        <f t="shared" si="9"/>
        <v>0</v>
      </c>
      <c r="BJ47" s="459">
        <f t="shared" si="9"/>
        <v>0</v>
      </c>
      <c r="BK47" s="459">
        <f t="shared" si="9"/>
        <v>0</v>
      </c>
      <c r="BL47" s="459">
        <f t="shared" si="9"/>
        <v>0</v>
      </c>
      <c r="BM47" s="459">
        <f t="shared" si="9"/>
        <v>0</v>
      </c>
      <c r="BN47" s="459">
        <f t="shared" si="9"/>
        <v>0</v>
      </c>
      <c r="BO47" s="459">
        <f t="shared" si="9"/>
        <v>290000</v>
      </c>
      <c r="BP47" s="459">
        <f t="shared" si="9"/>
        <v>260</v>
      </c>
      <c r="BQ47" s="459">
        <f t="shared" si="9"/>
        <v>0</v>
      </c>
      <c r="BR47" s="459">
        <f t="shared" si="9"/>
        <v>0</v>
      </c>
      <c r="BS47" s="459">
        <f t="shared" si="9"/>
        <v>0</v>
      </c>
      <c r="BT47" s="459">
        <f t="shared" si="9"/>
        <v>0</v>
      </c>
      <c r="BU47" s="459">
        <f t="shared" si="9"/>
        <v>0</v>
      </c>
      <c r="BV47" s="459">
        <f t="shared" si="9"/>
        <v>0</v>
      </c>
      <c r="BW47" s="459">
        <f t="shared" si="9"/>
        <v>0</v>
      </c>
      <c r="BX47" s="459">
        <f t="shared" si="9"/>
        <v>0</v>
      </c>
      <c r="BY47" s="459">
        <f t="shared" si="9"/>
        <v>0</v>
      </c>
      <c r="BZ47" s="459">
        <f t="shared" si="9"/>
        <v>0</v>
      </c>
      <c r="CA47" s="459">
        <f t="shared" si="9"/>
        <v>0</v>
      </c>
      <c r="CB47" s="459">
        <f t="shared" si="9"/>
        <v>0</v>
      </c>
      <c r="CC47" s="459">
        <f t="shared" si="9"/>
        <v>0</v>
      </c>
      <c r="CD47" s="459">
        <f t="shared" si="9"/>
        <v>0</v>
      </c>
      <c r="CE47" s="459">
        <f t="shared" si="9"/>
        <v>120000</v>
      </c>
      <c r="CF47" s="459">
        <f t="shared" si="9"/>
        <v>0</v>
      </c>
      <c r="CG47" s="459">
        <f t="shared" si="9"/>
        <v>0</v>
      </c>
      <c r="CH47" s="459">
        <f t="shared" si="9"/>
        <v>0</v>
      </c>
      <c r="CI47" s="459">
        <f t="shared" si="9"/>
        <v>0</v>
      </c>
      <c r="CJ47" s="459">
        <f t="shared" si="9"/>
        <v>0</v>
      </c>
      <c r="CK47" s="459">
        <f t="shared" si="9"/>
        <v>0</v>
      </c>
      <c r="CL47" s="459">
        <f t="shared" si="9"/>
        <v>0</v>
      </c>
      <c r="CM47" s="459">
        <f t="shared" si="9"/>
        <v>106000</v>
      </c>
      <c r="CN47" s="459">
        <f t="shared" si="9"/>
        <v>0</v>
      </c>
      <c r="CO47" s="459">
        <f t="shared" si="9"/>
        <v>0</v>
      </c>
      <c r="CP47" s="459">
        <f t="shared" si="9"/>
        <v>0</v>
      </c>
      <c r="CQ47" s="459">
        <f t="shared" si="9"/>
        <v>0</v>
      </c>
      <c r="CR47" s="459">
        <f t="shared" si="9"/>
        <v>0</v>
      </c>
      <c r="CS47" s="459">
        <f t="shared" si="9"/>
        <v>0</v>
      </c>
    </row>
    <row r="48">
      <c r="A48" s="458" t="s">
        <v>197</v>
      </c>
      <c r="B48" s="459">
        <f t="shared" ref="B48:CS48" si="10">SUM(B34:B35)</f>
        <v>0</v>
      </c>
      <c r="C48" s="459">
        <f t="shared" si="10"/>
        <v>349100</v>
      </c>
      <c r="D48" s="459">
        <f t="shared" si="10"/>
        <v>0</v>
      </c>
      <c r="E48" s="459">
        <f t="shared" si="10"/>
        <v>0</v>
      </c>
      <c r="F48" s="459">
        <f t="shared" si="10"/>
        <v>0</v>
      </c>
      <c r="G48" s="459">
        <f t="shared" si="10"/>
        <v>0</v>
      </c>
      <c r="H48" s="459">
        <f t="shared" si="10"/>
        <v>0</v>
      </c>
      <c r="I48" s="459">
        <f t="shared" si="10"/>
        <v>0</v>
      </c>
      <c r="J48" s="459">
        <f t="shared" si="10"/>
        <v>0</v>
      </c>
      <c r="K48" s="459">
        <f t="shared" si="10"/>
        <v>105000</v>
      </c>
      <c r="L48" s="459">
        <f t="shared" si="10"/>
        <v>0</v>
      </c>
      <c r="M48" s="459">
        <f t="shared" si="10"/>
        <v>0</v>
      </c>
      <c r="N48" s="459">
        <f t="shared" si="10"/>
        <v>0</v>
      </c>
      <c r="O48" s="459">
        <f t="shared" si="10"/>
        <v>0</v>
      </c>
      <c r="P48" s="459">
        <f t="shared" si="10"/>
        <v>0</v>
      </c>
      <c r="Q48" s="459">
        <f t="shared" si="10"/>
        <v>0</v>
      </c>
      <c r="R48" s="459">
        <f t="shared" si="10"/>
        <v>0</v>
      </c>
      <c r="S48" s="459">
        <f t="shared" si="10"/>
        <v>0</v>
      </c>
      <c r="T48" s="459">
        <f t="shared" si="10"/>
        <v>0</v>
      </c>
      <c r="U48" s="459">
        <f t="shared" si="10"/>
        <v>0</v>
      </c>
      <c r="V48" s="459">
        <f t="shared" si="10"/>
        <v>0</v>
      </c>
      <c r="W48" s="459">
        <f t="shared" si="10"/>
        <v>0</v>
      </c>
      <c r="X48" s="459">
        <f t="shared" si="10"/>
        <v>0</v>
      </c>
      <c r="Y48" s="459">
        <f t="shared" si="10"/>
        <v>0</v>
      </c>
      <c r="Z48" s="459">
        <f t="shared" si="10"/>
        <v>0</v>
      </c>
      <c r="AA48" s="459">
        <f t="shared" si="10"/>
        <v>13000</v>
      </c>
      <c r="AB48" s="459">
        <f t="shared" si="10"/>
        <v>0</v>
      </c>
      <c r="AC48" s="459">
        <f t="shared" si="10"/>
        <v>0</v>
      </c>
      <c r="AD48" s="459">
        <f t="shared" si="10"/>
        <v>0</v>
      </c>
      <c r="AE48" s="459">
        <f t="shared" si="10"/>
        <v>0</v>
      </c>
      <c r="AF48" s="459">
        <f t="shared" si="10"/>
        <v>0</v>
      </c>
      <c r="AG48" s="459">
        <f t="shared" si="10"/>
        <v>0</v>
      </c>
      <c r="AH48" s="459">
        <f t="shared" si="10"/>
        <v>0</v>
      </c>
      <c r="AI48" s="459">
        <f t="shared" si="10"/>
        <v>0</v>
      </c>
      <c r="AJ48" s="459">
        <f t="shared" si="10"/>
        <v>0</v>
      </c>
      <c r="AK48" s="459">
        <f t="shared" si="10"/>
        <v>0</v>
      </c>
      <c r="AL48" s="459">
        <f t="shared" si="10"/>
        <v>0</v>
      </c>
      <c r="AM48" s="459">
        <f t="shared" si="10"/>
        <v>0</v>
      </c>
      <c r="AN48" s="459">
        <f t="shared" si="10"/>
        <v>0</v>
      </c>
      <c r="AO48" s="459">
        <f t="shared" si="10"/>
        <v>0</v>
      </c>
      <c r="AP48" s="459">
        <f t="shared" si="10"/>
        <v>0</v>
      </c>
      <c r="AQ48" s="459">
        <f t="shared" si="10"/>
        <v>228000</v>
      </c>
      <c r="AR48" s="459">
        <f t="shared" si="10"/>
        <v>140</v>
      </c>
      <c r="AS48" s="459">
        <f t="shared" si="10"/>
        <v>0</v>
      </c>
      <c r="AT48" s="459">
        <f t="shared" si="10"/>
        <v>0</v>
      </c>
      <c r="AU48" s="459">
        <f t="shared" si="10"/>
        <v>0</v>
      </c>
      <c r="AV48" s="459">
        <f t="shared" si="10"/>
        <v>0</v>
      </c>
      <c r="AW48" s="459">
        <f t="shared" si="10"/>
        <v>0</v>
      </c>
      <c r="AX48" s="459">
        <f t="shared" si="10"/>
        <v>0</v>
      </c>
      <c r="AY48" s="459">
        <f t="shared" si="10"/>
        <v>60000</v>
      </c>
      <c r="AZ48" s="459">
        <f t="shared" si="10"/>
        <v>20</v>
      </c>
      <c r="BA48" s="459">
        <f t="shared" si="10"/>
        <v>0</v>
      </c>
      <c r="BB48" s="459">
        <f t="shared" si="10"/>
        <v>0</v>
      </c>
      <c r="BC48" s="459">
        <f t="shared" si="10"/>
        <v>0</v>
      </c>
      <c r="BD48" s="459">
        <f t="shared" si="10"/>
        <v>0</v>
      </c>
      <c r="BE48" s="459">
        <f t="shared" si="10"/>
        <v>0</v>
      </c>
      <c r="BF48" s="459">
        <f t="shared" si="10"/>
        <v>0</v>
      </c>
      <c r="BG48" s="459">
        <f t="shared" si="10"/>
        <v>0</v>
      </c>
      <c r="BH48" s="459">
        <f t="shared" si="10"/>
        <v>0</v>
      </c>
      <c r="BI48" s="459">
        <f t="shared" si="10"/>
        <v>0</v>
      </c>
      <c r="BJ48" s="459">
        <f t="shared" si="10"/>
        <v>0</v>
      </c>
      <c r="BK48" s="459">
        <f t="shared" si="10"/>
        <v>0</v>
      </c>
      <c r="BL48" s="459">
        <f t="shared" si="10"/>
        <v>0</v>
      </c>
      <c r="BM48" s="459">
        <f t="shared" si="10"/>
        <v>0</v>
      </c>
      <c r="BN48" s="459">
        <f t="shared" si="10"/>
        <v>0</v>
      </c>
      <c r="BO48" s="459">
        <f t="shared" si="10"/>
        <v>0</v>
      </c>
      <c r="BP48" s="459">
        <f t="shared" si="10"/>
        <v>0</v>
      </c>
      <c r="BQ48" s="459">
        <f t="shared" si="10"/>
        <v>0</v>
      </c>
      <c r="BR48" s="459">
        <f t="shared" si="10"/>
        <v>0</v>
      </c>
      <c r="BS48" s="459">
        <f t="shared" si="10"/>
        <v>0</v>
      </c>
      <c r="BT48" s="459">
        <f t="shared" si="10"/>
        <v>0</v>
      </c>
      <c r="BU48" s="459">
        <f t="shared" si="10"/>
        <v>0</v>
      </c>
      <c r="BV48" s="459">
        <f t="shared" si="10"/>
        <v>0</v>
      </c>
      <c r="BW48" s="459">
        <f t="shared" si="10"/>
        <v>0</v>
      </c>
      <c r="BX48" s="459">
        <f t="shared" si="10"/>
        <v>0</v>
      </c>
      <c r="BY48" s="459">
        <f t="shared" si="10"/>
        <v>0</v>
      </c>
      <c r="BZ48" s="459">
        <f t="shared" si="10"/>
        <v>0</v>
      </c>
      <c r="CA48" s="459">
        <f t="shared" si="10"/>
        <v>0</v>
      </c>
      <c r="CB48" s="459">
        <f t="shared" si="10"/>
        <v>0</v>
      </c>
      <c r="CC48" s="459">
        <f t="shared" si="10"/>
        <v>0</v>
      </c>
      <c r="CD48" s="459">
        <f t="shared" si="10"/>
        <v>0</v>
      </c>
      <c r="CE48" s="459">
        <f t="shared" si="10"/>
        <v>20000</v>
      </c>
      <c r="CF48" s="459">
        <f t="shared" si="10"/>
        <v>0</v>
      </c>
      <c r="CG48" s="459">
        <f t="shared" si="10"/>
        <v>0</v>
      </c>
      <c r="CH48" s="459">
        <f t="shared" si="10"/>
        <v>0</v>
      </c>
      <c r="CI48" s="459">
        <f t="shared" si="10"/>
        <v>0</v>
      </c>
      <c r="CJ48" s="459">
        <f t="shared" si="10"/>
        <v>0</v>
      </c>
      <c r="CK48" s="459">
        <f t="shared" si="10"/>
        <v>0</v>
      </c>
      <c r="CL48" s="459">
        <f t="shared" si="10"/>
        <v>0</v>
      </c>
      <c r="CM48" s="459">
        <f t="shared" si="10"/>
        <v>0</v>
      </c>
      <c r="CN48" s="459">
        <f t="shared" si="10"/>
        <v>0</v>
      </c>
      <c r="CO48" s="459">
        <f t="shared" si="10"/>
        <v>0</v>
      </c>
      <c r="CP48" s="459">
        <f t="shared" si="10"/>
        <v>0</v>
      </c>
      <c r="CQ48" s="459">
        <f t="shared" si="10"/>
        <v>0</v>
      </c>
      <c r="CR48" s="459">
        <f t="shared" si="10"/>
        <v>0</v>
      </c>
      <c r="CS48" s="459">
        <f t="shared" si="10"/>
        <v>0</v>
      </c>
    </row>
    <row r="49">
      <c r="A49" s="432"/>
      <c r="B49" s="457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222"/>
      <c r="BF49" s="222"/>
      <c r="BG49" s="222"/>
      <c r="BH49" s="222"/>
      <c r="BI49" s="222"/>
      <c r="BJ49" s="222"/>
      <c r="BK49" s="222"/>
      <c r="BL49" s="222"/>
      <c r="BM49" s="222"/>
      <c r="BN49" s="222"/>
      <c r="BO49" s="222"/>
      <c r="BP49" s="222"/>
      <c r="BQ49" s="222"/>
      <c r="BR49" s="222"/>
      <c r="BS49" s="222"/>
      <c r="BT49" s="222"/>
      <c r="BU49" s="222"/>
      <c r="BV49" s="222"/>
      <c r="BW49" s="222"/>
      <c r="BX49" s="222"/>
      <c r="BY49" s="222"/>
      <c r="BZ49" s="222"/>
      <c r="CA49" s="222"/>
      <c r="CB49" s="222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2"/>
      <c r="CR49" s="222"/>
      <c r="CS49" s="222"/>
    </row>
    <row r="50">
      <c r="A50" s="460" t="s">
        <v>54</v>
      </c>
      <c r="B50" s="440" t="s">
        <v>180</v>
      </c>
      <c r="C50" s="441" t="s">
        <v>113</v>
      </c>
      <c r="D50" s="442" t="s">
        <v>181</v>
      </c>
      <c r="E50" s="443" t="s">
        <v>182</v>
      </c>
      <c r="F50" s="443" t="s">
        <v>183</v>
      </c>
      <c r="G50" s="443" t="s">
        <v>184</v>
      </c>
      <c r="H50" s="443" t="s">
        <v>185</v>
      </c>
      <c r="I50" s="444" t="s">
        <v>186</v>
      </c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  <c r="BX50" s="222"/>
      <c r="BY50" s="222"/>
      <c r="BZ50" s="222"/>
      <c r="CA50" s="222"/>
      <c r="CB50" s="222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2"/>
      <c r="CR50" s="222"/>
      <c r="CS50" s="222"/>
    </row>
    <row r="51">
      <c r="A51" s="461">
        <v>46114.0</v>
      </c>
      <c r="B51" s="462">
        <f t="shared" ref="B51:I51" si="11">+B39+J39+R39+Z39+AH39+AP39+AX39+BF39+BN39+BV39+CD39+CL39</f>
        <v>0</v>
      </c>
      <c r="C51" s="462">
        <f t="shared" si="11"/>
        <v>0</v>
      </c>
      <c r="D51" s="462">
        <f t="shared" si="11"/>
        <v>0</v>
      </c>
      <c r="E51" s="462">
        <f t="shared" si="11"/>
        <v>0</v>
      </c>
      <c r="F51" s="462">
        <f t="shared" si="11"/>
        <v>0</v>
      </c>
      <c r="G51" s="462">
        <f t="shared" si="11"/>
        <v>0</v>
      </c>
      <c r="H51" s="462">
        <f t="shared" si="11"/>
        <v>0</v>
      </c>
      <c r="I51" s="462">
        <f t="shared" si="11"/>
        <v>0</v>
      </c>
      <c r="J51" s="222"/>
      <c r="K51" s="222"/>
      <c r="L51" s="222"/>
      <c r="M51" s="222"/>
      <c r="N51" s="222"/>
      <c r="O51" s="222"/>
      <c r="P51" s="463"/>
      <c r="Q51" s="222"/>
      <c r="R51" s="222"/>
      <c r="S51" s="464"/>
      <c r="T51" s="465"/>
      <c r="U51" s="270"/>
      <c r="V51" s="270"/>
      <c r="W51" s="270"/>
      <c r="X51" s="466">
        <v>46017.0</v>
      </c>
      <c r="Y51" s="467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222"/>
    </row>
    <row r="52">
      <c r="A52" s="468">
        <v>46118.0</v>
      </c>
      <c r="B52" s="462">
        <f t="shared" ref="B52:I52" si="12">+B40+J40+R40+Z40+AH40+AP40+AX40+BF40+BN40+BV40+CD40+CL40</f>
        <v>0</v>
      </c>
      <c r="C52" s="462">
        <f t="shared" si="12"/>
        <v>1364200</v>
      </c>
      <c r="D52" s="462">
        <f t="shared" si="12"/>
        <v>1160</v>
      </c>
      <c r="E52" s="462">
        <f t="shared" si="12"/>
        <v>220</v>
      </c>
      <c r="F52" s="462">
        <f t="shared" si="12"/>
        <v>0</v>
      </c>
      <c r="G52" s="462">
        <f t="shared" si="12"/>
        <v>0</v>
      </c>
      <c r="H52" s="462">
        <f t="shared" si="12"/>
        <v>0</v>
      </c>
      <c r="I52" s="462">
        <f t="shared" si="12"/>
        <v>0</v>
      </c>
      <c r="J52" s="222"/>
      <c r="K52" s="222">
        <v>20000.0</v>
      </c>
      <c r="L52" s="469">
        <v>51.0</v>
      </c>
      <c r="M52" s="222">
        <f t="shared" ref="M52:M58" si="14">K52*L52</f>
        <v>1020000</v>
      </c>
      <c r="N52" s="222"/>
      <c r="O52" s="222">
        <v>20000.0</v>
      </c>
      <c r="P52" s="470">
        <v>45.0</v>
      </c>
      <c r="Q52" s="222">
        <f t="shared" ref="Q52:Q58" si="15">O52*P52</f>
        <v>900000</v>
      </c>
      <c r="R52" s="222"/>
      <c r="S52" s="471">
        <v>20000.0</v>
      </c>
      <c r="T52" s="472"/>
      <c r="U52" s="222">
        <f t="shared" ref="U52:U58" si="16">S52*T52</f>
        <v>0</v>
      </c>
      <c r="V52" s="222"/>
      <c r="W52" s="222"/>
      <c r="X52" s="222"/>
      <c r="Y52" s="473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222"/>
      <c r="BG52" s="222"/>
      <c r="BH52" s="222"/>
      <c r="BI52" s="222"/>
      <c r="BJ52" s="222"/>
      <c r="BK52" s="222"/>
      <c r="BL52" s="222"/>
      <c r="BM52" s="222"/>
      <c r="BN52" s="222"/>
      <c r="BO52" s="222"/>
      <c r="BP52" s="222"/>
      <c r="BQ52" s="222"/>
      <c r="BR52" s="222"/>
      <c r="BS52" s="222"/>
      <c r="BT52" s="222"/>
      <c r="BU52" s="222"/>
      <c r="BV52" s="222"/>
      <c r="BW52" s="222"/>
      <c r="BX52" s="222"/>
      <c r="BY52" s="222"/>
      <c r="BZ52" s="222"/>
      <c r="CA52" s="222"/>
      <c r="CB52" s="222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2"/>
      <c r="CR52" s="222"/>
      <c r="CS52" s="222"/>
    </row>
    <row r="53">
      <c r="A53" s="468">
        <f t="shared" ref="A53:A56" si="17">A51+7</f>
        <v>46121</v>
      </c>
      <c r="B53" s="462">
        <f t="shared" ref="B53:I53" si="13">+B41+J41+R41+Z41+AH41+AP41+AX41+BF41+BN41+BV41+CD41+CL41</f>
        <v>0</v>
      </c>
      <c r="C53" s="462">
        <f t="shared" si="13"/>
        <v>1941100</v>
      </c>
      <c r="D53" s="462">
        <f t="shared" si="13"/>
        <v>490</v>
      </c>
      <c r="E53" s="462">
        <f t="shared" si="13"/>
        <v>0</v>
      </c>
      <c r="F53" s="462">
        <f t="shared" si="13"/>
        <v>0</v>
      </c>
      <c r="G53" s="462">
        <f t="shared" si="13"/>
        <v>0</v>
      </c>
      <c r="H53" s="462">
        <f t="shared" si="13"/>
        <v>200</v>
      </c>
      <c r="I53" s="462">
        <f t="shared" si="13"/>
        <v>0</v>
      </c>
      <c r="J53" s="222"/>
      <c r="K53" s="222">
        <v>10000.0</v>
      </c>
      <c r="L53" s="469">
        <v>79.0</v>
      </c>
      <c r="M53" s="222">
        <f t="shared" si="14"/>
        <v>790000</v>
      </c>
      <c r="N53" s="222"/>
      <c r="O53" s="222">
        <v>10000.0</v>
      </c>
      <c r="P53" s="470">
        <v>65.0</v>
      </c>
      <c r="Q53" s="222">
        <f t="shared" si="15"/>
        <v>650000</v>
      </c>
      <c r="R53" s="222"/>
      <c r="S53" s="471">
        <v>10000.0</v>
      </c>
      <c r="T53" s="472"/>
      <c r="U53" s="222">
        <f t="shared" si="16"/>
        <v>0</v>
      </c>
      <c r="V53" s="222"/>
      <c r="W53" s="222"/>
      <c r="X53" s="222"/>
      <c r="Y53" s="473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Y53" s="222"/>
      <c r="AZ53" s="222"/>
      <c r="BA53" s="222"/>
      <c r="BB53" s="222"/>
      <c r="BC53" s="222"/>
      <c r="BD53" s="222"/>
      <c r="BE53" s="222"/>
      <c r="BF53" s="222"/>
      <c r="BG53" s="222"/>
      <c r="BH53" s="222"/>
      <c r="BI53" s="222"/>
      <c r="BJ53" s="222"/>
      <c r="BK53" s="222"/>
      <c r="BL53" s="222"/>
      <c r="BM53" s="222"/>
      <c r="BN53" s="222"/>
      <c r="BO53" s="222"/>
      <c r="BP53" s="222"/>
      <c r="BQ53" s="222"/>
      <c r="BR53" s="222"/>
      <c r="BS53" s="222"/>
      <c r="BT53" s="222"/>
      <c r="BU53" s="222"/>
      <c r="BV53" s="222"/>
      <c r="BW53" s="222"/>
      <c r="BX53" s="222"/>
      <c r="BY53" s="222"/>
      <c r="BZ53" s="222"/>
      <c r="CA53" s="222"/>
      <c r="CB53" s="222"/>
      <c r="CC53" s="222"/>
      <c r="CD53" s="222"/>
      <c r="CE53" s="222"/>
      <c r="CF53" s="222"/>
      <c r="CG53" s="222"/>
      <c r="CH53" s="222"/>
      <c r="CI53" s="222"/>
      <c r="CJ53" s="222"/>
      <c r="CK53" s="222"/>
      <c r="CL53" s="222"/>
      <c r="CM53" s="222"/>
      <c r="CN53" s="222"/>
      <c r="CO53" s="222"/>
      <c r="CP53" s="222"/>
      <c r="CQ53" s="222"/>
      <c r="CR53" s="222"/>
      <c r="CS53" s="222"/>
    </row>
    <row r="54">
      <c r="A54" s="468">
        <f t="shared" si="17"/>
        <v>46125</v>
      </c>
      <c r="B54" s="462">
        <f t="shared" ref="B54:I54" si="18">+B42+J42+R42+Z42+AH42+AP42+AX42+BF42+BN42+BV42+CD42+CL42</f>
        <v>0</v>
      </c>
      <c r="C54" s="462">
        <f t="shared" si="18"/>
        <v>2141600</v>
      </c>
      <c r="D54" s="462">
        <f t="shared" si="18"/>
        <v>190</v>
      </c>
      <c r="E54" s="462">
        <f t="shared" si="18"/>
        <v>0</v>
      </c>
      <c r="F54" s="462">
        <f t="shared" si="18"/>
        <v>0</v>
      </c>
      <c r="G54" s="462">
        <f t="shared" si="18"/>
        <v>0</v>
      </c>
      <c r="H54" s="462">
        <f t="shared" si="18"/>
        <v>60</v>
      </c>
      <c r="I54" s="462">
        <f t="shared" si="18"/>
        <v>0</v>
      </c>
      <c r="J54" s="222"/>
      <c r="K54" s="222">
        <v>2000.0</v>
      </c>
      <c r="L54" s="469">
        <v>90.0</v>
      </c>
      <c r="M54" s="222">
        <f t="shared" si="14"/>
        <v>180000</v>
      </c>
      <c r="N54" s="222"/>
      <c r="O54" s="222">
        <v>2000.0</v>
      </c>
      <c r="P54" s="470">
        <v>90.0</v>
      </c>
      <c r="Q54" s="222">
        <f t="shared" si="15"/>
        <v>180000</v>
      </c>
      <c r="R54" s="222"/>
      <c r="S54" s="471">
        <v>2000.0</v>
      </c>
      <c r="T54" s="472"/>
      <c r="U54" s="222">
        <f t="shared" si="16"/>
        <v>0</v>
      </c>
      <c r="V54" s="222"/>
      <c r="W54" s="222"/>
      <c r="X54" s="222"/>
      <c r="Y54" s="473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22"/>
      <c r="BG54" s="222"/>
      <c r="BH54" s="222"/>
      <c r="BI54" s="222"/>
      <c r="BJ54" s="222"/>
      <c r="BK54" s="222"/>
      <c r="BL54" s="222"/>
      <c r="BM54" s="222"/>
      <c r="BN54" s="222"/>
      <c r="BO54" s="222"/>
      <c r="BP54" s="222"/>
      <c r="BQ54" s="222"/>
      <c r="BR54" s="222"/>
      <c r="BS54" s="222"/>
      <c r="BT54" s="222"/>
      <c r="BU54" s="222"/>
      <c r="BV54" s="222"/>
      <c r="BW54" s="222"/>
      <c r="BX54" s="222"/>
      <c r="BY54" s="222"/>
      <c r="BZ54" s="222"/>
      <c r="CA54" s="222"/>
      <c r="CB54" s="222"/>
      <c r="CC54" s="222"/>
      <c r="CD54" s="222"/>
      <c r="CE54" s="222"/>
      <c r="CF54" s="222"/>
      <c r="CG54" s="222"/>
      <c r="CH54" s="222"/>
      <c r="CI54" s="222"/>
      <c r="CJ54" s="222"/>
      <c r="CK54" s="222"/>
      <c r="CL54" s="222"/>
      <c r="CM54" s="222"/>
      <c r="CN54" s="222"/>
      <c r="CO54" s="222"/>
      <c r="CP54" s="222"/>
      <c r="CQ54" s="222"/>
      <c r="CR54" s="222"/>
      <c r="CS54" s="222"/>
    </row>
    <row r="55">
      <c r="A55" s="468">
        <f t="shared" si="17"/>
        <v>46128</v>
      </c>
      <c r="B55" s="462">
        <f t="shared" ref="B55:I55" si="19">+B43+J43+R43+Z43+AH43+AP43+AX43+BF43+BN43+BV43+CD43+CL43</f>
        <v>32500</v>
      </c>
      <c r="C55" s="462">
        <f t="shared" si="19"/>
        <v>801300</v>
      </c>
      <c r="D55" s="462">
        <f t="shared" si="19"/>
        <v>0</v>
      </c>
      <c r="E55" s="462">
        <f t="shared" si="19"/>
        <v>0</v>
      </c>
      <c r="F55" s="462">
        <f t="shared" si="19"/>
        <v>0</v>
      </c>
      <c r="G55" s="462">
        <f t="shared" si="19"/>
        <v>0</v>
      </c>
      <c r="H55" s="462">
        <f t="shared" si="19"/>
        <v>0</v>
      </c>
      <c r="I55" s="462">
        <f t="shared" si="19"/>
        <v>0</v>
      </c>
      <c r="J55" s="222"/>
      <c r="K55" s="222">
        <v>1000.0</v>
      </c>
      <c r="L55" s="469">
        <v>62.0</v>
      </c>
      <c r="M55" s="222">
        <f t="shared" si="14"/>
        <v>62000</v>
      </c>
      <c r="N55" s="222"/>
      <c r="O55" s="222">
        <v>1000.0</v>
      </c>
      <c r="P55" s="470">
        <v>59.0</v>
      </c>
      <c r="Q55" s="222">
        <f t="shared" si="15"/>
        <v>59000</v>
      </c>
      <c r="R55" s="222"/>
      <c r="S55" s="471">
        <v>1000.0</v>
      </c>
      <c r="T55" s="472"/>
      <c r="U55" s="222">
        <f t="shared" si="16"/>
        <v>0</v>
      </c>
      <c r="V55" s="222"/>
      <c r="W55" s="222"/>
      <c r="X55" s="222"/>
      <c r="Y55" s="473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2"/>
      <c r="BL55" s="222"/>
      <c r="BM55" s="222"/>
      <c r="BN55" s="222"/>
      <c r="BO55" s="222"/>
      <c r="BP55" s="222"/>
      <c r="BQ55" s="222"/>
      <c r="BR55" s="222"/>
      <c r="BS55" s="222"/>
      <c r="BT55" s="222"/>
      <c r="BU55" s="222"/>
      <c r="BV55" s="222"/>
      <c r="BW55" s="222"/>
      <c r="BX55" s="222"/>
      <c r="BY55" s="222"/>
      <c r="BZ55" s="222"/>
      <c r="CA55" s="222"/>
      <c r="CB55" s="222"/>
      <c r="CC55" s="222"/>
      <c r="CD55" s="222"/>
      <c r="CE55" s="222"/>
      <c r="CF55" s="222"/>
      <c r="CG55" s="222"/>
      <c r="CH55" s="222"/>
      <c r="CI55" s="222"/>
      <c r="CJ55" s="222"/>
      <c r="CK55" s="222"/>
      <c r="CL55" s="222"/>
      <c r="CM55" s="222"/>
      <c r="CN55" s="222"/>
      <c r="CO55" s="222"/>
      <c r="CP55" s="222"/>
      <c r="CQ55" s="222"/>
      <c r="CR55" s="222"/>
      <c r="CS55" s="222"/>
    </row>
    <row r="56">
      <c r="A56" s="468">
        <f t="shared" si="17"/>
        <v>46132</v>
      </c>
      <c r="B56" s="462">
        <f t="shared" ref="B56:I56" si="20">+B44+J44+R44+Z44+AH44+AP44+AX44+BF44+BN44+BV44+CD44+CL44</f>
        <v>0</v>
      </c>
      <c r="C56" s="462">
        <f t="shared" si="20"/>
        <v>3683400</v>
      </c>
      <c r="D56" s="462">
        <f t="shared" si="20"/>
        <v>500</v>
      </c>
      <c r="E56" s="462">
        <f t="shared" si="20"/>
        <v>60</v>
      </c>
      <c r="F56" s="462">
        <f t="shared" si="20"/>
        <v>0</v>
      </c>
      <c r="G56" s="462">
        <f t="shared" si="20"/>
        <v>0</v>
      </c>
      <c r="H56" s="462">
        <f t="shared" si="20"/>
        <v>0</v>
      </c>
      <c r="I56" s="462">
        <f t="shared" si="20"/>
        <v>0</v>
      </c>
      <c r="J56" s="222"/>
      <c r="K56" s="222">
        <v>500.0</v>
      </c>
      <c r="L56" s="469">
        <v>4.0</v>
      </c>
      <c r="M56" s="222">
        <f t="shared" si="14"/>
        <v>2000</v>
      </c>
      <c r="N56" s="222"/>
      <c r="O56" s="222">
        <v>500.0</v>
      </c>
      <c r="P56" s="470">
        <v>4.0</v>
      </c>
      <c r="Q56" s="222">
        <f t="shared" si="15"/>
        <v>2000</v>
      </c>
      <c r="R56" s="222"/>
      <c r="S56" s="471">
        <v>500.0</v>
      </c>
      <c r="T56" s="472"/>
      <c r="U56" s="222">
        <f t="shared" si="16"/>
        <v>0</v>
      </c>
      <c r="V56" s="222"/>
      <c r="W56" s="222"/>
      <c r="X56" s="222"/>
      <c r="Y56" s="473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22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222"/>
      <c r="BV56" s="222"/>
      <c r="BW56" s="222"/>
      <c r="BX56" s="222"/>
      <c r="BY56" s="222"/>
      <c r="BZ56" s="222"/>
      <c r="CA56" s="222"/>
      <c r="CB56" s="222"/>
      <c r="CC56" s="222"/>
      <c r="CD56" s="222"/>
      <c r="CE56" s="222"/>
      <c r="CF56" s="222"/>
      <c r="CG56" s="222"/>
      <c r="CH56" s="222"/>
      <c r="CI56" s="222"/>
      <c r="CJ56" s="222"/>
      <c r="CK56" s="222"/>
      <c r="CL56" s="222"/>
      <c r="CM56" s="222"/>
      <c r="CN56" s="222"/>
      <c r="CO56" s="222"/>
      <c r="CP56" s="222"/>
      <c r="CQ56" s="222"/>
      <c r="CR56" s="222"/>
      <c r="CS56" s="222"/>
    </row>
    <row r="57">
      <c r="A57" s="474">
        <v>46163.0</v>
      </c>
      <c r="B57" s="462">
        <f t="shared" ref="B57:I57" si="21">+B45+J45+R45+Z45+AH45+AP45+AX45+BF45+BN45+BV45+CD45+CL45</f>
        <v>0</v>
      </c>
      <c r="C57" s="462">
        <f t="shared" si="21"/>
        <v>1454700</v>
      </c>
      <c r="D57" s="462">
        <f t="shared" si="21"/>
        <v>480</v>
      </c>
      <c r="E57" s="462">
        <f t="shared" si="21"/>
        <v>0</v>
      </c>
      <c r="F57" s="475">
        <f t="shared" si="21"/>
        <v>0</v>
      </c>
      <c r="G57" s="475">
        <f t="shared" si="21"/>
        <v>0</v>
      </c>
      <c r="H57" s="475">
        <f t="shared" si="21"/>
        <v>0</v>
      </c>
      <c r="I57" s="475">
        <f t="shared" si="21"/>
        <v>0</v>
      </c>
      <c r="J57" s="222"/>
      <c r="K57" s="222">
        <v>200.0</v>
      </c>
      <c r="L57" s="469">
        <v>5.0</v>
      </c>
      <c r="M57" s="222">
        <f t="shared" si="14"/>
        <v>1000</v>
      </c>
      <c r="N57" s="222"/>
      <c r="O57" s="222">
        <v>200.0</v>
      </c>
      <c r="P57" s="470">
        <v>5.0</v>
      </c>
      <c r="Q57" s="222">
        <f t="shared" si="15"/>
        <v>1000</v>
      </c>
      <c r="R57" s="222"/>
      <c r="S57" s="471">
        <v>200.0</v>
      </c>
      <c r="T57" s="472"/>
      <c r="U57" s="222">
        <f t="shared" si="16"/>
        <v>0</v>
      </c>
      <c r="V57" s="222"/>
      <c r="W57" s="222"/>
      <c r="X57" s="222"/>
      <c r="Y57" s="473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Y57" s="222"/>
      <c r="AZ57" s="222"/>
      <c r="BA57" s="222"/>
      <c r="BB57" s="222"/>
      <c r="BC57" s="222"/>
      <c r="BD57" s="222"/>
      <c r="BE57" s="222"/>
      <c r="BF57" s="222"/>
      <c r="BG57" s="222"/>
      <c r="BH57" s="222"/>
      <c r="BI57" s="222"/>
      <c r="BJ57" s="222"/>
      <c r="BK57" s="222"/>
      <c r="BL57" s="222"/>
      <c r="BM57" s="222"/>
      <c r="BN57" s="222"/>
      <c r="BO57" s="222"/>
      <c r="BP57" s="222"/>
      <c r="BQ57" s="222"/>
      <c r="BR57" s="222"/>
      <c r="BS57" s="222"/>
      <c r="BT57" s="222"/>
      <c r="BU57" s="222"/>
      <c r="BV57" s="222"/>
      <c r="BW57" s="222"/>
      <c r="BX57" s="222"/>
      <c r="BY57" s="222"/>
      <c r="BZ57" s="222"/>
      <c r="CA57" s="222"/>
      <c r="CB57" s="222"/>
      <c r="CC57" s="222"/>
      <c r="CD57" s="222"/>
      <c r="CE57" s="222"/>
      <c r="CF57" s="222"/>
      <c r="CG57" s="222"/>
      <c r="CH57" s="222"/>
      <c r="CI57" s="222"/>
      <c r="CJ57" s="222"/>
      <c r="CK57" s="222"/>
      <c r="CL57" s="222"/>
      <c r="CM57" s="222"/>
      <c r="CN57" s="222"/>
      <c r="CO57" s="222"/>
      <c r="CP57" s="222"/>
      <c r="CQ57" s="222"/>
      <c r="CR57" s="222"/>
      <c r="CS57" s="222"/>
    </row>
    <row r="58">
      <c r="A58" s="468">
        <f t="shared" ref="A58:A60" si="23">A56+7</f>
        <v>46139</v>
      </c>
      <c r="B58" s="462">
        <f t="shared" ref="B58:I58" si="22">+B46+J46+R46+Z46+AH46+AP46+AX46+BF46+BN46+BV46+CD46+CL46</f>
        <v>0</v>
      </c>
      <c r="C58" s="462">
        <f t="shared" si="22"/>
        <v>3680400</v>
      </c>
      <c r="D58" s="462">
        <f t="shared" si="22"/>
        <v>995</v>
      </c>
      <c r="E58" s="462">
        <f t="shared" si="22"/>
        <v>100</v>
      </c>
      <c r="F58" s="475">
        <f t="shared" si="22"/>
        <v>0</v>
      </c>
      <c r="G58" s="475">
        <f t="shared" si="22"/>
        <v>0</v>
      </c>
      <c r="H58" s="475">
        <f t="shared" si="22"/>
        <v>400</v>
      </c>
      <c r="I58" s="475">
        <f t="shared" si="22"/>
        <v>0</v>
      </c>
      <c r="J58" s="222"/>
      <c r="K58" s="222">
        <v>100.0</v>
      </c>
      <c r="L58" s="469">
        <v>3.0</v>
      </c>
      <c r="M58" s="222">
        <f t="shared" si="14"/>
        <v>300</v>
      </c>
      <c r="N58" s="222"/>
      <c r="O58" s="222">
        <v>100.0</v>
      </c>
      <c r="P58" s="470">
        <v>3.0</v>
      </c>
      <c r="Q58" s="222">
        <f t="shared" si="15"/>
        <v>300</v>
      </c>
      <c r="R58" s="222"/>
      <c r="S58" s="471">
        <v>100.0</v>
      </c>
      <c r="T58" s="472"/>
      <c r="U58" s="222">
        <f t="shared" si="16"/>
        <v>0</v>
      </c>
      <c r="V58" s="222"/>
      <c r="W58" s="222"/>
      <c r="X58" s="222"/>
      <c r="Y58" s="473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2"/>
      <c r="BF58" s="222"/>
      <c r="BG58" s="222"/>
      <c r="BH58" s="222"/>
      <c r="BI58" s="222"/>
      <c r="BJ58" s="222"/>
      <c r="BK58" s="222"/>
      <c r="BL58" s="222"/>
      <c r="BM58" s="222"/>
      <c r="BN58" s="222"/>
      <c r="BO58" s="222"/>
      <c r="BP58" s="222"/>
      <c r="BQ58" s="222"/>
      <c r="BR58" s="222"/>
      <c r="BS58" s="222"/>
      <c r="BT58" s="222"/>
      <c r="BU58" s="222"/>
      <c r="BV58" s="222"/>
      <c r="BW58" s="222"/>
      <c r="BX58" s="222"/>
      <c r="BY58" s="222"/>
      <c r="BZ58" s="222"/>
      <c r="CA58" s="222"/>
      <c r="CB58" s="222"/>
      <c r="CC58" s="222"/>
      <c r="CD58" s="222"/>
      <c r="CE58" s="222"/>
      <c r="CF58" s="222"/>
      <c r="CG58" s="222"/>
      <c r="CH58" s="222"/>
      <c r="CI58" s="222"/>
      <c r="CJ58" s="222"/>
      <c r="CK58" s="222"/>
      <c r="CL58" s="222"/>
      <c r="CM58" s="222"/>
      <c r="CN58" s="222"/>
      <c r="CO58" s="222"/>
      <c r="CP58" s="222"/>
      <c r="CQ58" s="222"/>
      <c r="CR58" s="222"/>
      <c r="CS58" s="222"/>
    </row>
    <row r="59">
      <c r="A59" s="468">
        <f t="shared" si="23"/>
        <v>46170</v>
      </c>
      <c r="B59" s="462">
        <f t="shared" ref="B59:I59" si="24">+B47+J47+R47+Z47+AH47+AP47+AX47+BF47+BN47+BV47+CD47+CL47</f>
        <v>0</v>
      </c>
      <c r="C59" s="462">
        <f t="shared" si="24"/>
        <v>1120200</v>
      </c>
      <c r="D59" s="462">
        <f t="shared" si="24"/>
        <v>750</v>
      </c>
      <c r="E59" s="462">
        <f t="shared" si="24"/>
        <v>0</v>
      </c>
      <c r="F59" s="462">
        <f t="shared" si="24"/>
        <v>0</v>
      </c>
      <c r="G59" s="462">
        <f t="shared" si="24"/>
        <v>0</v>
      </c>
      <c r="H59" s="462">
        <f t="shared" si="24"/>
        <v>0</v>
      </c>
      <c r="I59" s="462">
        <f t="shared" si="24"/>
        <v>0</v>
      </c>
      <c r="J59" s="222"/>
      <c r="K59" s="222"/>
      <c r="L59" s="222"/>
      <c r="M59" s="476"/>
      <c r="N59" s="222"/>
      <c r="O59" s="222"/>
      <c r="P59" s="222"/>
      <c r="Q59" s="477"/>
      <c r="R59" s="222"/>
      <c r="S59" s="471"/>
      <c r="T59" s="222"/>
      <c r="U59" s="477"/>
      <c r="V59" s="222"/>
      <c r="W59" s="222"/>
      <c r="X59" s="222"/>
      <c r="Y59" s="473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Y59" s="222"/>
      <c r="AZ59" s="222"/>
      <c r="BA59" s="222"/>
      <c r="BB59" s="222"/>
      <c r="BC59" s="222"/>
      <c r="BD59" s="222"/>
      <c r="BE59" s="222"/>
      <c r="BF59" s="222"/>
      <c r="BG59" s="222"/>
      <c r="BH59" s="222"/>
      <c r="BI59" s="222"/>
      <c r="BJ59" s="222"/>
      <c r="BK59" s="222"/>
      <c r="BL59" s="222"/>
      <c r="BM59" s="222"/>
      <c r="BN59" s="222"/>
      <c r="BO59" s="222"/>
      <c r="BP59" s="222"/>
      <c r="BQ59" s="222"/>
      <c r="BR59" s="222"/>
      <c r="BS59" s="222"/>
      <c r="BT59" s="222"/>
      <c r="BU59" s="222"/>
      <c r="BV59" s="222"/>
      <c r="BW59" s="222"/>
      <c r="BX59" s="222"/>
      <c r="BY59" s="222"/>
      <c r="BZ59" s="222"/>
      <c r="CA59" s="222"/>
      <c r="CB59" s="222"/>
      <c r="CC59" s="222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2"/>
      <c r="CR59" s="222"/>
      <c r="CS59" s="222"/>
    </row>
    <row r="60">
      <c r="A60" s="468">
        <f t="shared" si="23"/>
        <v>46146</v>
      </c>
      <c r="B60" s="462">
        <f t="shared" ref="B60:I60" si="25">+B48+J48+R48+Z48+AH48+AP48+AX48+BF48+BN48+BV48+CD48+CL48</f>
        <v>0</v>
      </c>
      <c r="C60" s="475">
        <f t="shared" si="25"/>
        <v>775100</v>
      </c>
      <c r="D60" s="475">
        <f t="shared" si="25"/>
        <v>160</v>
      </c>
      <c r="E60" s="475">
        <f t="shared" si="25"/>
        <v>0</v>
      </c>
      <c r="F60" s="475">
        <f t="shared" si="25"/>
        <v>0</v>
      </c>
      <c r="G60" s="475">
        <f t="shared" si="25"/>
        <v>0</v>
      </c>
      <c r="H60" s="475">
        <f t="shared" si="25"/>
        <v>0</v>
      </c>
      <c r="I60" s="475">
        <f t="shared" si="25"/>
        <v>0</v>
      </c>
      <c r="J60" s="222"/>
      <c r="K60" s="222"/>
      <c r="L60" s="222"/>
      <c r="M60" s="478">
        <f>SUM(M52:M59)</f>
        <v>2055300</v>
      </c>
      <c r="N60" s="457">
        <f>M60-C63</f>
        <v>0</v>
      </c>
      <c r="O60" s="222"/>
      <c r="P60" s="222" t="s">
        <v>198</v>
      </c>
      <c r="Q60" s="417">
        <f>SUM(Q52:Q59)</f>
        <v>1792300</v>
      </c>
      <c r="R60" s="304"/>
      <c r="S60" s="471"/>
      <c r="T60" s="222"/>
      <c r="U60" s="479">
        <f>SUM(U52:U59)</f>
        <v>0</v>
      </c>
      <c r="V60" s="457">
        <f>C66-U60</f>
        <v>5575700</v>
      </c>
      <c r="W60" s="222"/>
      <c r="X60" s="222"/>
      <c r="Y60" s="473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  <c r="AY60" s="222"/>
      <c r="AZ60" s="222"/>
      <c r="BA60" s="222"/>
      <c r="BB60" s="222"/>
      <c r="BC60" s="222"/>
      <c r="BD60" s="222"/>
      <c r="BE60" s="222"/>
      <c r="BF60" s="222"/>
      <c r="BG60" s="222"/>
      <c r="BH60" s="222"/>
      <c r="BI60" s="222"/>
      <c r="BJ60" s="222"/>
      <c r="BK60" s="222"/>
      <c r="BL60" s="222"/>
      <c r="BM60" s="222"/>
      <c r="BN60" s="222"/>
      <c r="BO60" s="222"/>
      <c r="BP60" s="222"/>
      <c r="BQ60" s="222"/>
      <c r="BR60" s="222"/>
      <c r="BS60" s="222"/>
      <c r="BT60" s="222"/>
      <c r="BU60" s="222"/>
      <c r="BV60" s="222"/>
      <c r="BW60" s="222"/>
      <c r="BX60" s="222"/>
      <c r="BY60" s="222"/>
      <c r="BZ60" s="222"/>
      <c r="CA60" s="222"/>
      <c r="CB60" s="222"/>
      <c r="CC60" s="222"/>
      <c r="CD60" s="222"/>
      <c r="CE60" s="222"/>
      <c r="CF60" s="222"/>
      <c r="CG60" s="222"/>
      <c r="CH60" s="222"/>
      <c r="CI60" s="222"/>
      <c r="CJ60" s="222"/>
      <c r="CK60" s="222"/>
      <c r="CL60" s="222"/>
      <c r="CM60" s="222"/>
      <c r="CN60" s="222"/>
      <c r="CO60" s="222"/>
      <c r="CP60" s="222"/>
      <c r="CQ60" s="222"/>
      <c r="CR60" s="222"/>
      <c r="CS60" s="222"/>
    </row>
    <row r="61">
      <c r="A61" s="457"/>
      <c r="B61" s="462"/>
      <c r="C61" s="462"/>
      <c r="D61" s="462"/>
      <c r="E61" s="462"/>
      <c r="F61" s="462"/>
      <c r="G61" s="462"/>
      <c r="H61" s="462"/>
      <c r="I61" s="462"/>
      <c r="J61" s="222"/>
      <c r="K61" s="222"/>
      <c r="L61" s="222"/>
      <c r="M61" s="222"/>
      <c r="N61" s="222"/>
      <c r="O61" s="222"/>
      <c r="P61" s="222"/>
      <c r="Q61" s="222"/>
      <c r="R61" s="222"/>
      <c r="S61" s="471"/>
      <c r="T61" s="222"/>
      <c r="U61" s="222"/>
      <c r="V61" s="222"/>
      <c r="W61" s="222"/>
      <c r="X61" s="222"/>
      <c r="Y61" s="473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2"/>
      <c r="BB61" s="222"/>
      <c r="BC61" s="222"/>
      <c r="BD61" s="222"/>
      <c r="BE61" s="222"/>
      <c r="BF61" s="222"/>
      <c r="BG61" s="222"/>
      <c r="BH61" s="222"/>
      <c r="BI61" s="222"/>
      <c r="BJ61" s="222"/>
      <c r="BK61" s="222"/>
      <c r="BL61" s="222"/>
      <c r="BM61" s="222"/>
      <c r="BN61" s="222"/>
      <c r="BO61" s="222"/>
      <c r="BP61" s="222"/>
      <c r="BQ61" s="222"/>
      <c r="BR61" s="222"/>
      <c r="BS61" s="222"/>
      <c r="BT61" s="222"/>
      <c r="BU61" s="222"/>
      <c r="BV61" s="222"/>
      <c r="BW61" s="222"/>
      <c r="BX61" s="222"/>
      <c r="BY61" s="222"/>
      <c r="BZ61" s="222"/>
      <c r="CA61" s="222"/>
      <c r="CB61" s="222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2"/>
      <c r="CR61" s="222"/>
      <c r="CS61" s="222"/>
    </row>
    <row r="62">
      <c r="A62" s="432"/>
      <c r="B62" s="457">
        <f>B51+B52</f>
        <v>0</v>
      </c>
      <c r="C62" s="457"/>
      <c r="D62" s="457"/>
      <c r="E62" s="457"/>
      <c r="F62" s="457"/>
      <c r="G62" s="457"/>
      <c r="H62" s="457"/>
      <c r="I62" s="457"/>
      <c r="J62" s="222"/>
      <c r="K62" s="222"/>
      <c r="L62" s="222"/>
      <c r="M62" s="222"/>
      <c r="N62" s="222"/>
      <c r="O62" s="222"/>
      <c r="P62" s="222" t="s">
        <v>199</v>
      </c>
      <c r="Q62" s="457">
        <f>-SUM(C55:C57)-BO42-CE42</f>
        <v>-6290400</v>
      </c>
      <c r="R62" s="222"/>
      <c r="S62" s="471">
        <v>100.0</v>
      </c>
      <c r="T62" s="222"/>
      <c r="U62" s="222">
        <f t="shared" ref="U62:U69" si="27">S62*T62</f>
        <v>0</v>
      </c>
      <c r="V62" s="222"/>
      <c r="W62" s="227" t="s">
        <v>200</v>
      </c>
      <c r="X62" s="480"/>
      <c r="Y62" s="473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222"/>
      <c r="BH62" s="222"/>
      <c r="BI62" s="222"/>
      <c r="BJ62" s="222"/>
      <c r="BK62" s="222"/>
      <c r="BL62" s="222"/>
      <c r="BM62" s="222"/>
      <c r="BN62" s="222"/>
      <c r="BO62" s="222"/>
      <c r="BP62" s="222"/>
      <c r="BQ62" s="222"/>
      <c r="BR62" s="222"/>
      <c r="BS62" s="222"/>
      <c r="BT62" s="222"/>
      <c r="BU62" s="222"/>
      <c r="BV62" s="222"/>
      <c r="BW62" s="222"/>
      <c r="BX62" s="222"/>
      <c r="BY62" s="222"/>
      <c r="BZ62" s="222"/>
      <c r="CA62" s="222"/>
      <c r="CB62" s="222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2"/>
      <c r="CR62" s="222"/>
      <c r="CS62" s="222"/>
    </row>
    <row r="63">
      <c r="A63" s="432"/>
      <c r="B63" s="463"/>
      <c r="C63" s="481">
        <f>C59+C60+BO29</f>
        <v>2055300</v>
      </c>
      <c r="D63" s="481">
        <f>D59+D60+100</f>
        <v>1010</v>
      </c>
      <c r="E63" s="481">
        <f t="shared" ref="E63:I63" si="26">E59+E60</f>
        <v>0</v>
      </c>
      <c r="F63" s="481">
        <f t="shared" si="26"/>
        <v>0</v>
      </c>
      <c r="G63" s="481">
        <f t="shared" si="26"/>
        <v>0</v>
      </c>
      <c r="H63" s="481">
        <f t="shared" si="26"/>
        <v>0</v>
      </c>
      <c r="I63" s="481">
        <f t="shared" si="26"/>
        <v>0</v>
      </c>
      <c r="J63" s="222"/>
      <c r="K63" s="222"/>
      <c r="L63" s="222"/>
      <c r="M63" s="222"/>
      <c r="N63" s="222"/>
      <c r="O63" s="222"/>
      <c r="P63" s="222"/>
      <c r="Q63" s="222"/>
      <c r="R63" s="222"/>
      <c r="S63" s="471">
        <v>100.0</v>
      </c>
      <c r="T63" s="222"/>
      <c r="U63" s="222">
        <f t="shared" si="27"/>
        <v>0</v>
      </c>
      <c r="V63" s="222"/>
      <c r="W63" s="227"/>
      <c r="X63" s="480"/>
      <c r="Y63" s="473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222"/>
      <c r="AP63" s="222"/>
      <c r="AQ63" s="222"/>
      <c r="AR63" s="222"/>
      <c r="AS63" s="222"/>
      <c r="AT63" s="222"/>
      <c r="AU63" s="222"/>
      <c r="AV63" s="222"/>
      <c r="AW63" s="222"/>
      <c r="AX63" s="222"/>
      <c r="AY63" s="222"/>
      <c r="AZ63" s="222"/>
      <c r="BA63" s="222"/>
      <c r="BB63" s="222"/>
      <c r="BC63" s="222"/>
      <c r="BD63" s="222"/>
      <c r="BE63" s="222"/>
      <c r="BF63" s="222"/>
      <c r="BG63" s="222"/>
      <c r="BH63" s="222"/>
      <c r="BI63" s="222"/>
      <c r="BJ63" s="222"/>
      <c r="BK63" s="222"/>
      <c r="BL63" s="222"/>
      <c r="BM63" s="222"/>
      <c r="BN63" s="222"/>
      <c r="BO63" s="222"/>
      <c r="BP63" s="222"/>
      <c r="BQ63" s="222"/>
      <c r="BR63" s="222"/>
      <c r="BS63" s="222"/>
      <c r="BT63" s="222"/>
      <c r="BU63" s="222"/>
      <c r="BV63" s="222"/>
      <c r="BW63" s="222"/>
      <c r="BX63" s="222"/>
      <c r="BY63" s="222"/>
      <c r="BZ63" s="222"/>
      <c r="CA63" s="222"/>
      <c r="CB63" s="222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2"/>
      <c r="CQ63" s="222"/>
      <c r="CR63" s="222"/>
      <c r="CS63" s="222"/>
    </row>
    <row r="64">
      <c r="A64" s="432"/>
      <c r="B64" s="463"/>
      <c r="C64" s="481"/>
      <c r="D64" s="481"/>
      <c r="E64" s="481"/>
      <c r="F64" s="481"/>
      <c r="G64" s="481"/>
      <c r="H64" s="481"/>
      <c r="I64" s="481"/>
      <c r="J64" s="469"/>
      <c r="K64" s="222"/>
      <c r="L64" s="222"/>
      <c r="M64" s="222"/>
      <c r="N64" s="222"/>
      <c r="O64" s="222"/>
      <c r="P64" s="222"/>
      <c r="Q64" s="457">
        <f>-SUM(D55:G56)-BR42-BP42</f>
        <v>-560</v>
      </c>
      <c r="R64" s="222"/>
      <c r="S64" s="471">
        <v>50.0</v>
      </c>
      <c r="T64" s="222"/>
      <c r="U64" s="222">
        <f t="shared" si="27"/>
        <v>0</v>
      </c>
      <c r="V64" s="222"/>
      <c r="W64" s="227" t="s">
        <v>201</v>
      </c>
      <c r="X64" s="480"/>
      <c r="Y64" s="473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222"/>
      <c r="BH64" s="222"/>
      <c r="BI64" s="222"/>
      <c r="BJ64" s="222"/>
      <c r="BK64" s="222"/>
      <c r="BL64" s="222"/>
      <c r="BM64" s="222"/>
      <c r="BN64" s="222"/>
      <c r="BO64" s="222"/>
      <c r="BP64" s="222"/>
      <c r="BQ64" s="222"/>
      <c r="BR64" s="222"/>
      <c r="BS64" s="222"/>
      <c r="BT64" s="222"/>
      <c r="BU64" s="222"/>
      <c r="BV64" s="222"/>
      <c r="BW64" s="222"/>
      <c r="BX64" s="222"/>
      <c r="BY64" s="222"/>
      <c r="BZ64" s="222"/>
      <c r="CA64" s="222"/>
      <c r="CB64" s="222"/>
      <c r="CC64" s="222"/>
      <c r="CD64" s="222"/>
      <c r="CE64" s="222"/>
      <c r="CF64" s="222"/>
      <c r="CG64" s="222"/>
      <c r="CH64" s="222"/>
      <c r="CI64" s="222"/>
      <c r="CJ64" s="222"/>
      <c r="CK64" s="222"/>
      <c r="CL64" s="222"/>
      <c r="CM64" s="222"/>
      <c r="CN64" s="222"/>
      <c r="CO64" s="222"/>
      <c r="CP64" s="222"/>
      <c r="CQ64" s="222"/>
      <c r="CR64" s="222"/>
      <c r="CS64" s="222"/>
    </row>
    <row r="65">
      <c r="A65" s="432"/>
      <c r="B65" s="222"/>
      <c r="C65" s="222"/>
      <c r="D65" s="222"/>
      <c r="E65" s="222"/>
      <c r="F65" s="222"/>
      <c r="G65" s="222"/>
      <c r="H65" s="222"/>
      <c r="I65" s="222"/>
      <c r="J65" s="469"/>
      <c r="K65" s="222"/>
      <c r="L65" s="222"/>
      <c r="M65" s="222"/>
      <c r="N65" s="222"/>
      <c r="O65" s="222"/>
      <c r="P65" s="222"/>
      <c r="Q65" s="222"/>
      <c r="R65" s="222"/>
      <c r="S65" s="471">
        <v>20.0</v>
      </c>
      <c r="T65" s="222"/>
      <c r="U65" s="222">
        <f t="shared" si="27"/>
        <v>0</v>
      </c>
      <c r="V65" s="222"/>
      <c r="W65" s="222"/>
      <c r="X65" s="222"/>
      <c r="Y65" s="473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222"/>
      <c r="BH65" s="222"/>
      <c r="BI65" s="222"/>
      <c r="BJ65" s="222"/>
      <c r="BK65" s="222"/>
      <c r="BL65" s="222"/>
      <c r="BM65" s="222"/>
      <c r="BN65" s="222"/>
      <c r="BO65" s="222"/>
      <c r="BP65" s="222"/>
      <c r="BQ65" s="222"/>
      <c r="BR65" s="222"/>
      <c r="BS65" s="222"/>
      <c r="BT65" s="222"/>
      <c r="BU65" s="222"/>
      <c r="BV65" s="222"/>
      <c r="BW65" s="222"/>
      <c r="BX65" s="222"/>
      <c r="BY65" s="222"/>
      <c r="BZ65" s="222"/>
      <c r="CA65" s="222"/>
      <c r="CB65" s="222"/>
      <c r="CC65" s="222"/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/>
      <c r="CP65" s="222"/>
      <c r="CQ65" s="222"/>
      <c r="CR65" s="222"/>
      <c r="CS65" s="222"/>
    </row>
    <row r="66">
      <c r="A66" s="432"/>
      <c r="B66" s="463"/>
      <c r="C66" s="482">
        <f t="shared" ref="C66:I66" si="28">C58+C59+C60</f>
        <v>5575700</v>
      </c>
      <c r="D66" s="482">
        <f t="shared" si="28"/>
        <v>1905</v>
      </c>
      <c r="E66" s="482">
        <f t="shared" si="28"/>
        <v>100</v>
      </c>
      <c r="F66" s="482">
        <f t="shared" si="28"/>
        <v>0</v>
      </c>
      <c r="G66" s="482">
        <f t="shared" si="28"/>
        <v>0</v>
      </c>
      <c r="H66" s="482">
        <f t="shared" si="28"/>
        <v>400</v>
      </c>
      <c r="I66" s="482">
        <f t="shared" si="28"/>
        <v>0</v>
      </c>
      <c r="J66" s="469"/>
      <c r="K66" s="222"/>
      <c r="L66" s="222"/>
      <c r="M66" s="222"/>
      <c r="N66" s="222"/>
      <c r="O66" s="222"/>
      <c r="P66" s="222"/>
      <c r="Q66" s="222"/>
      <c r="R66" s="222"/>
      <c r="S66" s="471">
        <v>10.0</v>
      </c>
      <c r="T66" s="222"/>
      <c r="U66" s="222">
        <f t="shared" si="27"/>
        <v>0</v>
      </c>
      <c r="V66" s="222"/>
      <c r="W66" s="222"/>
      <c r="X66" s="222"/>
      <c r="Y66" s="473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222"/>
      <c r="BH66" s="222"/>
      <c r="BI66" s="222"/>
      <c r="BJ66" s="222"/>
      <c r="BK66" s="222"/>
      <c r="BL66" s="222"/>
      <c r="BM66" s="222"/>
      <c r="BN66" s="222"/>
      <c r="BO66" s="222"/>
      <c r="BP66" s="222"/>
      <c r="BQ66" s="222"/>
      <c r="BR66" s="222"/>
      <c r="BS66" s="222"/>
      <c r="BT66" s="222"/>
      <c r="BU66" s="222"/>
      <c r="BV66" s="222"/>
      <c r="BW66" s="222"/>
      <c r="BX66" s="222"/>
      <c r="BY66" s="222"/>
      <c r="BZ66" s="222"/>
      <c r="CA66" s="222"/>
      <c r="CB66" s="222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2"/>
      <c r="CR66" s="222"/>
      <c r="CS66" s="222"/>
    </row>
    <row r="67">
      <c r="A67" s="432"/>
      <c r="B67" s="463"/>
      <c r="C67" s="457"/>
      <c r="D67" s="457"/>
      <c r="E67" s="457"/>
      <c r="F67" s="457"/>
      <c r="G67" s="457"/>
      <c r="H67" s="457"/>
      <c r="I67" s="457"/>
      <c r="J67" s="469"/>
      <c r="K67" s="222"/>
      <c r="L67" s="222"/>
      <c r="M67" s="222"/>
      <c r="N67" s="222"/>
      <c r="O67" s="222"/>
      <c r="P67" s="222"/>
      <c r="Q67" s="222"/>
      <c r="R67" s="222"/>
      <c r="S67" s="471">
        <v>5.0</v>
      </c>
      <c r="T67" s="222"/>
      <c r="U67" s="222">
        <f t="shared" si="27"/>
        <v>0</v>
      </c>
      <c r="V67" s="222"/>
      <c r="W67" s="222"/>
      <c r="X67" s="222"/>
      <c r="Y67" s="473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222"/>
      <c r="AP67" s="222"/>
      <c r="AQ67" s="222"/>
      <c r="AR67" s="222"/>
      <c r="AS67" s="222"/>
      <c r="AT67" s="222"/>
      <c r="AU67" s="222"/>
      <c r="AV67" s="222"/>
      <c r="AW67" s="222"/>
      <c r="AX67" s="222"/>
      <c r="AY67" s="222"/>
      <c r="AZ67" s="222"/>
      <c r="BA67" s="222"/>
      <c r="BB67" s="222"/>
      <c r="BC67" s="222"/>
      <c r="BD67" s="222"/>
      <c r="BE67" s="222"/>
      <c r="BF67" s="222"/>
      <c r="BG67" s="222"/>
      <c r="BH67" s="222"/>
      <c r="BI67" s="222"/>
      <c r="BJ67" s="222"/>
      <c r="BK67" s="222"/>
      <c r="BL67" s="222"/>
      <c r="BM67" s="222"/>
      <c r="BN67" s="222"/>
      <c r="BO67" s="222"/>
      <c r="BP67" s="222"/>
      <c r="BQ67" s="222"/>
      <c r="BR67" s="222"/>
      <c r="BS67" s="222"/>
      <c r="BT67" s="222"/>
      <c r="BU67" s="222"/>
      <c r="BV67" s="222"/>
      <c r="BW67" s="222"/>
      <c r="BX67" s="222"/>
      <c r="BY67" s="222"/>
      <c r="BZ67" s="222"/>
      <c r="CA67" s="222"/>
      <c r="CB67" s="222"/>
      <c r="CC67" s="222"/>
      <c r="CD67" s="222"/>
      <c r="CE67" s="222"/>
      <c r="CF67" s="222"/>
      <c r="CG67" s="222"/>
      <c r="CH67" s="222"/>
      <c r="CI67" s="222"/>
      <c r="CJ67" s="222"/>
      <c r="CK67" s="222"/>
      <c r="CL67" s="222"/>
      <c r="CM67" s="222"/>
      <c r="CN67" s="222"/>
      <c r="CO67" s="222"/>
      <c r="CP67" s="222"/>
      <c r="CQ67" s="222"/>
      <c r="CR67" s="222"/>
      <c r="CS67" s="222"/>
    </row>
    <row r="68">
      <c r="A68" s="432"/>
      <c r="B68" s="483"/>
      <c r="C68" s="484"/>
      <c r="D68" s="484"/>
      <c r="E68" s="484"/>
      <c r="F68" s="484"/>
      <c r="G68" s="484"/>
      <c r="H68" s="485"/>
      <c r="I68" s="457"/>
      <c r="J68" s="486"/>
      <c r="K68" s="222"/>
      <c r="L68" s="222"/>
      <c r="M68" s="222"/>
      <c r="N68" s="222"/>
      <c r="O68" s="222"/>
      <c r="P68" s="222"/>
      <c r="Q68" s="222"/>
      <c r="R68" s="222"/>
      <c r="S68" s="471">
        <v>2.0</v>
      </c>
      <c r="T68" s="222"/>
      <c r="U68" s="222">
        <f t="shared" si="27"/>
        <v>0</v>
      </c>
      <c r="V68" s="222"/>
      <c r="W68" s="222"/>
      <c r="X68" s="222"/>
      <c r="Y68" s="473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2"/>
      <c r="BF68" s="222"/>
      <c r="BG68" s="222"/>
      <c r="BH68" s="222"/>
      <c r="BI68" s="222"/>
      <c r="BJ68" s="222"/>
      <c r="BK68" s="222"/>
      <c r="BL68" s="222"/>
      <c r="BM68" s="222"/>
      <c r="BN68" s="222"/>
      <c r="BO68" s="222"/>
      <c r="BP68" s="222"/>
      <c r="BQ68" s="222"/>
      <c r="BR68" s="222"/>
      <c r="BS68" s="222"/>
      <c r="BT68" s="222"/>
      <c r="BU68" s="222"/>
      <c r="BV68" s="222"/>
      <c r="BW68" s="222"/>
      <c r="BX68" s="222"/>
      <c r="BY68" s="222"/>
      <c r="BZ68" s="222"/>
      <c r="CA68" s="222"/>
      <c r="CB68" s="222"/>
      <c r="CC68" s="222"/>
      <c r="CD68" s="222"/>
      <c r="CE68" s="222"/>
      <c r="CF68" s="222"/>
      <c r="CG68" s="222"/>
      <c r="CH68" s="222"/>
      <c r="CI68" s="222"/>
      <c r="CJ68" s="222"/>
      <c r="CK68" s="222"/>
      <c r="CL68" s="222"/>
      <c r="CM68" s="222"/>
      <c r="CN68" s="222"/>
      <c r="CO68" s="222"/>
      <c r="CP68" s="222"/>
      <c r="CQ68" s="222"/>
      <c r="CR68" s="222"/>
      <c r="CS68" s="222"/>
    </row>
    <row r="69">
      <c r="A69" s="432"/>
      <c r="B69" s="471"/>
      <c r="C69" s="487"/>
      <c r="D69" s="487"/>
      <c r="E69" s="487"/>
      <c r="F69" s="487"/>
      <c r="G69" s="487"/>
      <c r="H69" s="487"/>
      <c r="I69" s="487"/>
      <c r="J69" s="222"/>
      <c r="K69" s="222"/>
      <c r="L69" s="222"/>
      <c r="M69" s="222"/>
      <c r="N69" s="222"/>
      <c r="O69" s="222"/>
      <c r="P69" s="222"/>
      <c r="Q69" s="222"/>
      <c r="R69" s="222"/>
      <c r="S69" s="471">
        <v>1.0</v>
      </c>
      <c r="T69" s="222"/>
      <c r="U69" s="222">
        <f t="shared" si="27"/>
        <v>0</v>
      </c>
      <c r="V69" s="222"/>
      <c r="W69" s="222"/>
      <c r="X69" s="222"/>
      <c r="Y69" s="473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222"/>
      <c r="BH69" s="222"/>
      <c r="BI69" s="222"/>
      <c r="BJ69" s="222"/>
      <c r="BK69" s="222"/>
      <c r="BL69" s="222"/>
      <c r="BM69" s="222"/>
      <c r="BN69" s="222"/>
      <c r="BO69" s="222"/>
      <c r="BP69" s="222"/>
      <c r="BQ69" s="222"/>
      <c r="BR69" s="222"/>
      <c r="BS69" s="222"/>
      <c r="BT69" s="222"/>
      <c r="BU69" s="222"/>
      <c r="BV69" s="222"/>
      <c r="BW69" s="222"/>
      <c r="BX69" s="222"/>
      <c r="BY69" s="222"/>
      <c r="BZ69" s="222"/>
      <c r="CA69" s="222"/>
      <c r="CB69" s="222"/>
      <c r="CC69" s="222"/>
      <c r="CD69" s="222"/>
      <c r="CE69" s="222"/>
      <c r="CF69" s="222"/>
      <c r="CG69" s="222"/>
      <c r="CH69" s="222"/>
      <c r="CI69" s="222"/>
      <c r="CJ69" s="222"/>
      <c r="CK69" s="222"/>
      <c r="CL69" s="222"/>
      <c r="CM69" s="222"/>
      <c r="CN69" s="222"/>
      <c r="CO69" s="222"/>
      <c r="CP69" s="222"/>
      <c r="CQ69" s="222"/>
      <c r="CR69" s="222"/>
      <c r="CS69" s="222"/>
    </row>
    <row r="70">
      <c r="A70" s="432"/>
      <c r="B70" s="488"/>
      <c r="C70" s="309"/>
      <c r="D70" s="309"/>
      <c r="E70" s="309"/>
      <c r="F70" s="309"/>
      <c r="G70" s="309"/>
      <c r="H70" s="489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471"/>
      <c r="T70" s="227" t="s">
        <v>202</v>
      </c>
      <c r="U70" s="227">
        <f>SUM(U62:U69)</f>
        <v>0</v>
      </c>
      <c r="V70" s="222"/>
      <c r="W70" s="222"/>
      <c r="X70" s="222"/>
      <c r="Y70" s="473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2"/>
      <c r="BH70" s="222"/>
      <c r="BI70" s="222"/>
      <c r="BJ70" s="222"/>
      <c r="BK70" s="222"/>
      <c r="BL70" s="222"/>
      <c r="BM70" s="222"/>
      <c r="BN70" s="222"/>
      <c r="BO70" s="222"/>
      <c r="BP70" s="222"/>
      <c r="BQ70" s="222"/>
      <c r="BR70" s="222"/>
      <c r="BS70" s="222"/>
      <c r="BT70" s="222"/>
      <c r="BU70" s="222"/>
      <c r="BV70" s="222"/>
      <c r="BW70" s="222"/>
      <c r="BX70" s="222"/>
      <c r="BY70" s="222"/>
      <c r="BZ70" s="222"/>
      <c r="CA70" s="222"/>
      <c r="CB70" s="222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2"/>
      <c r="CR70" s="222"/>
      <c r="CS70" s="222"/>
    </row>
    <row r="71">
      <c r="A71" s="43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490"/>
      <c r="T71" s="309"/>
      <c r="U71" s="309"/>
      <c r="V71" s="309"/>
      <c r="W71" s="309"/>
      <c r="X71" s="309"/>
      <c r="Y71" s="489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222"/>
      <c r="BH71" s="222"/>
      <c r="BI71" s="222"/>
      <c r="BJ71" s="222"/>
      <c r="BK71" s="222"/>
      <c r="BL71" s="222"/>
      <c r="BM71" s="222"/>
      <c r="BN71" s="222"/>
      <c r="BO71" s="222"/>
      <c r="BP71" s="222"/>
      <c r="BQ71" s="222"/>
      <c r="BR71" s="222"/>
      <c r="BS71" s="222"/>
      <c r="BT71" s="222"/>
      <c r="BU71" s="222"/>
      <c r="BV71" s="222"/>
      <c r="BW71" s="222"/>
      <c r="BX71" s="222"/>
      <c r="BY71" s="222"/>
      <c r="BZ71" s="222"/>
      <c r="CA71" s="222"/>
      <c r="CB71" s="222"/>
      <c r="CC71" s="222"/>
      <c r="CD71" s="222"/>
      <c r="CE71" s="222"/>
      <c r="CF71" s="222"/>
      <c r="CG71" s="222"/>
      <c r="CH71" s="222"/>
      <c r="CI71" s="222"/>
      <c r="CJ71" s="222"/>
      <c r="CK71" s="222"/>
      <c r="CL71" s="222"/>
      <c r="CM71" s="222"/>
      <c r="CN71" s="222"/>
      <c r="CO71" s="222"/>
      <c r="CP71" s="222"/>
      <c r="CQ71" s="222"/>
      <c r="CR71" s="222"/>
      <c r="CS71" s="222"/>
    </row>
    <row r="72">
      <c r="A72" s="432"/>
      <c r="B72" s="463"/>
      <c r="C72" s="482"/>
      <c r="D72" s="457"/>
      <c r="E72" s="457"/>
      <c r="F72" s="222"/>
      <c r="G72" s="222"/>
      <c r="H72" s="457"/>
      <c r="I72" s="457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222"/>
      <c r="BH72" s="222"/>
      <c r="BI72" s="222"/>
      <c r="BJ72" s="222"/>
      <c r="BK72" s="222"/>
      <c r="BL72" s="222"/>
      <c r="BM72" s="222"/>
      <c r="BN72" s="222"/>
      <c r="BO72" s="222"/>
      <c r="BP72" s="222"/>
      <c r="BQ72" s="222"/>
      <c r="BR72" s="222"/>
      <c r="BS72" s="222"/>
      <c r="BT72" s="222"/>
      <c r="BU72" s="222"/>
      <c r="BV72" s="222"/>
      <c r="BW72" s="222"/>
      <c r="BX72" s="222"/>
      <c r="BY72" s="222"/>
      <c r="BZ72" s="222"/>
      <c r="CA72" s="222"/>
      <c r="CB72" s="222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2"/>
      <c r="CR72" s="222"/>
      <c r="CS72" s="222"/>
    </row>
    <row r="73">
      <c r="A73" s="43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222"/>
      <c r="BH73" s="222"/>
      <c r="BI73" s="222"/>
      <c r="BJ73" s="222"/>
      <c r="BK73" s="222"/>
      <c r="BL73" s="222"/>
      <c r="BM73" s="222"/>
      <c r="BN73" s="222"/>
      <c r="BO73" s="222"/>
      <c r="BP73" s="222"/>
      <c r="BQ73" s="222"/>
      <c r="BR73" s="222"/>
      <c r="BS73" s="222"/>
      <c r="BT73" s="222"/>
      <c r="BU73" s="222"/>
      <c r="BV73" s="222"/>
      <c r="BW73" s="222"/>
      <c r="BX73" s="222"/>
      <c r="BY73" s="222"/>
      <c r="BZ73" s="222"/>
      <c r="CA73" s="222"/>
      <c r="CB73" s="222"/>
      <c r="CC73" s="222"/>
      <c r="CD73" s="222"/>
      <c r="CE73" s="222"/>
      <c r="CF73" s="222"/>
      <c r="CG73" s="222"/>
      <c r="CH73" s="222"/>
      <c r="CI73" s="222"/>
      <c r="CJ73" s="222"/>
      <c r="CK73" s="222"/>
      <c r="CL73" s="222"/>
      <c r="CM73" s="222"/>
      <c r="CN73" s="222"/>
      <c r="CO73" s="222"/>
      <c r="CP73" s="222"/>
      <c r="CQ73" s="222"/>
      <c r="CR73" s="222"/>
      <c r="CS73" s="222"/>
    </row>
    <row r="74">
      <c r="A74" s="432"/>
      <c r="B74" s="463"/>
      <c r="C74" s="491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  <c r="BE74" s="222"/>
      <c r="BF74" s="222"/>
      <c r="BG74" s="222"/>
      <c r="BH74" s="222"/>
      <c r="BI74" s="222"/>
      <c r="BJ74" s="222"/>
      <c r="BK74" s="222"/>
      <c r="BL74" s="222"/>
      <c r="BM74" s="222"/>
      <c r="BN74" s="222"/>
      <c r="BO74" s="222"/>
      <c r="BP74" s="222"/>
      <c r="BQ74" s="222"/>
      <c r="BR74" s="222"/>
      <c r="BS74" s="222"/>
      <c r="BT74" s="222"/>
      <c r="BU74" s="222"/>
      <c r="BV74" s="222"/>
      <c r="BW74" s="222"/>
      <c r="BX74" s="222"/>
      <c r="BY74" s="222"/>
      <c r="BZ74" s="222"/>
      <c r="CA74" s="222"/>
      <c r="CB74" s="222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2"/>
      <c r="CR74" s="222"/>
      <c r="CS74" s="222"/>
    </row>
    <row r="75">
      <c r="A75" s="43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  <c r="AM75" s="222"/>
      <c r="AN75" s="222"/>
      <c r="AO75" s="222"/>
      <c r="AP75" s="222"/>
      <c r="AQ75" s="222"/>
      <c r="AR75" s="222"/>
      <c r="AS75" s="222"/>
      <c r="AT75" s="222"/>
      <c r="AU75" s="222"/>
      <c r="AV75" s="222"/>
      <c r="AW75" s="222"/>
      <c r="AX75" s="222"/>
      <c r="AY75" s="222"/>
      <c r="AZ75" s="222"/>
      <c r="BA75" s="222"/>
      <c r="BB75" s="222"/>
      <c r="BC75" s="222"/>
      <c r="BD75" s="222"/>
      <c r="BE75" s="222"/>
      <c r="BF75" s="222"/>
      <c r="BG75" s="222"/>
      <c r="BH75" s="222"/>
      <c r="BI75" s="222"/>
      <c r="BJ75" s="222"/>
      <c r="BK75" s="222"/>
      <c r="BL75" s="222"/>
      <c r="BM75" s="222"/>
      <c r="BN75" s="222"/>
      <c r="BO75" s="222"/>
      <c r="BP75" s="222"/>
      <c r="BQ75" s="222"/>
      <c r="BR75" s="222"/>
      <c r="BS75" s="222"/>
      <c r="BT75" s="222"/>
      <c r="BU75" s="222"/>
      <c r="BV75" s="222"/>
      <c r="BW75" s="222"/>
      <c r="BX75" s="222"/>
      <c r="BY75" s="222"/>
      <c r="BZ75" s="222"/>
      <c r="CA75" s="222"/>
      <c r="CB75" s="222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2"/>
      <c r="CR75" s="222"/>
      <c r="CS75" s="222"/>
    </row>
    <row r="76">
      <c r="A76" s="432"/>
      <c r="B76" s="463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  <c r="BE76" s="222"/>
      <c r="BF76" s="222"/>
      <c r="BG76" s="222"/>
      <c r="BH76" s="222"/>
      <c r="BI76" s="222"/>
      <c r="BJ76" s="222"/>
      <c r="BK76" s="222"/>
      <c r="BL76" s="222"/>
      <c r="BM76" s="222"/>
      <c r="BN76" s="222"/>
      <c r="BO76" s="222"/>
      <c r="BP76" s="222"/>
      <c r="BQ76" s="222"/>
      <c r="BR76" s="222"/>
      <c r="BS76" s="222"/>
      <c r="BT76" s="222"/>
      <c r="BU76" s="222"/>
      <c r="BV76" s="222"/>
      <c r="BW76" s="222"/>
      <c r="BX76" s="222"/>
      <c r="BY76" s="222"/>
      <c r="BZ76" s="222"/>
      <c r="CA76" s="222"/>
      <c r="CB76" s="222"/>
      <c r="CC76" s="222"/>
      <c r="CD76" s="222"/>
      <c r="CE76" s="222"/>
      <c r="CF76" s="222"/>
      <c r="CG76" s="222"/>
      <c r="CH76" s="222"/>
      <c r="CI76" s="222"/>
      <c r="CJ76" s="222"/>
      <c r="CK76" s="222"/>
      <c r="CL76" s="222"/>
      <c r="CM76" s="222"/>
      <c r="CN76" s="222"/>
      <c r="CO76" s="222"/>
      <c r="CP76" s="222"/>
      <c r="CQ76" s="222"/>
      <c r="CR76" s="222"/>
      <c r="CS76" s="222"/>
    </row>
    <row r="77">
      <c r="A77" s="43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  <c r="AM77" s="222"/>
      <c r="AN77" s="222"/>
      <c r="AO77" s="222"/>
      <c r="AP77" s="222"/>
      <c r="AQ77" s="222"/>
      <c r="AR77" s="222"/>
      <c r="AS77" s="222"/>
      <c r="AT77" s="222"/>
      <c r="AU77" s="222"/>
      <c r="AV77" s="222"/>
      <c r="AW77" s="222"/>
      <c r="AX77" s="222"/>
      <c r="AY77" s="222"/>
      <c r="AZ77" s="222"/>
      <c r="BA77" s="222"/>
      <c r="BB77" s="222"/>
      <c r="BC77" s="222"/>
      <c r="BD77" s="222"/>
      <c r="BE77" s="222"/>
      <c r="BF77" s="222"/>
      <c r="BG77" s="222"/>
      <c r="BH77" s="222"/>
      <c r="BI77" s="222"/>
      <c r="BJ77" s="222"/>
      <c r="BK77" s="222"/>
      <c r="BL77" s="222"/>
      <c r="BM77" s="222"/>
      <c r="BN77" s="222"/>
      <c r="BO77" s="222"/>
      <c r="BP77" s="222"/>
      <c r="BQ77" s="222"/>
      <c r="BR77" s="222"/>
      <c r="BS77" s="222"/>
      <c r="BT77" s="222"/>
      <c r="BU77" s="222"/>
      <c r="BV77" s="222"/>
      <c r="BW77" s="222"/>
      <c r="BX77" s="222"/>
      <c r="BY77" s="222"/>
      <c r="BZ77" s="222"/>
      <c r="CA77" s="222"/>
      <c r="CB77" s="222"/>
      <c r="CC77" s="222"/>
      <c r="CD77" s="222"/>
      <c r="CE77" s="222"/>
      <c r="CF77" s="222"/>
      <c r="CG77" s="222"/>
      <c r="CH77" s="222"/>
      <c r="CI77" s="222"/>
      <c r="CJ77" s="222"/>
      <c r="CK77" s="222"/>
      <c r="CL77" s="222"/>
      <c r="CM77" s="222"/>
      <c r="CN77" s="222"/>
      <c r="CO77" s="222"/>
      <c r="CP77" s="222"/>
      <c r="CQ77" s="222"/>
      <c r="CR77" s="222"/>
      <c r="CS77" s="222"/>
    </row>
    <row r="78">
      <c r="A78" s="432"/>
      <c r="B78" s="49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22"/>
      <c r="AU78" s="222"/>
      <c r="AV78" s="222"/>
      <c r="AW78" s="222"/>
      <c r="AX78" s="222"/>
      <c r="AY78" s="222"/>
      <c r="AZ78" s="222"/>
      <c r="BA78" s="222"/>
      <c r="BB78" s="222"/>
      <c r="BC78" s="222"/>
      <c r="BD78" s="222"/>
      <c r="BE78" s="222"/>
      <c r="BF78" s="222"/>
      <c r="BG78" s="222"/>
      <c r="BH78" s="222"/>
      <c r="BI78" s="222"/>
      <c r="BJ78" s="222"/>
      <c r="BK78" s="222"/>
      <c r="BL78" s="222"/>
      <c r="BM78" s="222"/>
      <c r="BN78" s="222"/>
      <c r="BO78" s="222"/>
      <c r="BP78" s="222"/>
      <c r="BQ78" s="222"/>
      <c r="BR78" s="222"/>
      <c r="BS78" s="222"/>
      <c r="BT78" s="222"/>
      <c r="BU78" s="222"/>
      <c r="BV78" s="222"/>
      <c r="BW78" s="222"/>
      <c r="BX78" s="222"/>
      <c r="BY78" s="222"/>
      <c r="BZ78" s="222"/>
      <c r="CA78" s="222"/>
      <c r="CB78" s="222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2"/>
      <c r="CR78" s="222"/>
      <c r="CS78" s="222"/>
    </row>
    <row r="79">
      <c r="A79" s="43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  <c r="AM79" s="222"/>
      <c r="AN79" s="222"/>
      <c r="AO79" s="222"/>
      <c r="AP79" s="222"/>
      <c r="AQ79" s="222"/>
      <c r="AR79" s="222"/>
      <c r="AS79" s="222"/>
      <c r="AT79" s="222"/>
      <c r="AU79" s="222"/>
      <c r="AV79" s="222"/>
      <c r="AW79" s="222"/>
      <c r="AX79" s="222"/>
      <c r="AY79" s="222"/>
      <c r="AZ79" s="222"/>
      <c r="BA79" s="222"/>
      <c r="BB79" s="222"/>
      <c r="BC79" s="222"/>
      <c r="BD79" s="222"/>
      <c r="BE79" s="222"/>
      <c r="BF79" s="222"/>
      <c r="BG79" s="222"/>
      <c r="BH79" s="222"/>
      <c r="BI79" s="222"/>
      <c r="BJ79" s="222"/>
      <c r="BK79" s="222"/>
      <c r="BL79" s="222"/>
      <c r="BM79" s="222"/>
      <c r="BN79" s="222"/>
      <c r="BO79" s="222"/>
      <c r="BP79" s="222"/>
      <c r="BQ79" s="222"/>
      <c r="BR79" s="222"/>
      <c r="BS79" s="222"/>
      <c r="BT79" s="222"/>
      <c r="BU79" s="222"/>
      <c r="BV79" s="222"/>
      <c r="BW79" s="222"/>
      <c r="BX79" s="222"/>
      <c r="BY79" s="222"/>
      <c r="BZ79" s="222"/>
      <c r="CA79" s="222"/>
      <c r="CB79" s="222"/>
      <c r="CC79" s="222"/>
      <c r="CD79" s="222"/>
      <c r="CE79" s="222"/>
      <c r="CF79" s="222"/>
      <c r="CG79" s="222"/>
      <c r="CH79" s="222"/>
      <c r="CI79" s="222"/>
      <c r="CJ79" s="222"/>
      <c r="CK79" s="222"/>
      <c r="CL79" s="222"/>
      <c r="CM79" s="222"/>
      <c r="CN79" s="222"/>
      <c r="CO79" s="222"/>
      <c r="CP79" s="222"/>
      <c r="CQ79" s="222"/>
      <c r="CR79" s="222"/>
      <c r="CS79" s="222"/>
    </row>
    <row r="80">
      <c r="A80" s="43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2"/>
      <c r="AO80" s="222"/>
      <c r="AP80" s="222"/>
      <c r="AQ80" s="222"/>
      <c r="AR80" s="222"/>
      <c r="AS80" s="222"/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222"/>
      <c r="BH80" s="222"/>
      <c r="BI80" s="222"/>
      <c r="BJ80" s="222"/>
      <c r="BK80" s="222"/>
      <c r="BL80" s="222"/>
      <c r="BM80" s="222"/>
      <c r="BN80" s="222"/>
      <c r="BO80" s="222"/>
      <c r="BP80" s="222"/>
      <c r="BQ80" s="222"/>
      <c r="BR80" s="222"/>
      <c r="BS80" s="222"/>
      <c r="BT80" s="222"/>
      <c r="BU80" s="222"/>
      <c r="BV80" s="222"/>
      <c r="BW80" s="222"/>
      <c r="BX80" s="222"/>
      <c r="BY80" s="222"/>
      <c r="BZ80" s="222"/>
      <c r="CA80" s="222"/>
      <c r="CB80" s="222"/>
      <c r="CC80" s="222"/>
      <c r="CD80" s="222"/>
      <c r="CE80" s="222"/>
      <c r="CF80" s="222"/>
      <c r="CG80" s="222"/>
      <c r="CH80" s="222"/>
      <c r="CI80" s="222"/>
      <c r="CJ80" s="222"/>
      <c r="CK80" s="222"/>
      <c r="CL80" s="222"/>
      <c r="CM80" s="222"/>
      <c r="CN80" s="222"/>
      <c r="CO80" s="222"/>
      <c r="CP80" s="222"/>
      <c r="CQ80" s="222"/>
      <c r="CR80" s="222"/>
      <c r="CS80" s="222"/>
    </row>
    <row r="81">
      <c r="A81" s="43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  <c r="AM81" s="222"/>
      <c r="AN81" s="222"/>
      <c r="AO81" s="222"/>
      <c r="AP81" s="222"/>
      <c r="AQ81" s="222"/>
      <c r="AR81" s="222"/>
      <c r="AS81" s="222"/>
      <c r="AT81" s="222"/>
      <c r="AU81" s="222"/>
      <c r="AV81" s="222"/>
      <c r="AW81" s="222"/>
      <c r="AX81" s="222"/>
      <c r="AY81" s="222"/>
      <c r="AZ81" s="222"/>
      <c r="BA81" s="222"/>
      <c r="BB81" s="222"/>
      <c r="BC81" s="222"/>
      <c r="BD81" s="222"/>
      <c r="BE81" s="222"/>
      <c r="BF81" s="222"/>
      <c r="BG81" s="222"/>
      <c r="BH81" s="222"/>
      <c r="BI81" s="222"/>
      <c r="BJ81" s="222"/>
      <c r="BK81" s="222"/>
      <c r="BL81" s="222"/>
      <c r="BM81" s="222"/>
      <c r="BN81" s="222"/>
      <c r="BO81" s="222"/>
      <c r="BP81" s="222"/>
      <c r="BQ81" s="222"/>
      <c r="BR81" s="222"/>
      <c r="BS81" s="222"/>
      <c r="BT81" s="222"/>
      <c r="BU81" s="222"/>
      <c r="BV81" s="222"/>
      <c r="BW81" s="222"/>
      <c r="BX81" s="222"/>
      <c r="BY81" s="222"/>
      <c r="BZ81" s="222"/>
      <c r="CA81" s="222"/>
      <c r="CB81" s="222"/>
      <c r="CC81" s="222"/>
      <c r="CD81" s="222"/>
      <c r="CE81" s="222"/>
      <c r="CF81" s="222"/>
      <c r="CG81" s="222"/>
      <c r="CH81" s="222"/>
      <c r="CI81" s="222"/>
      <c r="CJ81" s="222"/>
      <c r="CK81" s="222"/>
      <c r="CL81" s="222"/>
      <c r="CM81" s="222"/>
      <c r="CN81" s="222"/>
      <c r="CO81" s="222"/>
      <c r="CP81" s="222"/>
      <c r="CQ81" s="222"/>
      <c r="CR81" s="222"/>
      <c r="CS81" s="222"/>
    </row>
    <row r="82">
      <c r="A82" s="43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2"/>
      <c r="AZ82" s="222"/>
      <c r="BA82" s="222"/>
      <c r="BB82" s="222"/>
      <c r="BC82" s="222"/>
      <c r="BD82" s="222"/>
      <c r="BE82" s="222"/>
      <c r="BF82" s="222"/>
      <c r="BG82" s="222"/>
      <c r="BH82" s="222"/>
      <c r="BI82" s="222"/>
      <c r="BJ82" s="222"/>
      <c r="BK82" s="222"/>
      <c r="BL82" s="222"/>
      <c r="BM82" s="222"/>
      <c r="BN82" s="222"/>
      <c r="BO82" s="222"/>
      <c r="BP82" s="222"/>
      <c r="BQ82" s="222"/>
      <c r="BR82" s="222"/>
      <c r="BS82" s="222"/>
      <c r="BT82" s="222"/>
      <c r="BU82" s="222"/>
      <c r="BV82" s="222"/>
      <c r="BW82" s="222"/>
      <c r="BX82" s="222"/>
      <c r="BY82" s="222"/>
      <c r="BZ82" s="222"/>
      <c r="CA82" s="222"/>
      <c r="CB82" s="222"/>
      <c r="CC82" s="222"/>
      <c r="CD82" s="222"/>
      <c r="CE82" s="222"/>
      <c r="CF82" s="222"/>
      <c r="CG82" s="222"/>
      <c r="CH82" s="222"/>
      <c r="CI82" s="222"/>
      <c r="CJ82" s="222"/>
      <c r="CK82" s="222"/>
      <c r="CL82" s="222"/>
      <c r="CM82" s="222"/>
      <c r="CN82" s="222"/>
      <c r="CO82" s="222"/>
      <c r="CP82" s="222"/>
      <c r="CQ82" s="222"/>
      <c r="CR82" s="222"/>
      <c r="CS82" s="222"/>
    </row>
    <row r="83">
      <c r="A83" s="43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  <c r="AY83" s="222"/>
      <c r="AZ83" s="222"/>
      <c r="BA83" s="222"/>
      <c r="BB83" s="222"/>
      <c r="BC83" s="222"/>
      <c r="BD83" s="222"/>
      <c r="BE83" s="222"/>
      <c r="BF83" s="222"/>
      <c r="BG83" s="222"/>
      <c r="BH83" s="222"/>
      <c r="BI83" s="222"/>
      <c r="BJ83" s="222"/>
      <c r="BK83" s="222"/>
      <c r="BL83" s="222"/>
      <c r="BM83" s="222"/>
      <c r="BN83" s="222"/>
      <c r="BO83" s="222"/>
      <c r="BP83" s="222"/>
      <c r="BQ83" s="222"/>
      <c r="BR83" s="222"/>
      <c r="BS83" s="222"/>
      <c r="BT83" s="222"/>
      <c r="BU83" s="222"/>
      <c r="BV83" s="222"/>
      <c r="BW83" s="222"/>
      <c r="BX83" s="222"/>
      <c r="BY83" s="222"/>
      <c r="BZ83" s="222"/>
      <c r="CA83" s="222"/>
      <c r="CB83" s="222"/>
      <c r="CC83" s="222"/>
      <c r="CD83" s="222"/>
      <c r="CE83" s="222"/>
      <c r="CF83" s="222"/>
      <c r="CG83" s="222"/>
      <c r="CH83" s="222"/>
      <c r="CI83" s="222"/>
      <c r="CJ83" s="222"/>
      <c r="CK83" s="222"/>
      <c r="CL83" s="222"/>
      <c r="CM83" s="222"/>
      <c r="CN83" s="222"/>
      <c r="CO83" s="222"/>
      <c r="CP83" s="222"/>
      <c r="CQ83" s="222"/>
      <c r="CR83" s="222"/>
      <c r="CS83" s="222"/>
    </row>
    <row r="84">
      <c r="A84" s="43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  <c r="AM84" s="222"/>
      <c r="AN84" s="222"/>
      <c r="AO84" s="222"/>
      <c r="AP84" s="222"/>
      <c r="AQ84" s="222"/>
      <c r="AR84" s="222"/>
      <c r="AS84" s="222"/>
      <c r="AT84" s="222"/>
      <c r="AU84" s="222"/>
      <c r="AV84" s="222"/>
      <c r="AW84" s="222"/>
      <c r="AX84" s="222"/>
      <c r="AY84" s="222"/>
      <c r="AZ84" s="222"/>
      <c r="BA84" s="222"/>
      <c r="BB84" s="222"/>
      <c r="BC84" s="222"/>
      <c r="BD84" s="222"/>
      <c r="BE84" s="222"/>
      <c r="BF84" s="222"/>
      <c r="BG84" s="222"/>
      <c r="BH84" s="222"/>
      <c r="BI84" s="222"/>
      <c r="BJ84" s="222"/>
      <c r="BK84" s="222"/>
      <c r="BL84" s="222"/>
      <c r="BM84" s="222"/>
      <c r="BN84" s="222"/>
      <c r="BO84" s="222"/>
      <c r="BP84" s="222"/>
      <c r="BQ84" s="222"/>
      <c r="BR84" s="222"/>
      <c r="BS84" s="222"/>
      <c r="BT84" s="222"/>
      <c r="BU84" s="222"/>
      <c r="BV84" s="222"/>
      <c r="BW84" s="222"/>
      <c r="BX84" s="222"/>
      <c r="BY84" s="222"/>
      <c r="BZ84" s="222"/>
      <c r="CA84" s="222"/>
      <c r="CB84" s="222"/>
      <c r="CC84" s="222"/>
      <c r="CD84" s="222"/>
      <c r="CE84" s="222"/>
      <c r="CF84" s="222"/>
      <c r="CG84" s="222"/>
      <c r="CH84" s="222"/>
      <c r="CI84" s="222"/>
      <c r="CJ84" s="222"/>
      <c r="CK84" s="222"/>
      <c r="CL84" s="222"/>
      <c r="CM84" s="222"/>
      <c r="CN84" s="222"/>
      <c r="CO84" s="222"/>
      <c r="CP84" s="222"/>
      <c r="CQ84" s="222"/>
      <c r="CR84" s="222"/>
      <c r="CS84" s="222"/>
    </row>
    <row r="85">
      <c r="A85" s="43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222"/>
      <c r="BH85" s="222"/>
      <c r="BI85" s="222"/>
      <c r="BJ85" s="222"/>
      <c r="BK85" s="222"/>
      <c r="BL85" s="222"/>
      <c r="BM85" s="222"/>
      <c r="BN85" s="222"/>
      <c r="BO85" s="222"/>
      <c r="BP85" s="222"/>
      <c r="BQ85" s="222"/>
      <c r="BR85" s="222"/>
      <c r="BS85" s="222"/>
      <c r="BT85" s="222"/>
      <c r="BU85" s="222"/>
      <c r="BV85" s="222"/>
      <c r="BW85" s="222"/>
      <c r="BX85" s="222"/>
      <c r="BY85" s="222"/>
      <c r="BZ85" s="222"/>
      <c r="CA85" s="222"/>
      <c r="CB85" s="222"/>
      <c r="CC85" s="222"/>
      <c r="CD85" s="222"/>
      <c r="CE85" s="222"/>
      <c r="CF85" s="222"/>
      <c r="CG85" s="222"/>
      <c r="CH85" s="222"/>
      <c r="CI85" s="222"/>
      <c r="CJ85" s="222"/>
      <c r="CK85" s="222"/>
      <c r="CL85" s="222"/>
      <c r="CM85" s="222"/>
      <c r="CN85" s="222"/>
      <c r="CO85" s="222"/>
      <c r="CP85" s="222"/>
      <c r="CQ85" s="222"/>
      <c r="CR85" s="222"/>
      <c r="CS85" s="222"/>
    </row>
    <row r="86">
      <c r="A86" s="43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2"/>
      <c r="AP86" s="222"/>
      <c r="AQ86" s="222"/>
      <c r="AR86" s="222"/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  <c r="BE86" s="222"/>
      <c r="BF86" s="222"/>
      <c r="BG86" s="222"/>
      <c r="BH86" s="222"/>
      <c r="BI86" s="222"/>
      <c r="BJ86" s="222"/>
      <c r="BK86" s="222"/>
      <c r="BL86" s="222"/>
      <c r="BM86" s="222"/>
      <c r="BN86" s="222"/>
      <c r="BO86" s="222"/>
      <c r="BP86" s="222"/>
      <c r="BQ86" s="222"/>
      <c r="BR86" s="222"/>
      <c r="BS86" s="222"/>
      <c r="BT86" s="222"/>
      <c r="BU86" s="222"/>
      <c r="BV86" s="222"/>
      <c r="BW86" s="222"/>
      <c r="BX86" s="222"/>
      <c r="BY86" s="222"/>
      <c r="BZ86" s="222"/>
      <c r="CA86" s="222"/>
      <c r="CB86" s="222"/>
      <c r="CC86" s="222"/>
      <c r="CD86" s="222"/>
      <c r="CE86" s="222"/>
      <c r="CF86" s="222"/>
      <c r="CG86" s="222"/>
      <c r="CH86" s="222"/>
      <c r="CI86" s="222"/>
      <c r="CJ86" s="222"/>
      <c r="CK86" s="222"/>
      <c r="CL86" s="222"/>
      <c r="CM86" s="222"/>
      <c r="CN86" s="222"/>
      <c r="CO86" s="222"/>
      <c r="CP86" s="222"/>
      <c r="CQ86" s="222"/>
      <c r="CR86" s="222"/>
      <c r="CS86" s="222"/>
    </row>
    <row r="87">
      <c r="A87" s="43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22"/>
      <c r="AZ87" s="222"/>
      <c r="BA87" s="222"/>
      <c r="BB87" s="222"/>
      <c r="BC87" s="222"/>
      <c r="BD87" s="222"/>
      <c r="BE87" s="222"/>
      <c r="BF87" s="222"/>
      <c r="BG87" s="222"/>
      <c r="BH87" s="222"/>
      <c r="BI87" s="222"/>
      <c r="BJ87" s="222"/>
      <c r="BK87" s="222"/>
      <c r="BL87" s="222"/>
      <c r="BM87" s="222"/>
      <c r="BN87" s="222"/>
      <c r="BO87" s="222"/>
      <c r="BP87" s="222"/>
      <c r="BQ87" s="222"/>
      <c r="BR87" s="222"/>
      <c r="BS87" s="222"/>
      <c r="BT87" s="222"/>
      <c r="BU87" s="222"/>
      <c r="BV87" s="222"/>
      <c r="BW87" s="222"/>
      <c r="BX87" s="222"/>
      <c r="BY87" s="222"/>
      <c r="BZ87" s="222"/>
      <c r="CA87" s="222"/>
      <c r="CB87" s="222"/>
      <c r="CC87" s="222"/>
      <c r="CD87" s="222"/>
      <c r="CE87" s="222"/>
      <c r="CF87" s="222"/>
      <c r="CG87" s="222"/>
      <c r="CH87" s="222"/>
      <c r="CI87" s="222"/>
      <c r="CJ87" s="222"/>
      <c r="CK87" s="222"/>
      <c r="CL87" s="222"/>
      <c r="CM87" s="222"/>
      <c r="CN87" s="222"/>
      <c r="CO87" s="222"/>
      <c r="CP87" s="222"/>
      <c r="CQ87" s="222"/>
      <c r="CR87" s="222"/>
      <c r="CS87" s="222"/>
    </row>
    <row r="88">
      <c r="A88" s="43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  <c r="AY88" s="222"/>
      <c r="AZ88" s="222"/>
      <c r="BA88" s="222"/>
      <c r="BB88" s="222"/>
      <c r="BC88" s="222"/>
      <c r="BD88" s="222"/>
      <c r="BE88" s="222"/>
      <c r="BF88" s="222"/>
      <c r="BG88" s="222"/>
      <c r="BH88" s="222"/>
      <c r="BI88" s="222"/>
      <c r="BJ88" s="222"/>
      <c r="BK88" s="222"/>
      <c r="BL88" s="222"/>
      <c r="BM88" s="222"/>
      <c r="BN88" s="222"/>
      <c r="BO88" s="222"/>
      <c r="BP88" s="222"/>
      <c r="BQ88" s="222"/>
      <c r="BR88" s="222"/>
      <c r="BS88" s="222"/>
      <c r="BT88" s="222"/>
      <c r="BU88" s="222"/>
      <c r="BV88" s="222"/>
      <c r="BW88" s="222"/>
      <c r="BX88" s="222"/>
      <c r="BY88" s="222"/>
      <c r="BZ88" s="222"/>
      <c r="CA88" s="222"/>
      <c r="CB88" s="222"/>
      <c r="CC88" s="222"/>
      <c r="CD88" s="222"/>
      <c r="CE88" s="222"/>
      <c r="CF88" s="222"/>
      <c r="CG88" s="222"/>
      <c r="CH88" s="222"/>
      <c r="CI88" s="222"/>
      <c r="CJ88" s="222"/>
      <c r="CK88" s="222"/>
      <c r="CL88" s="222"/>
      <c r="CM88" s="222"/>
      <c r="CN88" s="222"/>
      <c r="CO88" s="222"/>
      <c r="CP88" s="222"/>
      <c r="CQ88" s="222"/>
      <c r="CR88" s="222"/>
      <c r="CS88" s="222"/>
    </row>
    <row r="89">
      <c r="A89" s="43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2"/>
      <c r="AQ89" s="222"/>
      <c r="AR89" s="222"/>
      <c r="AS89" s="222"/>
      <c r="AT89" s="222"/>
      <c r="AU89" s="222"/>
      <c r="AV89" s="222"/>
      <c r="AW89" s="222"/>
      <c r="AX89" s="222"/>
      <c r="AY89" s="222"/>
      <c r="AZ89" s="222"/>
      <c r="BA89" s="222"/>
      <c r="BB89" s="222"/>
      <c r="BC89" s="222"/>
      <c r="BD89" s="222"/>
      <c r="BE89" s="222"/>
      <c r="BF89" s="222"/>
      <c r="BG89" s="222"/>
      <c r="BH89" s="222"/>
      <c r="BI89" s="222"/>
      <c r="BJ89" s="222"/>
      <c r="BK89" s="222"/>
      <c r="BL89" s="222"/>
      <c r="BM89" s="222"/>
      <c r="BN89" s="222"/>
      <c r="BO89" s="222"/>
      <c r="BP89" s="222"/>
      <c r="BQ89" s="222"/>
      <c r="BR89" s="222"/>
      <c r="BS89" s="222"/>
      <c r="BT89" s="222"/>
      <c r="BU89" s="222"/>
      <c r="BV89" s="222"/>
      <c r="BW89" s="222"/>
      <c r="BX89" s="222"/>
      <c r="BY89" s="222"/>
      <c r="BZ89" s="222"/>
      <c r="CA89" s="222"/>
      <c r="CB89" s="222"/>
      <c r="CC89" s="222"/>
      <c r="CD89" s="222"/>
      <c r="CE89" s="222"/>
      <c r="CF89" s="222"/>
      <c r="CG89" s="222"/>
      <c r="CH89" s="222"/>
      <c r="CI89" s="222"/>
      <c r="CJ89" s="222"/>
      <c r="CK89" s="222"/>
      <c r="CL89" s="222"/>
      <c r="CM89" s="222"/>
      <c r="CN89" s="222"/>
      <c r="CO89" s="222"/>
      <c r="CP89" s="222"/>
      <c r="CQ89" s="222"/>
      <c r="CR89" s="222"/>
      <c r="CS89" s="222"/>
    </row>
    <row r="90">
      <c r="A90" s="43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2"/>
      <c r="AO90" s="222"/>
      <c r="AP90" s="222"/>
      <c r="AQ90" s="222"/>
      <c r="AR90" s="222"/>
      <c r="AS90" s="222"/>
      <c r="AT90" s="222"/>
      <c r="AU90" s="222"/>
      <c r="AV90" s="222"/>
      <c r="AW90" s="222"/>
      <c r="AX90" s="222"/>
      <c r="AY90" s="222"/>
      <c r="AZ90" s="222"/>
      <c r="BA90" s="222"/>
      <c r="BB90" s="222"/>
      <c r="BC90" s="222"/>
      <c r="BD90" s="222"/>
      <c r="BE90" s="222"/>
      <c r="BF90" s="222"/>
      <c r="BG90" s="222"/>
      <c r="BH90" s="222"/>
      <c r="BI90" s="222"/>
      <c r="BJ90" s="222"/>
      <c r="BK90" s="222"/>
      <c r="BL90" s="222"/>
      <c r="BM90" s="222"/>
      <c r="BN90" s="222"/>
      <c r="BO90" s="222"/>
      <c r="BP90" s="222"/>
      <c r="BQ90" s="222"/>
      <c r="BR90" s="222"/>
      <c r="BS90" s="222"/>
      <c r="BT90" s="222"/>
      <c r="BU90" s="222"/>
      <c r="BV90" s="222"/>
      <c r="BW90" s="222"/>
      <c r="BX90" s="222"/>
      <c r="BY90" s="222"/>
      <c r="BZ90" s="222"/>
      <c r="CA90" s="222"/>
      <c r="CB90" s="222"/>
      <c r="CC90" s="222"/>
      <c r="CD90" s="222"/>
      <c r="CE90" s="222"/>
      <c r="CF90" s="222"/>
      <c r="CG90" s="222"/>
      <c r="CH90" s="222"/>
      <c r="CI90" s="222"/>
      <c r="CJ90" s="222"/>
      <c r="CK90" s="222"/>
      <c r="CL90" s="222"/>
      <c r="CM90" s="222"/>
      <c r="CN90" s="222"/>
      <c r="CO90" s="222"/>
      <c r="CP90" s="222"/>
      <c r="CQ90" s="222"/>
      <c r="CR90" s="222"/>
      <c r="CS90" s="222"/>
    </row>
    <row r="91">
      <c r="A91" s="43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222"/>
      <c r="AT91" s="222"/>
      <c r="AU91" s="222"/>
      <c r="AV91" s="222"/>
      <c r="AW91" s="222"/>
      <c r="AX91" s="222"/>
      <c r="AY91" s="222"/>
      <c r="AZ91" s="222"/>
      <c r="BA91" s="222"/>
      <c r="BB91" s="222"/>
      <c r="BC91" s="222"/>
      <c r="BD91" s="222"/>
      <c r="BE91" s="222"/>
      <c r="BF91" s="222"/>
      <c r="BG91" s="222"/>
      <c r="BH91" s="222"/>
      <c r="BI91" s="222"/>
      <c r="BJ91" s="222"/>
      <c r="BK91" s="222"/>
      <c r="BL91" s="222"/>
      <c r="BM91" s="222"/>
      <c r="BN91" s="222"/>
      <c r="BO91" s="222"/>
      <c r="BP91" s="222"/>
      <c r="BQ91" s="222"/>
      <c r="BR91" s="222"/>
      <c r="BS91" s="222"/>
      <c r="BT91" s="222"/>
      <c r="BU91" s="222"/>
      <c r="BV91" s="222"/>
      <c r="BW91" s="222"/>
      <c r="BX91" s="222"/>
      <c r="BY91" s="222"/>
      <c r="BZ91" s="222"/>
      <c r="CA91" s="222"/>
      <c r="CB91" s="222"/>
      <c r="CC91" s="222"/>
      <c r="CD91" s="222"/>
      <c r="CE91" s="222"/>
      <c r="CF91" s="222"/>
      <c r="CG91" s="222"/>
      <c r="CH91" s="222"/>
      <c r="CI91" s="222"/>
      <c r="CJ91" s="222"/>
      <c r="CK91" s="222"/>
      <c r="CL91" s="222"/>
      <c r="CM91" s="222"/>
      <c r="CN91" s="222"/>
      <c r="CO91" s="222"/>
      <c r="CP91" s="222"/>
      <c r="CQ91" s="222"/>
      <c r="CR91" s="222"/>
      <c r="CS91" s="222"/>
    </row>
    <row r="92">
      <c r="A92" s="43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2"/>
      <c r="BB92" s="222"/>
      <c r="BC92" s="222"/>
      <c r="BD92" s="222"/>
      <c r="BE92" s="222"/>
      <c r="BF92" s="222"/>
      <c r="BG92" s="222"/>
      <c r="BH92" s="222"/>
      <c r="BI92" s="222"/>
      <c r="BJ92" s="222"/>
      <c r="BK92" s="222"/>
      <c r="BL92" s="222"/>
      <c r="BM92" s="222"/>
      <c r="BN92" s="222"/>
      <c r="BO92" s="222"/>
      <c r="BP92" s="222"/>
      <c r="BQ92" s="222"/>
      <c r="BR92" s="222"/>
      <c r="BS92" s="222"/>
      <c r="BT92" s="222"/>
      <c r="BU92" s="222"/>
      <c r="BV92" s="222"/>
      <c r="BW92" s="222"/>
      <c r="BX92" s="222"/>
      <c r="BY92" s="222"/>
      <c r="BZ92" s="222"/>
      <c r="CA92" s="222"/>
      <c r="CB92" s="222"/>
      <c r="CC92" s="222"/>
      <c r="CD92" s="222"/>
      <c r="CE92" s="222"/>
      <c r="CF92" s="222"/>
      <c r="CG92" s="222"/>
      <c r="CH92" s="222"/>
      <c r="CI92" s="222"/>
      <c r="CJ92" s="222"/>
      <c r="CK92" s="222"/>
      <c r="CL92" s="222"/>
      <c r="CM92" s="222"/>
      <c r="CN92" s="222"/>
      <c r="CO92" s="222"/>
      <c r="CP92" s="222"/>
      <c r="CQ92" s="222"/>
      <c r="CR92" s="222"/>
      <c r="CS92" s="222"/>
    </row>
    <row r="93">
      <c r="A93" s="43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22"/>
      <c r="AU93" s="222"/>
      <c r="AV93" s="222"/>
      <c r="AW93" s="222"/>
      <c r="AX93" s="222"/>
      <c r="AY93" s="222"/>
      <c r="AZ93" s="222"/>
      <c r="BA93" s="222"/>
      <c r="BB93" s="222"/>
      <c r="BC93" s="222"/>
      <c r="BD93" s="222"/>
      <c r="BE93" s="222"/>
      <c r="BF93" s="222"/>
      <c r="BG93" s="222"/>
      <c r="BH93" s="222"/>
      <c r="BI93" s="222"/>
      <c r="BJ93" s="222"/>
      <c r="BK93" s="222"/>
      <c r="BL93" s="222"/>
      <c r="BM93" s="222"/>
      <c r="BN93" s="222"/>
      <c r="BO93" s="222"/>
      <c r="BP93" s="222"/>
      <c r="BQ93" s="222"/>
      <c r="BR93" s="222"/>
      <c r="BS93" s="222"/>
      <c r="BT93" s="222"/>
      <c r="BU93" s="222"/>
      <c r="BV93" s="222"/>
      <c r="BW93" s="222"/>
      <c r="BX93" s="222"/>
      <c r="BY93" s="222"/>
      <c r="BZ93" s="222"/>
      <c r="CA93" s="222"/>
      <c r="CB93" s="222"/>
      <c r="CC93" s="222"/>
      <c r="CD93" s="222"/>
      <c r="CE93" s="222"/>
      <c r="CF93" s="222"/>
      <c r="CG93" s="222"/>
      <c r="CH93" s="222"/>
      <c r="CI93" s="222"/>
      <c r="CJ93" s="222"/>
      <c r="CK93" s="222"/>
      <c r="CL93" s="222"/>
      <c r="CM93" s="222"/>
      <c r="CN93" s="222"/>
      <c r="CO93" s="222"/>
      <c r="CP93" s="222"/>
      <c r="CQ93" s="222"/>
      <c r="CR93" s="222"/>
      <c r="CS93" s="222"/>
    </row>
    <row r="94">
      <c r="A94" s="43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2"/>
      <c r="BF94" s="222"/>
      <c r="BG94" s="222"/>
      <c r="BH94" s="222"/>
      <c r="BI94" s="222"/>
      <c r="BJ94" s="222"/>
      <c r="BK94" s="222"/>
      <c r="BL94" s="222"/>
      <c r="BM94" s="222"/>
      <c r="BN94" s="222"/>
      <c r="BO94" s="222"/>
      <c r="BP94" s="222"/>
      <c r="BQ94" s="222"/>
      <c r="BR94" s="222"/>
      <c r="BS94" s="222"/>
      <c r="BT94" s="222"/>
      <c r="BU94" s="222"/>
      <c r="BV94" s="222"/>
      <c r="BW94" s="222"/>
      <c r="BX94" s="222"/>
      <c r="BY94" s="222"/>
      <c r="BZ94" s="222"/>
      <c r="CA94" s="222"/>
      <c r="CB94" s="222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2"/>
      <c r="CR94" s="222"/>
      <c r="CS94" s="222"/>
    </row>
    <row r="95">
      <c r="A95" s="43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222"/>
      <c r="BH95" s="222"/>
      <c r="BI95" s="222"/>
      <c r="BJ95" s="222"/>
      <c r="BK95" s="222"/>
      <c r="BL95" s="222"/>
      <c r="BM95" s="222"/>
      <c r="BN95" s="222"/>
      <c r="BO95" s="222"/>
      <c r="BP95" s="222"/>
      <c r="BQ95" s="222"/>
      <c r="BR95" s="222"/>
      <c r="BS95" s="222"/>
      <c r="BT95" s="222"/>
      <c r="BU95" s="222"/>
      <c r="BV95" s="222"/>
      <c r="BW95" s="222"/>
      <c r="BX95" s="222"/>
      <c r="BY95" s="222"/>
      <c r="BZ95" s="222"/>
      <c r="CA95" s="222"/>
      <c r="CB95" s="222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2"/>
      <c r="CR95" s="222"/>
      <c r="CS95" s="222"/>
    </row>
    <row r="96">
      <c r="A96" s="43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  <c r="AY96" s="222"/>
      <c r="AZ96" s="222"/>
      <c r="BA96" s="222"/>
      <c r="BB96" s="222"/>
      <c r="BC96" s="222"/>
      <c r="BD96" s="222"/>
      <c r="BE96" s="222"/>
      <c r="BF96" s="222"/>
      <c r="BG96" s="222"/>
      <c r="BH96" s="222"/>
      <c r="BI96" s="222"/>
      <c r="BJ96" s="222"/>
      <c r="BK96" s="222"/>
      <c r="BL96" s="222"/>
      <c r="BM96" s="222"/>
      <c r="BN96" s="222"/>
      <c r="BO96" s="222"/>
      <c r="BP96" s="222"/>
      <c r="BQ96" s="222"/>
      <c r="BR96" s="222"/>
      <c r="BS96" s="222"/>
      <c r="BT96" s="222"/>
      <c r="BU96" s="222"/>
      <c r="BV96" s="222"/>
      <c r="BW96" s="222"/>
      <c r="BX96" s="222"/>
      <c r="BY96" s="222"/>
      <c r="BZ96" s="222"/>
      <c r="CA96" s="222"/>
      <c r="CB96" s="222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2"/>
      <c r="CR96" s="222"/>
      <c r="CS96" s="222"/>
    </row>
    <row r="97">
      <c r="A97" s="43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222"/>
      <c r="BH97" s="222"/>
      <c r="BI97" s="222"/>
      <c r="BJ97" s="222"/>
      <c r="BK97" s="222"/>
      <c r="BL97" s="222"/>
      <c r="BM97" s="222"/>
      <c r="BN97" s="222"/>
      <c r="BO97" s="222"/>
      <c r="BP97" s="222"/>
      <c r="BQ97" s="222"/>
      <c r="BR97" s="222"/>
      <c r="BS97" s="222"/>
      <c r="BT97" s="222"/>
      <c r="BU97" s="222"/>
      <c r="BV97" s="222"/>
      <c r="BW97" s="222"/>
      <c r="BX97" s="222"/>
      <c r="BY97" s="222"/>
      <c r="BZ97" s="222"/>
      <c r="CA97" s="222"/>
      <c r="CB97" s="222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2"/>
      <c r="CR97" s="222"/>
      <c r="CS97" s="222"/>
    </row>
    <row r="98">
      <c r="A98" s="43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2"/>
      <c r="BF98" s="222"/>
      <c r="BG98" s="222"/>
      <c r="BH98" s="222"/>
      <c r="BI98" s="222"/>
      <c r="BJ98" s="222"/>
      <c r="BK98" s="222"/>
      <c r="BL98" s="222"/>
      <c r="BM98" s="222"/>
      <c r="BN98" s="222"/>
      <c r="BO98" s="222"/>
      <c r="BP98" s="222"/>
      <c r="BQ98" s="222"/>
      <c r="BR98" s="222"/>
      <c r="BS98" s="222"/>
      <c r="BT98" s="222"/>
      <c r="BU98" s="222"/>
      <c r="BV98" s="222"/>
      <c r="BW98" s="222"/>
      <c r="BX98" s="222"/>
      <c r="BY98" s="222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2"/>
      <c r="CR98" s="222"/>
      <c r="CS98" s="222"/>
    </row>
    <row r="99">
      <c r="A99" s="43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2"/>
      <c r="BH99" s="222"/>
      <c r="BI99" s="222"/>
      <c r="BJ99" s="222"/>
      <c r="BK99" s="222"/>
      <c r="BL99" s="222"/>
      <c r="BM99" s="222"/>
      <c r="BN99" s="222"/>
      <c r="BO99" s="222"/>
      <c r="BP99" s="222"/>
      <c r="BQ99" s="222"/>
      <c r="BR99" s="222"/>
      <c r="BS99" s="222"/>
      <c r="BT99" s="222"/>
      <c r="BU99" s="222"/>
      <c r="BV99" s="222"/>
      <c r="BW99" s="222"/>
      <c r="BX99" s="222"/>
      <c r="BY99" s="222"/>
      <c r="BZ99" s="222"/>
      <c r="CA99" s="222"/>
      <c r="CB99" s="222"/>
      <c r="CC99" s="222"/>
      <c r="CD99" s="222"/>
      <c r="CE99" s="222"/>
      <c r="CF99" s="222"/>
      <c r="CG99" s="222"/>
      <c r="CH99" s="222"/>
      <c r="CI99" s="222"/>
      <c r="CJ99" s="222"/>
      <c r="CK99" s="222"/>
      <c r="CL99" s="222"/>
      <c r="CM99" s="222"/>
      <c r="CN99" s="222"/>
      <c r="CO99" s="222"/>
      <c r="CP99" s="222"/>
      <c r="CQ99" s="222"/>
      <c r="CR99" s="222"/>
      <c r="CS99" s="222"/>
    </row>
    <row r="100">
      <c r="A100" s="43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222"/>
      <c r="BH100" s="222"/>
      <c r="BI100" s="222"/>
      <c r="BJ100" s="222"/>
      <c r="BK100" s="222"/>
      <c r="BL100" s="222"/>
      <c r="BM100" s="222"/>
      <c r="BN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  <c r="BX100" s="222"/>
      <c r="BY100" s="222"/>
      <c r="BZ100" s="222"/>
      <c r="CA100" s="222"/>
      <c r="CB100" s="222"/>
      <c r="CC100" s="222"/>
      <c r="CD100" s="222"/>
      <c r="CE100" s="222"/>
      <c r="CF100" s="222"/>
      <c r="CG100" s="222"/>
      <c r="CH100" s="222"/>
      <c r="CI100" s="222"/>
      <c r="CJ100" s="222"/>
      <c r="CK100" s="222"/>
      <c r="CL100" s="222"/>
      <c r="CM100" s="222"/>
      <c r="CN100" s="222"/>
      <c r="CO100" s="222"/>
      <c r="CP100" s="222"/>
      <c r="CQ100" s="222"/>
      <c r="CR100" s="222"/>
      <c r="CS100" s="222"/>
    </row>
    <row r="101">
      <c r="A101" s="43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2"/>
      <c r="BF101" s="222"/>
      <c r="BG101" s="222"/>
      <c r="BH101" s="222"/>
      <c r="BI101" s="222"/>
      <c r="BJ101" s="222"/>
      <c r="BK101" s="222"/>
      <c r="BL101" s="222"/>
      <c r="BM101" s="222"/>
      <c r="BN101" s="222"/>
      <c r="BO101" s="222"/>
      <c r="BP101" s="222"/>
      <c r="BQ101" s="222"/>
      <c r="BR101" s="222"/>
      <c r="BS101" s="222"/>
      <c r="BT101" s="222"/>
      <c r="BU101" s="222"/>
      <c r="BV101" s="222"/>
      <c r="BW101" s="222"/>
      <c r="BX101" s="222"/>
      <c r="BY101" s="222"/>
      <c r="BZ101" s="222"/>
      <c r="CA101" s="222"/>
      <c r="CB101" s="222"/>
      <c r="CC101" s="222"/>
      <c r="CD101" s="222"/>
      <c r="CE101" s="222"/>
      <c r="CF101" s="222"/>
      <c r="CG101" s="222"/>
      <c r="CH101" s="222"/>
      <c r="CI101" s="222"/>
      <c r="CJ101" s="222"/>
      <c r="CK101" s="222"/>
      <c r="CL101" s="222"/>
      <c r="CM101" s="222"/>
      <c r="CN101" s="222"/>
      <c r="CO101" s="222"/>
      <c r="CP101" s="222"/>
      <c r="CQ101" s="222"/>
      <c r="CR101" s="222"/>
      <c r="CS101" s="222"/>
    </row>
    <row r="102">
      <c r="A102" s="43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222"/>
      <c r="BH102" s="222"/>
      <c r="BI102" s="222"/>
      <c r="BJ102" s="222"/>
      <c r="BK102" s="222"/>
      <c r="BL102" s="222"/>
      <c r="BM102" s="222"/>
      <c r="BN102" s="222"/>
      <c r="BO102" s="222"/>
      <c r="BP102" s="222"/>
      <c r="BQ102" s="222"/>
      <c r="BR102" s="222"/>
      <c r="BS102" s="222"/>
      <c r="BT102" s="222"/>
      <c r="BU102" s="222"/>
      <c r="BV102" s="222"/>
      <c r="BW102" s="222"/>
      <c r="BX102" s="222"/>
      <c r="BY102" s="222"/>
      <c r="BZ102" s="222"/>
      <c r="CA102" s="222"/>
      <c r="CB102" s="222"/>
      <c r="CC102" s="222"/>
      <c r="CD102" s="222"/>
      <c r="CE102" s="222"/>
      <c r="CF102" s="222"/>
      <c r="CG102" s="222"/>
      <c r="CH102" s="222"/>
      <c r="CI102" s="222"/>
      <c r="CJ102" s="222"/>
      <c r="CK102" s="222"/>
      <c r="CL102" s="222"/>
      <c r="CM102" s="222"/>
      <c r="CN102" s="222"/>
      <c r="CO102" s="222"/>
      <c r="CP102" s="222"/>
      <c r="CQ102" s="222"/>
      <c r="CR102" s="222"/>
      <c r="CS102" s="222"/>
    </row>
    <row r="103">
      <c r="A103" s="43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222"/>
      <c r="AS103" s="222"/>
      <c r="AT103" s="222"/>
      <c r="AU103" s="222"/>
      <c r="AV103" s="222"/>
      <c r="AW103" s="222"/>
      <c r="AX103" s="222"/>
      <c r="AY103" s="222"/>
      <c r="AZ103" s="222"/>
      <c r="BA103" s="222"/>
      <c r="BB103" s="222"/>
      <c r="BC103" s="222"/>
      <c r="BD103" s="222"/>
      <c r="BE103" s="222"/>
      <c r="BF103" s="222"/>
      <c r="BG103" s="222"/>
      <c r="BH103" s="222"/>
      <c r="BI103" s="222"/>
      <c r="BJ103" s="222"/>
      <c r="BK103" s="222"/>
      <c r="BL103" s="222"/>
      <c r="BM103" s="222"/>
      <c r="BN103" s="222"/>
      <c r="BO103" s="222"/>
      <c r="BP103" s="222"/>
      <c r="BQ103" s="222"/>
      <c r="BR103" s="222"/>
      <c r="BS103" s="222"/>
      <c r="BT103" s="222"/>
      <c r="BU103" s="222"/>
      <c r="BV103" s="222"/>
      <c r="BW103" s="222"/>
      <c r="BX103" s="222"/>
      <c r="BY103" s="222"/>
      <c r="BZ103" s="222"/>
      <c r="CA103" s="222"/>
      <c r="CB103" s="222"/>
      <c r="CC103" s="222"/>
      <c r="CD103" s="222"/>
      <c r="CE103" s="222"/>
      <c r="CF103" s="222"/>
      <c r="CG103" s="222"/>
      <c r="CH103" s="222"/>
      <c r="CI103" s="222"/>
      <c r="CJ103" s="222"/>
      <c r="CK103" s="222"/>
      <c r="CL103" s="222"/>
      <c r="CM103" s="222"/>
      <c r="CN103" s="222"/>
      <c r="CO103" s="222"/>
      <c r="CP103" s="222"/>
      <c r="CQ103" s="222"/>
      <c r="CR103" s="222"/>
      <c r="CS103" s="222"/>
    </row>
    <row r="104">
      <c r="A104" s="43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  <c r="AY104" s="222"/>
      <c r="AZ104" s="222"/>
      <c r="BA104" s="222"/>
      <c r="BB104" s="222"/>
      <c r="BC104" s="222"/>
      <c r="BD104" s="222"/>
      <c r="BE104" s="222"/>
      <c r="BF104" s="222"/>
      <c r="BG104" s="222"/>
      <c r="BH104" s="222"/>
      <c r="BI104" s="222"/>
      <c r="BJ104" s="222"/>
      <c r="BK104" s="222"/>
      <c r="BL104" s="222"/>
      <c r="BM104" s="222"/>
      <c r="BN104" s="222"/>
      <c r="BO104" s="222"/>
      <c r="BP104" s="222"/>
      <c r="BQ104" s="222"/>
      <c r="BR104" s="222"/>
      <c r="BS104" s="222"/>
      <c r="BT104" s="222"/>
      <c r="BU104" s="222"/>
      <c r="BV104" s="222"/>
      <c r="BW104" s="222"/>
      <c r="BX104" s="222"/>
      <c r="BY104" s="222"/>
      <c r="BZ104" s="222"/>
      <c r="CA104" s="222"/>
      <c r="CB104" s="222"/>
      <c r="CC104" s="222"/>
      <c r="CD104" s="222"/>
      <c r="CE104" s="222"/>
      <c r="CF104" s="222"/>
      <c r="CG104" s="222"/>
      <c r="CH104" s="222"/>
      <c r="CI104" s="222"/>
      <c r="CJ104" s="222"/>
      <c r="CK104" s="222"/>
      <c r="CL104" s="222"/>
      <c r="CM104" s="222"/>
      <c r="CN104" s="222"/>
      <c r="CO104" s="222"/>
      <c r="CP104" s="222"/>
      <c r="CQ104" s="222"/>
      <c r="CR104" s="222"/>
      <c r="CS104" s="222"/>
    </row>
    <row r="105">
      <c r="A105" s="43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2"/>
      <c r="BF105" s="222"/>
      <c r="BG105" s="222"/>
      <c r="BH105" s="222"/>
      <c r="BI105" s="222"/>
      <c r="BJ105" s="222"/>
      <c r="BK105" s="222"/>
      <c r="BL105" s="222"/>
      <c r="BM105" s="222"/>
      <c r="BN105" s="222"/>
      <c r="BO105" s="222"/>
      <c r="BP105" s="222"/>
      <c r="BQ105" s="222"/>
      <c r="BR105" s="222"/>
      <c r="BS105" s="222"/>
      <c r="BT105" s="222"/>
      <c r="BU105" s="222"/>
      <c r="BV105" s="222"/>
      <c r="BW105" s="222"/>
      <c r="BX105" s="222"/>
      <c r="BY105" s="222"/>
      <c r="BZ105" s="222"/>
      <c r="CA105" s="222"/>
      <c r="CB105" s="222"/>
      <c r="CC105" s="222"/>
      <c r="CD105" s="222"/>
      <c r="CE105" s="222"/>
      <c r="CF105" s="222"/>
      <c r="CG105" s="222"/>
      <c r="CH105" s="222"/>
      <c r="CI105" s="222"/>
      <c r="CJ105" s="222"/>
      <c r="CK105" s="222"/>
      <c r="CL105" s="222"/>
      <c r="CM105" s="222"/>
      <c r="CN105" s="222"/>
      <c r="CO105" s="222"/>
      <c r="CP105" s="222"/>
      <c r="CQ105" s="222"/>
      <c r="CR105" s="222"/>
      <c r="CS105" s="222"/>
    </row>
    <row r="106">
      <c r="A106" s="43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  <c r="BB106" s="222"/>
      <c r="BC106" s="222"/>
      <c r="BD106" s="222"/>
      <c r="BE106" s="222"/>
      <c r="BF106" s="222"/>
      <c r="BG106" s="222"/>
      <c r="BH106" s="222"/>
      <c r="BI106" s="222"/>
      <c r="BJ106" s="222"/>
      <c r="BK106" s="222"/>
      <c r="BL106" s="222"/>
      <c r="BM106" s="222"/>
      <c r="BN106" s="222"/>
      <c r="BO106" s="222"/>
      <c r="BP106" s="222"/>
      <c r="BQ106" s="222"/>
      <c r="BR106" s="222"/>
      <c r="BS106" s="222"/>
      <c r="BT106" s="222"/>
      <c r="BU106" s="222"/>
      <c r="BV106" s="222"/>
      <c r="BW106" s="222"/>
      <c r="BX106" s="222"/>
      <c r="BY106" s="222"/>
      <c r="BZ106" s="222"/>
      <c r="CA106" s="222"/>
      <c r="CB106" s="222"/>
      <c r="CC106" s="222"/>
      <c r="CD106" s="222"/>
      <c r="CE106" s="222"/>
      <c r="CF106" s="222"/>
      <c r="CG106" s="222"/>
      <c r="CH106" s="222"/>
      <c r="CI106" s="222"/>
      <c r="CJ106" s="222"/>
      <c r="CK106" s="222"/>
      <c r="CL106" s="222"/>
      <c r="CM106" s="222"/>
      <c r="CN106" s="222"/>
      <c r="CO106" s="222"/>
      <c r="CP106" s="222"/>
      <c r="CQ106" s="222"/>
      <c r="CR106" s="222"/>
      <c r="CS106" s="222"/>
    </row>
    <row r="107">
      <c r="A107" s="43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222"/>
      <c r="BH107" s="222"/>
      <c r="BI107" s="222"/>
      <c r="BJ107" s="222"/>
      <c r="BK107" s="222"/>
      <c r="BL107" s="222"/>
      <c r="BM107" s="222"/>
      <c r="BN107" s="222"/>
      <c r="BO107" s="222"/>
      <c r="BP107" s="222"/>
      <c r="BQ107" s="222"/>
      <c r="BR107" s="222"/>
      <c r="BS107" s="222"/>
      <c r="BT107" s="222"/>
      <c r="BU107" s="222"/>
      <c r="BV107" s="222"/>
      <c r="BW107" s="222"/>
      <c r="BX107" s="222"/>
      <c r="BY107" s="222"/>
      <c r="BZ107" s="222"/>
      <c r="CA107" s="222"/>
      <c r="CB107" s="222"/>
      <c r="CC107" s="222"/>
      <c r="CD107" s="222"/>
      <c r="CE107" s="222"/>
      <c r="CF107" s="222"/>
      <c r="CG107" s="222"/>
      <c r="CH107" s="222"/>
      <c r="CI107" s="222"/>
      <c r="CJ107" s="222"/>
      <c r="CK107" s="222"/>
      <c r="CL107" s="222"/>
      <c r="CM107" s="222"/>
      <c r="CN107" s="222"/>
      <c r="CO107" s="222"/>
      <c r="CP107" s="222"/>
      <c r="CQ107" s="222"/>
      <c r="CR107" s="222"/>
      <c r="CS107" s="222"/>
    </row>
    <row r="108">
      <c r="A108" s="43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  <c r="AY108" s="222"/>
      <c r="AZ108" s="222"/>
      <c r="BA108" s="222"/>
      <c r="BB108" s="222"/>
      <c r="BC108" s="222"/>
      <c r="BD108" s="222"/>
      <c r="BE108" s="222"/>
      <c r="BF108" s="222"/>
      <c r="BG108" s="222"/>
      <c r="BH108" s="222"/>
      <c r="BI108" s="222"/>
      <c r="BJ108" s="222"/>
      <c r="BK108" s="222"/>
      <c r="BL108" s="222"/>
      <c r="BM108" s="222"/>
      <c r="BN108" s="222"/>
      <c r="BO108" s="222"/>
      <c r="BP108" s="222"/>
      <c r="BQ108" s="222"/>
      <c r="BR108" s="222"/>
      <c r="BS108" s="222"/>
      <c r="BT108" s="222"/>
      <c r="BU108" s="222"/>
      <c r="BV108" s="222"/>
      <c r="BW108" s="222"/>
      <c r="BX108" s="222"/>
      <c r="BY108" s="222"/>
      <c r="BZ108" s="222"/>
      <c r="CA108" s="222"/>
      <c r="CB108" s="222"/>
      <c r="CC108" s="222"/>
      <c r="CD108" s="222"/>
      <c r="CE108" s="222"/>
      <c r="CF108" s="222"/>
      <c r="CG108" s="222"/>
      <c r="CH108" s="222"/>
      <c r="CI108" s="222"/>
      <c r="CJ108" s="222"/>
      <c r="CK108" s="222"/>
      <c r="CL108" s="222"/>
      <c r="CM108" s="222"/>
      <c r="CN108" s="222"/>
      <c r="CO108" s="222"/>
      <c r="CP108" s="222"/>
      <c r="CQ108" s="222"/>
      <c r="CR108" s="222"/>
      <c r="CS108" s="222"/>
    </row>
    <row r="109">
      <c r="A109" s="43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  <c r="BE109" s="222"/>
      <c r="BF109" s="222"/>
      <c r="BG109" s="222"/>
      <c r="BH109" s="222"/>
      <c r="BI109" s="222"/>
      <c r="BJ109" s="222"/>
      <c r="BK109" s="222"/>
      <c r="BL109" s="222"/>
      <c r="BM109" s="222"/>
      <c r="BN109" s="222"/>
      <c r="BO109" s="222"/>
      <c r="BP109" s="222"/>
      <c r="BQ109" s="222"/>
      <c r="BR109" s="222"/>
      <c r="BS109" s="222"/>
      <c r="BT109" s="222"/>
      <c r="BU109" s="222"/>
      <c r="BV109" s="222"/>
      <c r="BW109" s="222"/>
      <c r="BX109" s="222"/>
      <c r="BY109" s="222"/>
      <c r="BZ109" s="222"/>
      <c r="CA109" s="222"/>
      <c r="CB109" s="222"/>
      <c r="CC109" s="222"/>
      <c r="CD109" s="222"/>
      <c r="CE109" s="222"/>
      <c r="CF109" s="222"/>
      <c r="CG109" s="222"/>
      <c r="CH109" s="222"/>
      <c r="CI109" s="222"/>
      <c r="CJ109" s="222"/>
      <c r="CK109" s="222"/>
      <c r="CL109" s="222"/>
      <c r="CM109" s="222"/>
      <c r="CN109" s="222"/>
      <c r="CO109" s="222"/>
      <c r="CP109" s="222"/>
      <c r="CQ109" s="222"/>
      <c r="CR109" s="222"/>
      <c r="CS109" s="222"/>
    </row>
    <row r="110">
      <c r="A110" s="43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22"/>
      <c r="CG110" s="222"/>
      <c r="CH110" s="222"/>
      <c r="CI110" s="222"/>
      <c r="CJ110" s="222"/>
      <c r="CK110" s="222"/>
      <c r="CL110" s="222"/>
      <c r="CM110" s="222"/>
      <c r="CN110" s="222"/>
      <c r="CO110" s="222"/>
      <c r="CP110" s="222"/>
      <c r="CQ110" s="222"/>
      <c r="CR110" s="222"/>
      <c r="CS110" s="222"/>
    </row>
    <row r="111">
      <c r="A111" s="43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  <c r="AY111" s="222"/>
      <c r="AZ111" s="222"/>
      <c r="BA111" s="222"/>
      <c r="BB111" s="222"/>
      <c r="BC111" s="222"/>
      <c r="BD111" s="222"/>
      <c r="BE111" s="222"/>
      <c r="BF111" s="222"/>
      <c r="BG111" s="222"/>
      <c r="BH111" s="222"/>
      <c r="BI111" s="222"/>
      <c r="BJ111" s="222"/>
      <c r="BK111" s="222"/>
      <c r="BL111" s="222"/>
      <c r="BM111" s="222"/>
      <c r="BN111" s="222"/>
      <c r="BO111" s="222"/>
      <c r="BP111" s="222"/>
      <c r="BQ111" s="222"/>
      <c r="BR111" s="222"/>
      <c r="BS111" s="222"/>
      <c r="BT111" s="222"/>
      <c r="BU111" s="222"/>
      <c r="BV111" s="222"/>
      <c r="BW111" s="222"/>
      <c r="BX111" s="222"/>
      <c r="BY111" s="222"/>
      <c r="BZ111" s="222"/>
      <c r="CA111" s="222"/>
      <c r="CB111" s="222"/>
      <c r="CC111" s="222"/>
      <c r="CD111" s="222"/>
      <c r="CE111" s="222"/>
      <c r="CF111" s="222"/>
      <c r="CG111" s="222"/>
      <c r="CH111" s="222"/>
      <c r="CI111" s="222"/>
      <c r="CJ111" s="222"/>
      <c r="CK111" s="222"/>
      <c r="CL111" s="222"/>
      <c r="CM111" s="222"/>
      <c r="CN111" s="222"/>
      <c r="CO111" s="222"/>
      <c r="CP111" s="222"/>
      <c r="CQ111" s="222"/>
      <c r="CR111" s="222"/>
      <c r="CS111" s="222"/>
    </row>
    <row r="112">
      <c r="A112" s="43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  <c r="AY112" s="222"/>
      <c r="AZ112" s="222"/>
      <c r="BA112" s="222"/>
      <c r="BB112" s="222"/>
      <c r="BC112" s="222"/>
      <c r="BD112" s="222"/>
      <c r="BE112" s="222"/>
      <c r="BF112" s="222"/>
      <c r="BG112" s="222"/>
      <c r="BH112" s="222"/>
      <c r="BI112" s="222"/>
      <c r="BJ112" s="222"/>
      <c r="BK112" s="222"/>
      <c r="BL112" s="222"/>
      <c r="BM112" s="222"/>
      <c r="BN112" s="222"/>
      <c r="BO112" s="222"/>
      <c r="BP112" s="222"/>
      <c r="BQ112" s="222"/>
      <c r="BR112" s="222"/>
      <c r="BS112" s="222"/>
      <c r="BT112" s="222"/>
      <c r="BU112" s="222"/>
      <c r="BV112" s="222"/>
      <c r="BW112" s="222"/>
      <c r="BX112" s="222"/>
      <c r="BY112" s="222"/>
      <c r="BZ112" s="222"/>
      <c r="CA112" s="222"/>
      <c r="CB112" s="222"/>
      <c r="CC112" s="222"/>
      <c r="CD112" s="222"/>
      <c r="CE112" s="222"/>
      <c r="CF112" s="222"/>
      <c r="CG112" s="222"/>
      <c r="CH112" s="222"/>
      <c r="CI112" s="222"/>
      <c r="CJ112" s="222"/>
      <c r="CK112" s="222"/>
      <c r="CL112" s="222"/>
      <c r="CM112" s="222"/>
      <c r="CN112" s="222"/>
      <c r="CO112" s="222"/>
      <c r="CP112" s="222"/>
      <c r="CQ112" s="222"/>
      <c r="CR112" s="222"/>
      <c r="CS112" s="222"/>
    </row>
    <row r="113">
      <c r="A113" s="43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  <c r="BE113" s="222"/>
      <c r="BF113" s="222"/>
      <c r="BG113" s="222"/>
      <c r="BH113" s="222"/>
      <c r="BI113" s="222"/>
      <c r="BJ113" s="222"/>
      <c r="BK113" s="222"/>
      <c r="BL113" s="222"/>
      <c r="BM113" s="222"/>
      <c r="BN113" s="222"/>
      <c r="BO113" s="222"/>
      <c r="BP113" s="222"/>
      <c r="BQ113" s="222"/>
      <c r="BR113" s="222"/>
      <c r="BS113" s="222"/>
      <c r="BT113" s="222"/>
      <c r="BU113" s="222"/>
      <c r="BV113" s="222"/>
      <c r="BW113" s="222"/>
      <c r="BX113" s="222"/>
      <c r="BY113" s="222"/>
      <c r="BZ113" s="222"/>
      <c r="CA113" s="222"/>
      <c r="CB113" s="222"/>
      <c r="CC113" s="222"/>
      <c r="CD113" s="222"/>
      <c r="CE113" s="222"/>
      <c r="CF113" s="222"/>
      <c r="CG113" s="222"/>
      <c r="CH113" s="222"/>
      <c r="CI113" s="222"/>
      <c r="CJ113" s="222"/>
      <c r="CK113" s="222"/>
      <c r="CL113" s="222"/>
      <c r="CM113" s="222"/>
      <c r="CN113" s="222"/>
      <c r="CO113" s="222"/>
      <c r="CP113" s="222"/>
      <c r="CQ113" s="222"/>
      <c r="CR113" s="222"/>
      <c r="CS113" s="222"/>
    </row>
    <row r="114">
      <c r="A114" s="43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22"/>
      <c r="AU114" s="222"/>
      <c r="AV114" s="222"/>
      <c r="AW114" s="222"/>
      <c r="AX114" s="222"/>
      <c r="AY114" s="222"/>
      <c r="AZ114" s="222"/>
      <c r="BA114" s="222"/>
      <c r="BB114" s="222"/>
      <c r="BC114" s="222"/>
      <c r="BD114" s="222"/>
      <c r="BE114" s="222"/>
      <c r="BF114" s="222"/>
      <c r="BG114" s="222"/>
      <c r="BH114" s="222"/>
      <c r="BI114" s="222"/>
      <c r="BJ114" s="222"/>
      <c r="BK114" s="222"/>
      <c r="BL114" s="222"/>
      <c r="BM114" s="222"/>
      <c r="BN114" s="222"/>
      <c r="BO114" s="222"/>
      <c r="BP114" s="222"/>
      <c r="BQ114" s="222"/>
      <c r="BR114" s="222"/>
      <c r="BS114" s="222"/>
      <c r="BT114" s="222"/>
      <c r="BU114" s="222"/>
      <c r="BV114" s="222"/>
      <c r="BW114" s="222"/>
      <c r="BX114" s="222"/>
      <c r="BY114" s="222"/>
      <c r="BZ114" s="222"/>
      <c r="CA114" s="222"/>
      <c r="CB114" s="222"/>
      <c r="CC114" s="222"/>
      <c r="CD114" s="222"/>
      <c r="CE114" s="222"/>
      <c r="CF114" s="222"/>
      <c r="CG114" s="222"/>
      <c r="CH114" s="222"/>
      <c r="CI114" s="222"/>
      <c r="CJ114" s="222"/>
      <c r="CK114" s="222"/>
      <c r="CL114" s="222"/>
      <c r="CM114" s="222"/>
      <c r="CN114" s="222"/>
      <c r="CO114" s="222"/>
      <c r="CP114" s="222"/>
      <c r="CQ114" s="222"/>
      <c r="CR114" s="222"/>
      <c r="CS114" s="222"/>
    </row>
    <row r="115">
      <c r="A115" s="43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  <c r="AY115" s="222"/>
      <c r="AZ115" s="222"/>
      <c r="BA115" s="222"/>
      <c r="BB115" s="222"/>
      <c r="BC115" s="222"/>
      <c r="BD115" s="222"/>
      <c r="BE115" s="222"/>
      <c r="BF115" s="222"/>
      <c r="BG115" s="222"/>
      <c r="BH115" s="222"/>
      <c r="BI115" s="222"/>
      <c r="BJ115" s="222"/>
      <c r="BK115" s="222"/>
      <c r="BL115" s="222"/>
      <c r="BM115" s="222"/>
      <c r="BN115" s="222"/>
      <c r="BO115" s="222"/>
      <c r="BP115" s="222"/>
      <c r="BQ115" s="222"/>
      <c r="BR115" s="222"/>
      <c r="BS115" s="222"/>
      <c r="BT115" s="222"/>
      <c r="BU115" s="222"/>
      <c r="BV115" s="222"/>
      <c r="BW115" s="222"/>
      <c r="BX115" s="222"/>
      <c r="BY115" s="222"/>
      <c r="BZ115" s="222"/>
      <c r="CA115" s="222"/>
      <c r="CB115" s="222"/>
      <c r="CC115" s="222"/>
      <c r="CD115" s="222"/>
      <c r="CE115" s="222"/>
      <c r="CF115" s="222"/>
      <c r="CG115" s="222"/>
      <c r="CH115" s="222"/>
      <c r="CI115" s="222"/>
      <c r="CJ115" s="222"/>
      <c r="CK115" s="222"/>
      <c r="CL115" s="222"/>
      <c r="CM115" s="222"/>
      <c r="CN115" s="222"/>
      <c r="CO115" s="222"/>
      <c r="CP115" s="222"/>
      <c r="CQ115" s="222"/>
      <c r="CR115" s="222"/>
      <c r="CS115" s="222"/>
    </row>
    <row r="116">
      <c r="A116" s="43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222"/>
      <c r="AP116" s="222"/>
      <c r="AQ116" s="222"/>
      <c r="AR116" s="222"/>
      <c r="AS116" s="222"/>
      <c r="AT116" s="222"/>
      <c r="AU116" s="222"/>
      <c r="AV116" s="222"/>
      <c r="AW116" s="222"/>
      <c r="AX116" s="222"/>
      <c r="AY116" s="222"/>
      <c r="AZ116" s="222"/>
      <c r="BA116" s="222"/>
      <c r="BB116" s="222"/>
      <c r="BC116" s="222"/>
      <c r="BD116" s="222"/>
      <c r="BE116" s="222"/>
      <c r="BF116" s="222"/>
      <c r="BG116" s="222"/>
      <c r="BH116" s="222"/>
      <c r="BI116" s="222"/>
      <c r="BJ116" s="222"/>
      <c r="BK116" s="222"/>
      <c r="BL116" s="222"/>
      <c r="BM116" s="222"/>
      <c r="BN116" s="222"/>
      <c r="BO116" s="222"/>
      <c r="BP116" s="222"/>
      <c r="BQ116" s="222"/>
      <c r="BR116" s="222"/>
      <c r="BS116" s="222"/>
      <c r="BT116" s="222"/>
      <c r="BU116" s="222"/>
      <c r="BV116" s="222"/>
      <c r="BW116" s="222"/>
      <c r="BX116" s="222"/>
      <c r="BY116" s="222"/>
      <c r="BZ116" s="222"/>
      <c r="CA116" s="222"/>
      <c r="CB116" s="222"/>
      <c r="CC116" s="222"/>
      <c r="CD116" s="222"/>
      <c r="CE116" s="222"/>
      <c r="CF116" s="222"/>
      <c r="CG116" s="222"/>
      <c r="CH116" s="222"/>
      <c r="CI116" s="222"/>
      <c r="CJ116" s="222"/>
      <c r="CK116" s="222"/>
      <c r="CL116" s="222"/>
      <c r="CM116" s="222"/>
      <c r="CN116" s="222"/>
      <c r="CO116" s="222"/>
      <c r="CP116" s="222"/>
      <c r="CQ116" s="222"/>
      <c r="CR116" s="222"/>
      <c r="CS116" s="222"/>
    </row>
    <row r="117">
      <c r="A117" s="43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222"/>
      <c r="AP117" s="222"/>
      <c r="AQ117" s="222"/>
      <c r="AR117" s="222"/>
      <c r="AS117" s="222"/>
      <c r="AT117" s="222"/>
      <c r="AU117" s="222"/>
      <c r="AV117" s="222"/>
      <c r="AW117" s="222"/>
      <c r="AX117" s="222"/>
      <c r="AY117" s="222"/>
      <c r="AZ117" s="222"/>
      <c r="BA117" s="222"/>
      <c r="BB117" s="222"/>
      <c r="BC117" s="222"/>
      <c r="BD117" s="222"/>
      <c r="BE117" s="222"/>
      <c r="BF117" s="222"/>
      <c r="BG117" s="222"/>
      <c r="BH117" s="222"/>
      <c r="BI117" s="222"/>
      <c r="BJ117" s="222"/>
      <c r="BK117" s="222"/>
      <c r="BL117" s="222"/>
      <c r="BM117" s="222"/>
      <c r="BN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  <c r="BX117" s="222"/>
      <c r="BY117" s="222"/>
      <c r="BZ117" s="222"/>
      <c r="CA117" s="222"/>
      <c r="CB117" s="222"/>
      <c r="CC117" s="222"/>
      <c r="CD117" s="222"/>
      <c r="CE117" s="222"/>
      <c r="CF117" s="222"/>
      <c r="CG117" s="222"/>
      <c r="CH117" s="222"/>
      <c r="CI117" s="222"/>
      <c r="CJ117" s="222"/>
      <c r="CK117" s="222"/>
      <c r="CL117" s="222"/>
      <c r="CM117" s="222"/>
      <c r="CN117" s="222"/>
      <c r="CO117" s="222"/>
      <c r="CP117" s="222"/>
      <c r="CQ117" s="222"/>
      <c r="CR117" s="222"/>
      <c r="CS117" s="222"/>
    </row>
    <row r="118">
      <c r="A118" s="43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  <c r="BE118" s="222"/>
      <c r="BF118" s="222"/>
      <c r="BG118" s="222"/>
      <c r="BH118" s="222"/>
      <c r="BI118" s="222"/>
      <c r="BJ118" s="222"/>
      <c r="BK118" s="222"/>
      <c r="BL118" s="222"/>
      <c r="BM118" s="222"/>
      <c r="BN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  <c r="BX118" s="222"/>
      <c r="BY118" s="222"/>
      <c r="BZ118" s="222"/>
      <c r="CA118" s="222"/>
      <c r="CB118" s="222"/>
      <c r="CC118" s="222"/>
      <c r="CD118" s="222"/>
      <c r="CE118" s="222"/>
      <c r="CF118" s="222"/>
      <c r="CG118" s="222"/>
      <c r="CH118" s="222"/>
      <c r="CI118" s="222"/>
      <c r="CJ118" s="222"/>
      <c r="CK118" s="222"/>
      <c r="CL118" s="222"/>
      <c r="CM118" s="222"/>
      <c r="CN118" s="222"/>
      <c r="CO118" s="222"/>
      <c r="CP118" s="222"/>
      <c r="CQ118" s="222"/>
      <c r="CR118" s="222"/>
      <c r="CS118" s="222"/>
    </row>
    <row r="119">
      <c r="A119" s="43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22"/>
      <c r="AZ119" s="222"/>
      <c r="BA119" s="222"/>
      <c r="BB119" s="222"/>
      <c r="BC119" s="222"/>
      <c r="BD119" s="222"/>
      <c r="BE119" s="222"/>
      <c r="BF119" s="222"/>
      <c r="BG119" s="222"/>
      <c r="BH119" s="222"/>
      <c r="BI119" s="222"/>
      <c r="BJ119" s="222"/>
      <c r="BK119" s="222"/>
      <c r="BL119" s="222"/>
      <c r="BM119" s="222"/>
      <c r="BN119" s="222"/>
      <c r="BO119" s="222"/>
      <c r="BP119" s="222"/>
      <c r="BQ119" s="222"/>
      <c r="BR119" s="222"/>
      <c r="BS119" s="222"/>
      <c r="BT119" s="222"/>
      <c r="BU119" s="222"/>
      <c r="BV119" s="222"/>
      <c r="BW119" s="222"/>
      <c r="BX119" s="222"/>
      <c r="BY119" s="222"/>
      <c r="BZ119" s="222"/>
      <c r="CA119" s="222"/>
      <c r="CB119" s="222"/>
      <c r="CC119" s="222"/>
      <c r="CD119" s="222"/>
      <c r="CE119" s="222"/>
      <c r="CF119" s="222"/>
      <c r="CG119" s="222"/>
      <c r="CH119" s="222"/>
      <c r="CI119" s="222"/>
      <c r="CJ119" s="222"/>
      <c r="CK119" s="222"/>
      <c r="CL119" s="222"/>
      <c r="CM119" s="222"/>
      <c r="CN119" s="222"/>
      <c r="CO119" s="222"/>
      <c r="CP119" s="222"/>
      <c r="CQ119" s="222"/>
      <c r="CR119" s="222"/>
      <c r="CS119" s="222"/>
    </row>
    <row r="120">
      <c r="A120" s="43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/>
      <c r="BB120" s="222"/>
      <c r="BC120" s="222"/>
      <c r="BD120" s="222"/>
      <c r="BE120" s="222"/>
      <c r="BF120" s="222"/>
      <c r="BG120" s="222"/>
      <c r="BH120" s="222"/>
      <c r="BI120" s="222"/>
      <c r="BJ120" s="222"/>
      <c r="BK120" s="222"/>
      <c r="BL120" s="222"/>
      <c r="BM120" s="222"/>
      <c r="BN120" s="222"/>
      <c r="BO120" s="222"/>
      <c r="BP120" s="222"/>
      <c r="BQ120" s="222"/>
      <c r="BR120" s="222"/>
      <c r="BS120" s="222"/>
      <c r="BT120" s="222"/>
      <c r="BU120" s="222"/>
      <c r="BV120" s="222"/>
      <c r="BW120" s="222"/>
      <c r="BX120" s="222"/>
      <c r="BY120" s="222"/>
      <c r="BZ120" s="222"/>
      <c r="CA120" s="222"/>
      <c r="CB120" s="222"/>
      <c r="CC120" s="222"/>
      <c r="CD120" s="222"/>
      <c r="CE120" s="222"/>
      <c r="CF120" s="222"/>
      <c r="CG120" s="222"/>
      <c r="CH120" s="222"/>
      <c r="CI120" s="222"/>
      <c r="CJ120" s="222"/>
      <c r="CK120" s="222"/>
      <c r="CL120" s="222"/>
      <c r="CM120" s="222"/>
      <c r="CN120" s="222"/>
      <c r="CO120" s="222"/>
      <c r="CP120" s="222"/>
      <c r="CQ120" s="222"/>
      <c r="CR120" s="222"/>
      <c r="CS120" s="222"/>
    </row>
    <row r="121">
      <c r="A121" s="43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  <c r="AY121" s="222"/>
      <c r="AZ121" s="222"/>
      <c r="BA121" s="222"/>
      <c r="BB121" s="222"/>
      <c r="BC121" s="222"/>
      <c r="BD121" s="222"/>
      <c r="BE121" s="222"/>
      <c r="BF121" s="222"/>
      <c r="BG121" s="222"/>
      <c r="BH121" s="222"/>
      <c r="BI121" s="222"/>
      <c r="BJ121" s="222"/>
      <c r="BK121" s="222"/>
      <c r="BL121" s="222"/>
      <c r="BM121" s="222"/>
      <c r="BN121" s="222"/>
      <c r="BO121" s="222"/>
      <c r="BP121" s="222"/>
      <c r="BQ121" s="222"/>
      <c r="BR121" s="222"/>
      <c r="BS121" s="222"/>
      <c r="BT121" s="222"/>
      <c r="BU121" s="222"/>
      <c r="BV121" s="222"/>
      <c r="BW121" s="222"/>
      <c r="BX121" s="222"/>
      <c r="BY121" s="222"/>
      <c r="BZ121" s="222"/>
      <c r="CA121" s="222"/>
      <c r="CB121" s="222"/>
      <c r="CC121" s="222"/>
      <c r="CD121" s="222"/>
      <c r="CE121" s="222"/>
      <c r="CF121" s="222"/>
      <c r="CG121" s="222"/>
      <c r="CH121" s="222"/>
      <c r="CI121" s="222"/>
      <c r="CJ121" s="222"/>
      <c r="CK121" s="222"/>
      <c r="CL121" s="222"/>
      <c r="CM121" s="222"/>
      <c r="CN121" s="222"/>
      <c r="CO121" s="222"/>
      <c r="CP121" s="222"/>
      <c r="CQ121" s="222"/>
      <c r="CR121" s="222"/>
      <c r="CS121" s="222"/>
    </row>
    <row r="122">
      <c r="A122" s="43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  <c r="BE122" s="222"/>
      <c r="BF122" s="222"/>
      <c r="BG122" s="222"/>
      <c r="BH122" s="222"/>
      <c r="BI122" s="222"/>
      <c r="BJ122" s="222"/>
      <c r="BK122" s="222"/>
      <c r="BL122" s="222"/>
      <c r="BM122" s="222"/>
      <c r="BN122" s="222"/>
      <c r="BO122" s="222"/>
      <c r="BP122" s="222"/>
      <c r="BQ122" s="222"/>
      <c r="BR122" s="222"/>
      <c r="BS122" s="222"/>
      <c r="BT122" s="222"/>
      <c r="BU122" s="222"/>
      <c r="BV122" s="222"/>
      <c r="BW122" s="222"/>
      <c r="BX122" s="222"/>
      <c r="BY122" s="222"/>
      <c r="BZ122" s="222"/>
      <c r="CA122" s="222"/>
      <c r="CB122" s="222"/>
      <c r="CC122" s="222"/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/>
      <c r="CP122" s="222"/>
      <c r="CQ122" s="222"/>
      <c r="CR122" s="222"/>
      <c r="CS122" s="222"/>
    </row>
    <row r="123">
      <c r="A123" s="43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22"/>
      <c r="AZ123" s="222"/>
      <c r="BA123" s="222"/>
      <c r="BB123" s="222"/>
      <c r="BC123" s="222"/>
      <c r="BD123" s="222"/>
      <c r="BE123" s="222"/>
      <c r="BF123" s="222"/>
      <c r="BG123" s="222"/>
      <c r="BH123" s="222"/>
      <c r="BI123" s="222"/>
      <c r="BJ123" s="222"/>
      <c r="BK123" s="222"/>
      <c r="BL123" s="222"/>
      <c r="BM123" s="222"/>
      <c r="BN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  <c r="BX123" s="222"/>
      <c r="BY123" s="222"/>
      <c r="BZ123" s="222"/>
      <c r="CA123" s="222"/>
      <c r="CB123" s="222"/>
      <c r="CC123" s="222"/>
      <c r="CD123" s="222"/>
      <c r="CE123" s="222"/>
      <c r="CF123" s="222"/>
      <c r="CG123" s="222"/>
      <c r="CH123" s="222"/>
      <c r="CI123" s="222"/>
      <c r="CJ123" s="222"/>
      <c r="CK123" s="222"/>
      <c r="CL123" s="222"/>
      <c r="CM123" s="222"/>
      <c r="CN123" s="222"/>
      <c r="CO123" s="222"/>
      <c r="CP123" s="222"/>
      <c r="CQ123" s="222"/>
      <c r="CR123" s="222"/>
      <c r="CS123" s="222"/>
    </row>
    <row r="124">
      <c r="A124" s="43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22"/>
      <c r="AU124" s="222"/>
      <c r="AV124" s="222"/>
      <c r="AW124" s="222"/>
      <c r="AX124" s="222"/>
      <c r="AY124" s="222"/>
      <c r="AZ124" s="222"/>
      <c r="BA124" s="222"/>
      <c r="BB124" s="222"/>
      <c r="BC124" s="222"/>
      <c r="BD124" s="222"/>
      <c r="BE124" s="222"/>
      <c r="BF124" s="222"/>
      <c r="BG124" s="222"/>
      <c r="BH124" s="222"/>
      <c r="BI124" s="222"/>
      <c r="BJ124" s="222"/>
      <c r="BK124" s="222"/>
      <c r="BL124" s="222"/>
      <c r="BM124" s="222"/>
      <c r="BN124" s="222"/>
      <c r="BO124" s="222"/>
      <c r="BP124" s="222"/>
      <c r="BQ124" s="222"/>
      <c r="BR124" s="222"/>
      <c r="BS124" s="222"/>
      <c r="BT124" s="222"/>
      <c r="BU124" s="222"/>
      <c r="BV124" s="222"/>
      <c r="BW124" s="222"/>
      <c r="BX124" s="222"/>
      <c r="BY124" s="222"/>
      <c r="BZ124" s="222"/>
      <c r="CA124" s="222"/>
      <c r="CB124" s="222"/>
      <c r="CC124" s="222"/>
      <c r="CD124" s="222"/>
      <c r="CE124" s="222"/>
      <c r="CF124" s="222"/>
      <c r="CG124" s="222"/>
      <c r="CH124" s="222"/>
      <c r="CI124" s="222"/>
      <c r="CJ124" s="222"/>
      <c r="CK124" s="222"/>
      <c r="CL124" s="222"/>
      <c r="CM124" s="222"/>
      <c r="CN124" s="222"/>
      <c r="CO124" s="222"/>
      <c r="CP124" s="222"/>
      <c r="CQ124" s="222"/>
      <c r="CR124" s="222"/>
      <c r="CS124" s="222"/>
    </row>
    <row r="125">
      <c r="A125" s="43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  <c r="AY125" s="222"/>
      <c r="AZ125" s="222"/>
      <c r="BA125" s="222"/>
      <c r="BB125" s="222"/>
      <c r="BC125" s="222"/>
      <c r="BD125" s="222"/>
      <c r="BE125" s="222"/>
      <c r="BF125" s="222"/>
      <c r="BG125" s="222"/>
      <c r="BH125" s="222"/>
      <c r="BI125" s="222"/>
      <c r="BJ125" s="222"/>
      <c r="BK125" s="222"/>
      <c r="BL125" s="222"/>
      <c r="BM125" s="222"/>
      <c r="BN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  <c r="BX125" s="222"/>
      <c r="BY125" s="222"/>
      <c r="BZ125" s="222"/>
      <c r="CA125" s="222"/>
      <c r="CB125" s="222"/>
      <c r="CC125" s="222"/>
      <c r="CD125" s="222"/>
      <c r="CE125" s="222"/>
      <c r="CF125" s="222"/>
      <c r="CG125" s="222"/>
      <c r="CH125" s="222"/>
      <c r="CI125" s="222"/>
      <c r="CJ125" s="222"/>
      <c r="CK125" s="222"/>
      <c r="CL125" s="222"/>
      <c r="CM125" s="222"/>
      <c r="CN125" s="222"/>
      <c r="CO125" s="222"/>
      <c r="CP125" s="222"/>
      <c r="CQ125" s="222"/>
      <c r="CR125" s="222"/>
      <c r="CS125" s="222"/>
    </row>
    <row r="126">
      <c r="A126" s="43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  <c r="AY126" s="222"/>
      <c r="AZ126" s="222"/>
      <c r="BA126" s="222"/>
      <c r="BB126" s="222"/>
      <c r="BC126" s="222"/>
      <c r="BD126" s="222"/>
      <c r="BE126" s="222"/>
      <c r="BF126" s="222"/>
      <c r="BG126" s="222"/>
      <c r="BH126" s="222"/>
      <c r="BI126" s="222"/>
      <c r="BJ126" s="222"/>
      <c r="BK126" s="222"/>
      <c r="BL126" s="222"/>
      <c r="BM126" s="222"/>
      <c r="BN126" s="222"/>
      <c r="BO126" s="222"/>
      <c r="BP126" s="222"/>
      <c r="BQ126" s="222"/>
      <c r="BR126" s="222"/>
      <c r="BS126" s="222"/>
      <c r="BT126" s="222"/>
      <c r="BU126" s="222"/>
      <c r="BV126" s="222"/>
      <c r="BW126" s="222"/>
      <c r="BX126" s="222"/>
      <c r="BY126" s="222"/>
      <c r="BZ126" s="222"/>
      <c r="CA126" s="222"/>
      <c r="CB126" s="222"/>
      <c r="CC126" s="222"/>
      <c r="CD126" s="222"/>
      <c r="CE126" s="222"/>
      <c r="CF126" s="222"/>
      <c r="CG126" s="222"/>
      <c r="CH126" s="222"/>
      <c r="CI126" s="222"/>
      <c r="CJ126" s="222"/>
      <c r="CK126" s="222"/>
      <c r="CL126" s="222"/>
      <c r="CM126" s="222"/>
      <c r="CN126" s="222"/>
      <c r="CO126" s="222"/>
      <c r="CP126" s="222"/>
      <c r="CQ126" s="222"/>
      <c r="CR126" s="222"/>
      <c r="CS126" s="222"/>
    </row>
    <row r="127">
      <c r="A127" s="43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  <c r="AM127" s="222"/>
      <c r="AN127" s="222"/>
      <c r="AO127" s="222"/>
      <c r="AP127" s="222"/>
      <c r="AQ127" s="222"/>
      <c r="AR127" s="222"/>
      <c r="AS127" s="222"/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222"/>
      <c r="BH127" s="222"/>
      <c r="BI127" s="222"/>
      <c r="BJ127" s="222"/>
      <c r="BK127" s="222"/>
      <c r="BL127" s="222"/>
      <c r="BM127" s="222"/>
      <c r="BN127" s="222"/>
      <c r="BO127" s="222"/>
      <c r="BP127" s="222"/>
      <c r="BQ127" s="222"/>
      <c r="BR127" s="222"/>
      <c r="BS127" s="222"/>
      <c r="BT127" s="222"/>
      <c r="BU127" s="222"/>
      <c r="BV127" s="222"/>
      <c r="BW127" s="222"/>
      <c r="BX127" s="222"/>
      <c r="BY127" s="222"/>
      <c r="BZ127" s="222"/>
      <c r="CA127" s="222"/>
      <c r="CB127" s="222"/>
      <c r="CC127" s="222"/>
      <c r="CD127" s="222"/>
      <c r="CE127" s="222"/>
      <c r="CF127" s="222"/>
      <c r="CG127" s="222"/>
      <c r="CH127" s="222"/>
      <c r="CI127" s="222"/>
      <c r="CJ127" s="222"/>
      <c r="CK127" s="222"/>
      <c r="CL127" s="222"/>
      <c r="CM127" s="222"/>
      <c r="CN127" s="222"/>
      <c r="CO127" s="222"/>
      <c r="CP127" s="222"/>
      <c r="CQ127" s="222"/>
      <c r="CR127" s="222"/>
      <c r="CS127" s="222"/>
    </row>
    <row r="128">
      <c r="A128" s="43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222"/>
      <c r="BH128" s="222"/>
      <c r="BI128" s="222"/>
      <c r="BJ128" s="222"/>
      <c r="BK128" s="222"/>
      <c r="BL128" s="222"/>
      <c r="BM128" s="222"/>
      <c r="BN128" s="222"/>
      <c r="BO128" s="222"/>
      <c r="BP128" s="222"/>
      <c r="BQ128" s="222"/>
      <c r="BR128" s="222"/>
      <c r="BS128" s="222"/>
      <c r="BT128" s="222"/>
      <c r="BU128" s="222"/>
      <c r="BV128" s="222"/>
      <c r="BW128" s="222"/>
      <c r="BX128" s="222"/>
      <c r="BY128" s="222"/>
      <c r="BZ128" s="222"/>
      <c r="CA128" s="222"/>
      <c r="CB128" s="222"/>
      <c r="CC128" s="222"/>
      <c r="CD128" s="222"/>
      <c r="CE128" s="222"/>
      <c r="CF128" s="222"/>
      <c r="CG128" s="222"/>
      <c r="CH128" s="222"/>
      <c r="CI128" s="222"/>
      <c r="CJ128" s="222"/>
      <c r="CK128" s="222"/>
      <c r="CL128" s="222"/>
      <c r="CM128" s="222"/>
      <c r="CN128" s="222"/>
      <c r="CO128" s="222"/>
      <c r="CP128" s="222"/>
      <c r="CQ128" s="222"/>
      <c r="CR128" s="222"/>
      <c r="CS128" s="222"/>
    </row>
    <row r="129">
      <c r="A129" s="43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  <c r="AY129" s="222"/>
      <c r="AZ129" s="222"/>
      <c r="BA129" s="222"/>
      <c r="BB129" s="222"/>
      <c r="BC129" s="222"/>
      <c r="BD129" s="222"/>
      <c r="BE129" s="222"/>
      <c r="BF129" s="222"/>
      <c r="BG129" s="222"/>
      <c r="BH129" s="222"/>
      <c r="BI129" s="222"/>
      <c r="BJ129" s="222"/>
      <c r="BK129" s="222"/>
      <c r="BL129" s="222"/>
      <c r="BM129" s="222"/>
      <c r="BN129" s="222"/>
      <c r="BO129" s="222"/>
      <c r="BP129" s="222"/>
      <c r="BQ129" s="222"/>
      <c r="BR129" s="222"/>
      <c r="BS129" s="222"/>
      <c r="BT129" s="222"/>
      <c r="BU129" s="222"/>
      <c r="BV129" s="222"/>
      <c r="BW129" s="222"/>
      <c r="BX129" s="222"/>
      <c r="BY129" s="222"/>
      <c r="BZ129" s="222"/>
      <c r="CA129" s="222"/>
      <c r="CB129" s="222"/>
      <c r="CC129" s="222"/>
      <c r="CD129" s="222"/>
      <c r="CE129" s="222"/>
      <c r="CF129" s="222"/>
      <c r="CG129" s="222"/>
      <c r="CH129" s="222"/>
      <c r="CI129" s="222"/>
      <c r="CJ129" s="222"/>
      <c r="CK129" s="222"/>
      <c r="CL129" s="222"/>
      <c r="CM129" s="222"/>
      <c r="CN129" s="222"/>
      <c r="CO129" s="222"/>
      <c r="CP129" s="222"/>
      <c r="CQ129" s="222"/>
      <c r="CR129" s="222"/>
      <c r="CS129" s="222"/>
    </row>
    <row r="130">
      <c r="A130" s="43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  <c r="AU130" s="222"/>
      <c r="AV130" s="222"/>
      <c r="AW130" s="222"/>
      <c r="AX130" s="222"/>
      <c r="AY130" s="222"/>
      <c r="AZ130" s="222"/>
      <c r="BA130" s="222"/>
      <c r="BB130" s="222"/>
      <c r="BC130" s="222"/>
      <c r="BD130" s="222"/>
      <c r="BE130" s="222"/>
      <c r="BF130" s="222"/>
      <c r="BG130" s="222"/>
      <c r="BH130" s="222"/>
      <c r="BI130" s="222"/>
      <c r="BJ130" s="222"/>
      <c r="BK130" s="222"/>
      <c r="BL130" s="222"/>
      <c r="BM130" s="222"/>
      <c r="BN130" s="222"/>
      <c r="BO130" s="222"/>
      <c r="BP130" s="222"/>
      <c r="BQ130" s="222"/>
      <c r="BR130" s="222"/>
      <c r="BS130" s="222"/>
      <c r="BT130" s="222"/>
      <c r="BU130" s="222"/>
      <c r="BV130" s="222"/>
      <c r="BW130" s="222"/>
      <c r="BX130" s="222"/>
      <c r="BY130" s="222"/>
      <c r="BZ130" s="222"/>
      <c r="CA130" s="222"/>
      <c r="CB130" s="222"/>
      <c r="CC130" s="222"/>
      <c r="CD130" s="222"/>
      <c r="CE130" s="222"/>
      <c r="CF130" s="222"/>
      <c r="CG130" s="222"/>
      <c r="CH130" s="222"/>
      <c r="CI130" s="222"/>
      <c r="CJ130" s="222"/>
      <c r="CK130" s="222"/>
      <c r="CL130" s="222"/>
      <c r="CM130" s="222"/>
      <c r="CN130" s="222"/>
      <c r="CO130" s="222"/>
      <c r="CP130" s="222"/>
      <c r="CQ130" s="222"/>
      <c r="CR130" s="222"/>
      <c r="CS130" s="222"/>
    </row>
    <row r="131">
      <c r="A131" s="43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22"/>
      <c r="AZ131" s="222"/>
      <c r="BA131" s="222"/>
      <c r="BB131" s="222"/>
      <c r="BC131" s="222"/>
      <c r="BD131" s="222"/>
      <c r="BE131" s="222"/>
      <c r="BF131" s="222"/>
      <c r="BG131" s="222"/>
      <c r="BH131" s="222"/>
      <c r="BI131" s="222"/>
      <c r="BJ131" s="222"/>
      <c r="BK131" s="222"/>
      <c r="BL131" s="222"/>
      <c r="BM131" s="222"/>
      <c r="BN131" s="222"/>
      <c r="BO131" s="222"/>
      <c r="BP131" s="222"/>
      <c r="BQ131" s="222"/>
      <c r="BR131" s="222"/>
      <c r="BS131" s="222"/>
      <c r="BT131" s="222"/>
      <c r="BU131" s="222"/>
      <c r="BV131" s="222"/>
      <c r="BW131" s="222"/>
      <c r="BX131" s="222"/>
      <c r="BY131" s="222"/>
      <c r="BZ131" s="222"/>
      <c r="CA131" s="222"/>
      <c r="CB131" s="222"/>
      <c r="CC131" s="222"/>
      <c r="CD131" s="222"/>
      <c r="CE131" s="222"/>
      <c r="CF131" s="222"/>
      <c r="CG131" s="222"/>
      <c r="CH131" s="222"/>
      <c r="CI131" s="222"/>
      <c r="CJ131" s="222"/>
      <c r="CK131" s="222"/>
      <c r="CL131" s="222"/>
      <c r="CM131" s="222"/>
      <c r="CN131" s="222"/>
      <c r="CO131" s="222"/>
      <c r="CP131" s="222"/>
      <c r="CQ131" s="222"/>
      <c r="CR131" s="222"/>
      <c r="CS131" s="222"/>
    </row>
    <row r="132">
      <c r="A132" s="43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  <c r="AY132" s="222"/>
      <c r="AZ132" s="222"/>
      <c r="BA132" s="222"/>
      <c r="BB132" s="222"/>
      <c r="BC132" s="222"/>
      <c r="BD132" s="222"/>
      <c r="BE132" s="222"/>
      <c r="BF132" s="222"/>
      <c r="BG132" s="222"/>
      <c r="BH132" s="222"/>
      <c r="BI132" s="222"/>
      <c r="BJ132" s="222"/>
      <c r="BK132" s="222"/>
      <c r="BL132" s="222"/>
      <c r="BM132" s="222"/>
      <c r="BN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  <c r="BX132" s="222"/>
      <c r="BY132" s="222"/>
      <c r="BZ132" s="222"/>
      <c r="CA132" s="222"/>
      <c r="CB132" s="222"/>
      <c r="CC132" s="222"/>
      <c r="CD132" s="222"/>
      <c r="CE132" s="222"/>
      <c r="CF132" s="222"/>
      <c r="CG132" s="222"/>
      <c r="CH132" s="222"/>
      <c r="CI132" s="222"/>
      <c r="CJ132" s="222"/>
      <c r="CK132" s="222"/>
      <c r="CL132" s="222"/>
      <c r="CM132" s="222"/>
      <c r="CN132" s="222"/>
      <c r="CO132" s="222"/>
      <c r="CP132" s="222"/>
      <c r="CQ132" s="222"/>
      <c r="CR132" s="222"/>
      <c r="CS132" s="222"/>
    </row>
    <row r="133">
      <c r="A133" s="43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  <c r="AY133" s="222"/>
      <c r="AZ133" s="222"/>
      <c r="BA133" s="222"/>
      <c r="BB133" s="222"/>
      <c r="BC133" s="222"/>
      <c r="BD133" s="222"/>
      <c r="BE133" s="222"/>
      <c r="BF133" s="222"/>
      <c r="BG133" s="222"/>
      <c r="BH133" s="222"/>
      <c r="BI133" s="222"/>
      <c r="BJ133" s="222"/>
      <c r="BK133" s="222"/>
      <c r="BL133" s="222"/>
      <c r="BM133" s="222"/>
      <c r="BN133" s="222"/>
      <c r="BO133" s="222"/>
      <c r="BP133" s="222"/>
      <c r="BQ133" s="222"/>
      <c r="BR133" s="222"/>
      <c r="BS133" s="222"/>
      <c r="BT133" s="222"/>
      <c r="BU133" s="222"/>
      <c r="BV133" s="222"/>
      <c r="BW133" s="222"/>
      <c r="BX133" s="222"/>
      <c r="BY133" s="222"/>
      <c r="BZ133" s="222"/>
      <c r="CA133" s="222"/>
      <c r="CB133" s="222"/>
      <c r="CC133" s="222"/>
      <c r="CD133" s="222"/>
      <c r="CE133" s="222"/>
      <c r="CF133" s="222"/>
      <c r="CG133" s="222"/>
      <c r="CH133" s="222"/>
      <c r="CI133" s="222"/>
      <c r="CJ133" s="222"/>
      <c r="CK133" s="222"/>
      <c r="CL133" s="222"/>
      <c r="CM133" s="222"/>
      <c r="CN133" s="222"/>
      <c r="CO133" s="222"/>
      <c r="CP133" s="222"/>
      <c r="CQ133" s="222"/>
      <c r="CR133" s="222"/>
      <c r="CS133" s="222"/>
    </row>
    <row r="134">
      <c r="A134" s="43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222"/>
      <c r="BH134" s="222"/>
      <c r="BI134" s="222"/>
      <c r="BJ134" s="222"/>
      <c r="BK134" s="222"/>
      <c r="BL134" s="222"/>
      <c r="BM134" s="222"/>
      <c r="BN134" s="222"/>
      <c r="BO134" s="222"/>
      <c r="BP134" s="222"/>
      <c r="BQ134" s="222"/>
      <c r="BR134" s="222"/>
      <c r="BS134" s="222"/>
      <c r="BT134" s="222"/>
      <c r="BU134" s="222"/>
      <c r="BV134" s="222"/>
      <c r="BW134" s="222"/>
      <c r="BX134" s="222"/>
      <c r="BY134" s="222"/>
      <c r="BZ134" s="222"/>
      <c r="CA134" s="222"/>
      <c r="CB134" s="222"/>
      <c r="CC134" s="222"/>
      <c r="CD134" s="222"/>
      <c r="CE134" s="222"/>
      <c r="CF134" s="222"/>
      <c r="CG134" s="222"/>
      <c r="CH134" s="222"/>
      <c r="CI134" s="222"/>
      <c r="CJ134" s="222"/>
      <c r="CK134" s="222"/>
      <c r="CL134" s="222"/>
      <c r="CM134" s="222"/>
      <c r="CN134" s="222"/>
      <c r="CO134" s="222"/>
      <c r="CP134" s="222"/>
      <c r="CQ134" s="222"/>
      <c r="CR134" s="222"/>
      <c r="CS134" s="222"/>
    </row>
    <row r="135">
      <c r="A135" s="43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222"/>
      <c r="BH135" s="222"/>
      <c r="BI135" s="222"/>
      <c r="BJ135" s="222"/>
      <c r="BK135" s="222"/>
      <c r="BL135" s="222"/>
      <c r="BM135" s="222"/>
      <c r="BN135" s="222"/>
      <c r="BO135" s="222"/>
      <c r="BP135" s="222"/>
      <c r="BQ135" s="222"/>
      <c r="BR135" s="222"/>
      <c r="BS135" s="222"/>
      <c r="BT135" s="222"/>
      <c r="BU135" s="222"/>
      <c r="BV135" s="222"/>
      <c r="BW135" s="222"/>
      <c r="BX135" s="222"/>
      <c r="BY135" s="222"/>
      <c r="BZ135" s="222"/>
      <c r="CA135" s="222"/>
      <c r="CB135" s="222"/>
      <c r="CC135" s="222"/>
      <c r="CD135" s="222"/>
      <c r="CE135" s="222"/>
      <c r="CF135" s="222"/>
      <c r="CG135" s="222"/>
      <c r="CH135" s="222"/>
      <c r="CI135" s="222"/>
      <c r="CJ135" s="222"/>
      <c r="CK135" s="222"/>
      <c r="CL135" s="222"/>
      <c r="CM135" s="222"/>
      <c r="CN135" s="222"/>
      <c r="CO135" s="222"/>
      <c r="CP135" s="222"/>
      <c r="CQ135" s="222"/>
      <c r="CR135" s="222"/>
      <c r="CS135" s="222"/>
    </row>
    <row r="136">
      <c r="A136" s="43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22"/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222"/>
      <c r="BH136" s="222"/>
      <c r="BI136" s="222"/>
      <c r="BJ136" s="222"/>
      <c r="BK136" s="222"/>
      <c r="BL136" s="222"/>
      <c r="BM136" s="222"/>
      <c r="BN136" s="222"/>
      <c r="BO136" s="222"/>
      <c r="BP136" s="222"/>
      <c r="BQ136" s="222"/>
      <c r="BR136" s="222"/>
      <c r="BS136" s="222"/>
      <c r="BT136" s="222"/>
      <c r="BU136" s="222"/>
      <c r="BV136" s="222"/>
      <c r="BW136" s="222"/>
      <c r="BX136" s="222"/>
      <c r="BY136" s="222"/>
      <c r="BZ136" s="222"/>
      <c r="CA136" s="222"/>
      <c r="CB136" s="222"/>
      <c r="CC136" s="222"/>
      <c r="CD136" s="222"/>
      <c r="CE136" s="222"/>
      <c r="CF136" s="222"/>
      <c r="CG136" s="222"/>
      <c r="CH136" s="222"/>
      <c r="CI136" s="222"/>
      <c r="CJ136" s="222"/>
      <c r="CK136" s="222"/>
      <c r="CL136" s="222"/>
      <c r="CM136" s="222"/>
      <c r="CN136" s="222"/>
      <c r="CO136" s="222"/>
      <c r="CP136" s="222"/>
      <c r="CQ136" s="222"/>
      <c r="CR136" s="222"/>
      <c r="CS136" s="222"/>
    </row>
    <row r="137">
      <c r="A137" s="43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2"/>
      <c r="BH137" s="222"/>
      <c r="BI137" s="222"/>
      <c r="BJ137" s="222"/>
      <c r="BK137" s="222"/>
      <c r="BL137" s="222"/>
      <c r="BM137" s="222"/>
      <c r="BN137" s="222"/>
      <c r="BO137" s="222"/>
      <c r="BP137" s="222"/>
      <c r="BQ137" s="222"/>
      <c r="BR137" s="222"/>
      <c r="BS137" s="222"/>
      <c r="BT137" s="222"/>
      <c r="BU137" s="222"/>
      <c r="BV137" s="222"/>
      <c r="BW137" s="222"/>
      <c r="BX137" s="222"/>
      <c r="BY137" s="222"/>
      <c r="BZ137" s="222"/>
      <c r="CA137" s="222"/>
      <c r="CB137" s="222"/>
      <c r="CC137" s="222"/>
      <c r="CD137" s="222"/>
      <c r="CE137" s="222"/>
      <c r="CF137" s="222"/>
      <c r="CG137" s="222"/>
      <c r="CH137" s="222"/>
      <c r="CI137" s="222"/>
      <c r="CJ137" s="222"/>
      <c r="CK137" s="222"/>
      <c r="CL137" s="222"/>
      <c r="CM137" s="222"/>
      <c r="CN137" s="222"/>
      <c r="CO137" s="222"/>
      <c r="CP137" s="222"/>
      <c r="CQ137" s="222"/>
      <c r="CR137" s="222"/>
      <c r="CS137" s="222"/>
    </row>
    <row r="138">
      <c r="A138" s="43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222"/>
      <c r="BH138" s="222"/>
      <c r="BI138" s="222"/>
      <c r="BJ138" s="222"/>
      <c r="BK138" s="222"/>
      <c r="BL138" s="222"/>
      <c r="BM138" s="222"/>
      <c r="BN138" s="222"/>
      <c r="BO138" s="222"/>
      <c r="BP138" s="222"/>
      <c r="BQ138" s="222"/>
      <c r="BR138" s="222"/>
      <c r="BS138" s="222"/>
      <c r="BT138" s="222"/>
      <c r="BU138" s="222"/>
      <c r="BV138" s="222"/>
      <c r="BW138" s="222"/>
      <c r="BX138" s="222"/>
      <c r="BY138" s="222"/>
      <c r="BZ138" s="222"/>
      <c r="CA138" s="222"/>
      <c r="CB138" s="222"/>
      <c r="CC138" s="222"/>
      <c r="CD138" s="222"/>
      <c r="CE138" s="222"/>
      <c r="CF138" s="222"/>
      <c r="CG138" s="222"/>
      <c r="CH138" s="222"/>
      <c r="CI138" s="222"/>
      <c r="CJ138" s="222"/>
      <c r="CK138" s="222"/>
      <c r="CL138" s="222"/>
      <c r="CM138" s="222"/>
      <c r="CN138" s="222"/>
      <c r="CO138" s="222"/>
      <c r="CP138" s="222"/>
      <c r="CQ138" s="222"/>
      <c r="CR138" s="222"/>
      <c r="CS138" s="222"/>
    </row>
    <row r="139">
      <c r="A139" s="43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222"/>
      <c r="BH139" s="222"/>
      <c r="BI139" s="222"/>
      <c r="BJ139" s="222"/>
      <c r="BK139" s="222"/>
      <c r="BL139" s="222"/>
      <c r="BM139" s="222"/>
      <c r="BN139" s="222"/>
      <c r="BO139" s="222"/>
      <c r="BP139" s="222"/>
      <c r="BQ139" s="222"/>
      <c r="BR139" s="222"/>
      <c r="BS139" s="222"/>
      <c r="BT139" s="222"/>
      <c r="BU139" s="222"/>
      <c r="BV139" s="222"/>
      <c r="BW139" s="222"/>
      <c r="BX139" s="222"/>
      <c r="BY139" s="222"/>
      <c r="BZ139" s="222"/>
      <c r="CA139" s="222"/>
      <c r="CB139" s="222"/>
      <c r="CC139" s="222"/>
      <c r="CD139" s="222"/>
      <c r="CE139" s="222"/>
      <c r="CF139" s="222"/>
      <c r="CG139" s="222"/>
      <c r="CH139" s="222"/>
      <c r="CI139" s="222"/>
      <c r="CJ139" s="222"/>
      <c r="CK139" s="222"/>
      <c r="CL139" s="222"/>
      <c r="CM139" s="222"/>
      <c r="CN139" s="222"/>
      <c r="CO139" s="222"/>
      <c r="CP139" s="222"/>
      <c r="CQ139" s="222"/>
      <c r="CR139" s="222"/>
      <c r="CS139" s="222"/>
    </row>
    <row r="140">
      <c r="A140" s="43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222"/>
      <c r="BH140" s="222"/>
      <c r="BI140" s="222"/>
      <c r="BJ140" s="222"/>
      <c r="BK140" s="222"/>
      <c r="BL140" s="222"/>
      <c r="BM140" s="222"/>
      <c r="BN140" s="222"/>
      <c r="BO140" s="222"/>
      <c r="BP140" s="222"/>
      <c r="BQ140" s="222"/>
      <c r="BR140" s="222"/>
      <c r="BS140" s="222"/>
      <c r="BT140" s="222"/>
      <c r="BU140" s="222"/>
      <c r="BV140" s="222"/>
      <c r="BW140" s="222"/>
      <c r="BX140" s="222"/>
      <c r="BY140" s="222"/>
      <c r="BZ140" s="222"/>
      <c r="CA140" s="222"/>
      <c r="CB140" s="222"/>
      <c r="CC140" s="222"/>
      <c r="CD140" s="222"/>
      <c r="CE140" s="222"/>
      <c r="CF140" s="222"/>
      <c r="CG140" s="222"/>
      <c r="CH140" s="222"/>
      <c r="CI140" s="222"/>
      <c r="CJ140" s="222"/>
      <c r="CK140" s="222"/>
      <c r="CL140" s="222"/>
      <c r="CM140" s="222"/>
      <c r="CN140" s="222"/>
      <c r="CO140" s="222"/>
      <c r="CP140" s="222"/>
      <c r="CQ140" s="222"/>
      <c r="CR140" s="222"/>
      <c r="CS140" s="222"/>
    </row>
    <row r="141">
      <c r="A141" s="43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22"/>
      <c r="AU141" s="222"/>
      <c r="AV141" s="222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222"/>
      <c r="BH141" s="222"/>
      <c r="BI141" s="222"/>
      <c r="BJ141" s="222"/>
      <c r="BK141" s="222"/>
      <c r="BL141" s="222"/>
      <c r="BM141" s="222"/>
      <c r="BN141" s="222"/>
      <c r="BO141" s="222"/>
      <c r="BP141" s="222"/>
      <c r="BQ141" s="222"/>
      <c r="BR141" s="222"/>
      <c r="BS141" s="222"/>
      <c r="BT141" s="222"/>
      <c r="BU141" s="222"/>
      <c r="BV141" s="222"/>
      <c r="BW141" s="222"/>
      <c r="BX141" s="222"/>
      <c r="BY141" s="222"/>
      <c r="BZ141" s="222"/>
      <c r="CA141" s="222"/>
      <c r="CB141" s="222"/>
      <c r="CC141" s="222"/>
      <c r="CD141" s="222"/>
      <c r="CE141" s="222"/>
      <c r="CF141" s="222"/>
      <c r="CG141" s="222"/>
      <c r="CH141" s="222"/>
      <c r="CI141" s="222"/>
      <c r="CJ141" s="222"/>
      <c r="CK141" s="222"/>
      <c r="CL141" s="222"/>
      <c r="CM141" s="222"/>
      <c r="CN141" s="222"/>
      <c r="CO141" s="222"/>
      <c r="CP141" s="222"/>
      <c r="CQ141" s="222"/>
      <c r="CR141" s="222"/>
      <c r="CS141" s="222"/>
    </row>
    <row r="142">
      <c r="A142" s="43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2"/>
      <c r="BH142" s="222"/>
      <c r="BI142" s="222"/>
      <c r="BJ142" s="222"/>
      <c r="BK142" s="222"/>
      <c r="BL142" s="222"/>
      <c r="BM142" s="222"/>
      <c r="BN142" s="222"/>
      <c r="BO142" s="222"/>
      <c r="BP142" s="222"/>
      <c r="BQ142" s="222"/>
      <c r="BR142" s="222"/>
      <c r="BS142" s="222"/>
      <c r="BT142" s="222"/>
      <c r="BU142" s="222"/>
      <c r="BV142" s="222"/>
      <c r="BW142" s="222"/>
      <c r="BX142" s="222"/>
      <c r="BY142" s="222"/>
      <c r="BZ142" s="222"/>
      <c r="CA142" s="222"/>
      <c r="CB142" s="222"/>
      <c r="CC142" s="222"/>
      <c r="CD142" s="222"/>
      <c r="CE142" s="222"/>
      <c r="CF142" s="222"/>
      <c r="CG142" s="222"/>
      <c r="CH142" s="222"/>
      <c r="CI142" s="222"/>
      <c r="CJ142" s="222"/>
      <c r="CK142" s="222"/>
      <c r="CL142" s="222"/>
      <c r="CM142" s="222"/>
      <c r="CN142" s="222"/>
      <c r="CO142" s="222"/>
      <c r="CP142" s="222"/>
      <c r="CQ142" s="222"/>
      <c r="CR142" s="222"/>
      <c r="CS142" s="222"/>
    </row>
    <row r="143">
      <c r="A143" s="43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22"/>
      <c r="AP143" s="222"/>
      <c r="AQ143" s="222"/>
      <c r="AR143" s="222"/>
      <c r="AS143" s="222"/>
      <c r="AT143" s="222"/>
      <c r="AU143" s="222"/>
      <c r="AV143" s="222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222"/>
      <c r="BH143" s="222"/>
      <c r="BI143" s="222"/>
      <c r="BJ143" s="222"/>
      <c r="BK143" s="222"/>
      <c r="BL143" s="222"/>
      <c r="BM143" s="222"/>
      <c r="BN143" s="222"/>
      <c r="BO143" s="222"/>
      <c r="BP143" s="222"/>
      <c r="BQ143" s="222"/>
      <c r="BR143" s="222"/>
      <c r="BS143" s="222"/>
      <c r="BT143" s="222"/>
      <c r="BU143" s="222"/>
      <c r="BV143" s="222"/>
      <c r="BW143" s="222"/>
      <c r="BX143" s="222"/>
      <c r="BY143" s="222"/>
      <c r="BZ143" s="222"/>
      <c r="CA143" s="222"/>
      <c r="CB143" s="222"/>
      <c r="CC143" s="222"/>
      <c r="CD143" s="222"/>
      <c r="CE143" s="222"/>
      <c r="CF143" s="222"/>
      <c r="CG143" s="222"/>
      <c r="CH143" s="222"/>
      <c r="CI143" s="222"/>
      <c r="CJ143" s="222"/>
      <c r="CK143" s="222"/>
      <c r="CL143" s="222"/>
      <c r="CM143" s="222"/>
      <c r="CN143" s="222"/>
      <c r="CO143" s="222"/>
      <c r="CP143" s="222"/>
      <c r="CQ143" s="222"/>
      <c r="CR143" s="222"/>
      <c r="CS143" s="222"/>
    </row>
    <row r="144">
      <c r="A144" s="43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  <c r="BX144" s="222"/>
      <c r="BY144" s="222"/>
      <c r="BZ144" s="222"/>
      <c r="CA144" s="222"/>
      <c r="CB144" s="222"/>
      <c r="CC144" s="222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22"/>
      <c r="CR144" s="222"/>
      <c r="CS144" s="222"/>
    </row>
    <row r="145">
      <c r="A145" s="43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22"/>
      <c r="AU145" s="222"/>
      <c r="AV145" s="222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222"/>
      <c r="BH145" s="222"/>
      <c r="BI145" s="222"/>
      <c r="BJ145" s="222"/>
      <c r="BK145" s="222"/>
      <c r="BL145" s="222"/>
      <c r="BM145" s="222"/>
      <c r="BN145" s="222"/>
      <c r="BO145" s="222"/>
      <c r="BP145" s="222"/>
      <c r="BQ145" s="222"/>
      <c r="BR145" s="222"/>
      <c r="BS145" s="222"/>
      <c r="BT145" s="222"/>
      <c r="BU145" s="222"/>
      <c r="BV145" s="222"/>
      <c r="BW145" s="222"/>
      <c r="BX145" s="222"/>
      <c r="BY145" s="222"/>
      <c r="BZ145" s="222"/>
      <c r="CA145" s="222"/>
      <c r="CB145" s="222"/>
      <c r="CC145" s="222"/>
      <c r="CD145" s="222"/>
      <c r="CE145" s="222"/>
      <c r="CF145" s="222"/>
      <c r="CG145" s="222"/>
      <c r="CH145" s="222"/>
      <c r="CI145" s="222"/>
      <c r="CJ145" s="222"/>
      <c r="CK145" s="222"/>
      <c r="CL145" s="222"/>
      <c r="CM145" s="222"/>
      <c r="CN145" s="222"/>
      <c r="CO145" s="222"/>
      <c r="CP145" s="222"/>
      <c r="CQ145" s="222"/>
      <c r="CR145" s="222"/>
      <c r="CS145" s="222"/>
    </row>
    <row r="146">
      <c r="A146" s="43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222"/>
      <c r="BH146" s="222"/>
      <c r="BI146" s="222"/>
      <c r="BJ146" s="222"/>
      <c r="BK146" s="222"/>
      <c r="BL146" s="222"/>
      <c r="BM146" s="222"/>
      <c r="BN146" s="222"/>
      <c r="BO146" s="222"/>
      <c r="BP146" s="222"/>
      <c r="BQ146" s="222"/>
      <c r="BR146" s="222"/>
      <c r="BS146" s="222"/>
      <c r="BT146" s="222"/>
      <c r="BU146" s="222"/>
      <c r="BV146" s="222"/>
      <c r="BW146" s="222"/>
      <c r="BX146" s="222"/>
      <c r="BY146" s="222"/>
      <c r="BZ146" s="222"/>
      <c r="CA146" s="222"/>
      <c r="CB146" s="222"/>
      <c r="CC146" s="222"/>
      <c r="CD146" s="222"/>
      <c r="CE146" s="222"/>
      <c r="CF146" s="222"/>
      <c r="CG146" s="222"/>
      <c r="CH146" s="222"/>
      <c r="CI146" s="222"/>
      <c r="CJ146" s="222"/>
      <c r="CK146" s="222"/>
      <c r="CL146" s="222"/>
      <c r="CM146" s="222"/>
      <c r="CN146" s="222"/>
      <c r="CO146" s="222"/>
      <c r="CP146" s="222"/>
      <c r="CQ146" s="222"/>
      <c r="CR146" s="222"/>
      <c r="CS146" s="222"/>
    </row>
    <row r="147">
      <c r="A147" s="43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  <c r="AV147" s="222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222"/>
      <c r="BH147" s="222"/>
      <c r="BI147" s="222"/>
      <c r="BJ147" s="222"/>
      <c r="BK147" s="222"/>
      <c r="BL147" s="222"/>
      <c r="BM147" s="222"/>
      <c r="BN147" s="222"/>
      <c r="BO147" s="222"/>
      <c r="BP147" s="222"/>
      <c r="BQ147" s="222"/>
      <c r="BR147" s="222"/>
      <c r="BS147" s="222"/>
      <c r="BT147" s="222"/>
      <c r="BU147" s="222"/>
      <c r="BV147" s="222"/>
      <c r="BW147" s="222"/>
      <c r="BX147" s="222"/>
      <c r="BY147" s="222"/>
      <c r="BZ147" s="222"/>
      <c r="CA147" s="222"/>
      <c r="CB147" s="222"/>
      <c r="CC147" s="222"/>
      <c r="CD147" s="222"/>
      <c r="CE147" s="222"/>
      <c r="CF147" s="222"/>
      <c r="CG147" s="222"/>
      <c r="CH147" s="222"/>
      <c r="CI147" s="222"/>
      <c r="CJ147" s="222"/>
      <c r="CK147" s="222"/>
      <c r="CL147" s="222"/>
      <c r="CM147" s="222"/>
      <c r="CN147" s="222"/>
      <c r="CO147" s="222"/>
      <c r="CP147" s="222"/>
      <c r="CQ147" s="222"/>
      <c r="CR147" s="222"/>
      <c r="CS147" s="222"/>
    </row>
    <row r="148">
      <c r="A148" s="43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22"/>
      <c r="AP148" s="222"/>
      <c r="AQ148" s="222"/>
      <c r="AR148" s="222"/>
      <c r="AS148" s="222"/>
      <c r="AT148" s="222"/>
      <c r="AU148" s="222"/>
      <c r="AV148" s="222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222"/>
      <c r="BH148" s="222"/>
      <c r="BI148" s="222"/>
      <c r="BJ148" s="222"/>
      <c r="BK148" s="222"/>
      <c r="BL148" s="222"/>
      <c r="BM148" s="222"/>
      <c r="BN148" s="222"/>
      <c r="BO148" s="222"/>
      <c r="BP148" s="222"/>
      <c r="BQ148" s="222"/>
      <c r="BR148" s="222"/>
      <c r="BS148" s="222"/>
      <c r="BT148" s="222"/>
      <c r="BU148" s="222"/>
      <c r="BV148" s="222"/>
      <c r="BW148" s="222"/>
      <c r="BX148" s="222"/>
      <c r="BY148" s="222"/>
      <c r="BZ148" s="222"/>
      <c r="CA148" s="222"/>
      <c r="CB148" s="222"/>
      <c r="CC148" s="222"/>
      <c r="CD148" s="222"/>
      <c r="CE148" s="222"/>
      <c r="CF148" s="222"/>
      <c r="CG148" s="222"/>
      <c r="CH148" s="222"/>
      <c r="CI148" s="222"/>
      <c r="CJ148" s="222"/>
      <c r="CK148" s="222"/>
      <c r="CL148" s="222"/>
      <c r="CM148" s="222"/>
      <c r="CN148" s="222"/>
      <c r="CO148" s="222"/>
      <c r="CP148" s="222"/>
      <c r="CQ148" s="222"/>
      <c r="CR148" s="222"/>
      <c r="CS148" s="222"/>
    </row>
    <row r="149">
      <c r="A149" s="43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  <c r="BQ149" s="222"/>
      <c r="BR149" s="222"/>
      <c r="BS149" s="222"/>
      <c r="BT149" s="222"/>
      <c r="BU149" s="222"/>
      <c r="BV149" s="222"/>
      <c r="BW149" s="222"/>
      <c r="BX149" s="222"/>
      <c r="BY149" s="222"/>
      <c r="BZ149" s="222"/>
      <c r="CA149" s="222"/>
      <c r="CB149" s="222"/>
      <c r="CC149" s="222"/>
      <c r="CD149" s="222"/>
      <c r="CE149" s="222"/>
      <c r="CF149" s="222"/>
      <c r="CG149" s="222"/>
      <c r="CH149" s="222"/>
      <c r="CI149" s="222"/>
      <c r="CJ149" s="222"/>
      <c r="CK149" s="222"/>
      <c r="CL149" s="222"/>
      <c r="CM149" s="222"/>
      <c r="CN149" s="222"/>
      <c r="CO149" s="222"/>
      <c r="CP149" s="222"/>
      <c r="CQ149" s="222"/>
      <c r="CR149" s="222"/>
      <c r="CS149" s="222"/>
    </row>
    <row r="150">
      <c r="A150" s="43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222"/>
      <c r="BH150" s="222"/>
      <c r="BI150" s="222"/>
      <c r="BJ150" s="222"/>
      <c r="BK150" s="222"/>
      <c r="BL150" s="222"/>
      <c r="BM150" s="222"/>
      <c r="BN150" s="222"/>
      <c r="BO150" s="222"/>
      <c r="BP150" s="222"/>
      <c r="BQ150" s="222"/>
      <c r="BR150" s="222"/>
      <c r="BS150" s="222"/>
      <c r="BT150" s="222"/>
      <c r="BU150" s="222"/>
      <c r="BV150" s="222"/>
      <c r="BW150" s="222"/>
      <c r="BX150" s="222"/>
      <c r="BY150" s="222"/>
      <c r="BZ150" s="222"/>
      <c r="CA150" s="222"/>
      <c r="CB150" s="222"/>
      <c r="CC150" s="222"/>
      <c r="CD150" s="222"/>
      <c r="CE150" s="222"/>
      <c r="CF150" s="222"/>
      <c r="CG150" s="222"/>
      <c r="CH150" s="222"/>
      <c r="CI150" s="222"/>
      <c r="CJ150" s="222"/>
      <c r="CK150" s="222"/>
      <c r="CL150" s="222"/>
      <c r="CM150" s="222"/>
      <c r="CN150" s="222"/>
      <c r="CO150" s="222"/>
      <c r="CP150" s="222"/>
      <c r="CQ150" s="222"/>
      <c r="CR150" s="222"/>
      <c r="CS150" s="222"/>
    </row>
    <row r="151">
      <c r="A151" s="43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222"/>
      <c r="BH151" s="222"/>
      <c r="BI151" s="222"/>
      <c r="BJ151" s="222"/>
      <c r="BK151" s="222"/>
      <c r="BL151" s="222"/>
      <c r="BM151" s="222"/>
      <c r="BN151" s="222"/>
      <c r="BO151" s="222"/>
      <c r="BP151" s="222"/>
      <c r="BQ151" s="222"/>
      <c r="BR151" s="222"/>
      <c r="BS151" s="222"/>
      <c r="BT151" s="222"/>
      <c r="BU151" s="222"/>
      <c r="BV151" s="222"/>
      <c r="BW151" s="222"/>
      <c r="BX151" s="222"/>
      <c r="BY151" s="222"/>
      <c r="BZ151" s="222"/>
      <c r="CA151" s="222"/>
      <c r="CB151" s="222"/>
      <c r="CC151" s="222"/>
      <c r="CD151" s="222"/>
      <c r="CE151" s="222"/>
      <c r="CF151" s="222"/>
      <c r="CG151" s="222"/>
      <c r="CH151" s="222"/>
      <c r="CI151" s="222"/>
      <c r="CJ151" s="222"/>
      <c r="CK151" s="222"/>
      <c r="CL151" s="222"/>
      <c r="CM151" s="222"/>
      <c r="CN151" s="222"/>
      <c r="CO151" s="222"/>
      <c r="CP151" s="222"/>
      <c r="CQ151" s="222"/>
      <c r="CR151" s="222"/>
      <c r="CS151" s="222"/>
    </row>
    <row r="152">
      <c r="A152" s="43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22"/>
      <c r="AP152" s="222"/>
      <c r="AQ152" s="222"/>
      <c r="AR152" s="222"/>
      <c r="AS152" s="222"/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2"/>
      <c r="BH152" s="222"/>
      <c r="BI152" s="222"/>
      <c r="BJ152" s="222"/>
      <c r="BK152" s="222"/>
      <c r="BL152" s="222"/>
      <c r="BM152" s="222"/>
      <c r="BN152" s="222"/>
      <c r="BO152" s="222"/>
      <c r="BP152" s="222"/>
      <c r="BQ152" s="222"/>
      <c r="BR152" s="222"/>
      <c r="BS152" s="222"/>
      <c r="BT152" s="222"/>
      <c r="BU152" s="222"/>
      <c r="BV152" s="222"/>
      <c r="BW152" s="222"/>
      <c r="BX152" s="222"/>
      <c r="BY152" s="222"/>
      <c r="BZ152" s="222"/>
      <c r="CA152" s="222"/>
      <c r="CB152" s="222"/>
      <c r="CC152" s="222"/>
      <c r="CD152" s="222"/>
      <c r="CE152" s="222"/>
      <c r="CF152" s="222"/>
      <c r="CG152" s="222"/>
      <c r="CH152" s="222"/>
      <c r="CI152" s="222"/>
      <c r="CJ152" s="222"/>
      <c r="CK152" s="222"/>
      <c r="CL152" s="222"/>
      <c r="CM152" s="222"/>
      <c r="CN152" s="222"/>
      <c r="CO152" s="222"/>
      <c r="CP152" s="222"/>
      <c r="CQ152" s="222"/>
      <c r="CR152" s="222"/>
      <c r="CS152" s="222"/>
    </row>
    <row r="153">
      <c r="A153" s="43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  <c r="BX153" s="222"/>
      <c r="BY153" s="222"/>
      <c r="BZ153" s="222"/>
      <c r="CA153" s="222"/>
      <c r="CB153" s="222"/>
      <c r="CC153" s="222"/>
      <c r="CD153" s="222"/>
      <c r="CE153" s="222"/>
      <c r="CF153" s="222"/>
      <c r="CG153" s="222"/>
      <c r="CH153" s="222"/>
      <c r="CI153" s="222"/>
      <c r="CJ153" s="222"/>
      <c r="CK153" s="222"/>
      <c r="CL153" s="222"/>
      <c r="CM153" s="222"/>
      <c r="CN153" s="222"/>
      <c r="CO153" s="222"/>
      <c r="CP153" s="222"/>
      <c r="CQ153" s="222"/>
      <c r="CR153" s="222"/>
      <c r="CS153" s="222"/>
    </row>
    <row r="154">
      <c r="A154" s="43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2"/>
      <c r="BH154" s="222"/>
      <c r="BI154" s="222"/>
      <c r="BJ154" s="222"/>
      <c r="BK154" s="222"/>
      <c r="BL154" s="222"/>
      <c r="BM154" s="222"/>
      <c r="BN154" s="222"/>
      <c r="BO154" s="222"/>
      <c r="BP154" s="222"/>
      <c r="BQ154" s="222"/>
      <c r="BR154" s="222"/>
      <c r="BS154" s="222"/>
      <c r="BT154" s="222"/>
      <c r="BU154" s="222"/>
      <c r="BV154" s="222"/>
      <c r="BW154" s="222"/>
      <c r="BX154" s="222"/>
      <c r="BY154" s="222"/>
      <c r="BZ154" s="222"/>
      <c r="CA154" s="222"/>
      <c r="CB154" s="222"/>
      <c r="CC154" s="222"/>
      <c r="CD154" s="222"/>
      <c r="CE154" s="222"/>
      <c r="CF154" s="222"/>
      <c r="CG154" s="222"/>
      <c r="CH154" s="222"/>
      <c r="CI154" s="222"/>
      <c r="CJ154" s="222"/>
      <c r="CK154" s="222"/>
      <c r="CL154" s="222"/>
      <c r="CM154" s="222"/>
      <c r="CN154" s="222"/>
      <c r="CO154" s="222"/>
      <c r="CP154" s="222"/>
      <c r="CQ154" s="222"/>
      <c r="CR154" s="222"/>
      <c r="CS154" s="222"/>
    </row>
    <row r="155">
      <c r="A155" s="43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  <c r="BX155" s="222"/>
      <c r="BY155" s="222"/>
      <c r="BZ155" s="222"/>
      <c r="CA155" s="222"/>
      <c r="CB155" s="222"/>
      <c r="CC155" s="222"/>
      <c r="CD155" s="222"/>
      <c r="CE155" s="222"/>
      <c r="CF155" s="222"/>
      <c r="CG155" s="222"/>
      <c r="CH155" s="222"/>
      <c r="CI155" s="222"/>
      <c r="CJ155" s="222"/>
      <c r="CK155" s="222"/>
      <c r="CL155" s="222"/>
      <c r="CM155" s="222"/>
      <c r="CN155" s="222"/>
      <c r="CO155" s="222"/>
      <c r="CP155" s="222"/>
      <c r="CQ155" s="222"/>
      <c r="CR155" s="222"/>
      <c r="CS155" s="222"/>
    </row>
    <row r="156">
      <c r="A156" s="43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2"/>
      <c r="BH156" s="222"/>
      <c r="BI156" s="222"/>
      <c r="BJ156" s="222"/>
      <c r="BK156" s="222"/>
      <c r="BL156" s="222"/>
      <c r="BM156" s="222"/>
      <c r="BN156" s="222"/>
      <c r="BO156" s="222"/>
      <c r="BP156" s="222"/>
      <c r="BQ156" s="222"/>
      <c r="BR156" s="222"/>
      <c r="BS156" s="222"/>
      <c r="BT156" s="222"/>
      <c r="BU156" s="222"/>
      <c r="BV156" s="222"/>
      <c r="BW156" s="222"/>
      <c r="BX156" s="222"/>
      <c r="BY156" s="222"/>
      <c r="BZ156" s="222"/>
      <c r="CA156" s="222"/>
      <c r="CB156" s="222"/>
      <c r="CC156" s="222"/>
      <c r="CD156" s="222"/>
      <c r="CE156" s="222"/>
      <c r="CF156" s="222"/>
      <c r="CG156" s="222"/>
      <c r="CH156" s="222"/>
      <c r="CI156" s="222"/>
      <c r="CJ156" s="222"/>
      <c r="CK156" s="222"/>
      <c r="CL156" s="222"/>
      <c r="CM156" s="222"/>
      <c r="CN156" s="222"/>
      <c r="CO156" s="222"/>
      <c r="CP156" s="222"/>
      <c r="CQ156" s="222"/>
      <c r="CR156" s="222"/>
      <c r="CS156" s="222"/>
    </row>
    <row r="157">
      <c r="A157" s="43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  <c r="BQ157" s="222"/>
      <c r="BR157" s="222"/>
      <c r="BS157" s="222"/>
      <c r="BT157" s="222"/>
      <c r="BU157" s="222"/>
      <c r="BV157" s="222"/>
      <c r="BW157" s="222"/>
      <c r="BX157" s="222"/>
      <c r="BY157" s="222"/>
      <c r="BZ157" s="222"/>
      <c r="CA157" s="222"/>
      <c r="CB157" s="222"/>
      <c r="CC157" s="222"/>
      <c r="CD157" s="222"/>
      <c r="CE157" s="222"/>
      <c r="CF157" s="222"/>
      <c r="CG157" s="222"/>
      <c r="CH157" s="222"/>
      <c r="CI157" s="222"/>
      <c r="CJ157" s="222"/>
      <c r="CK157" s="222"/>
      <c r="CL157" s="222"/>
      <c r="CM157" s="222"/>
      <c r="CN157" s="222"/>
      <c r="CO157" s="222"/>
      <c r="CP157" s="222"/>
      <c r="CQ157" s="222"/>
      <c r="CR157" s="222"/>
      <c r="CS157" s="222"/>
    </row>
    <row r="158">
      <c r="A158" s="43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222"/>
      <c r="AP158" s="222"/>
      <c r="AQ158" s="222"/>
      <c r="AR158" s="222"/>
      <c r="AS158" s="222"/>
      <c r="AT158" s="222"/>
      <c r="AU158" s="222"/>
      <c r="AV158" s="222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222"/>
      <c r="BH158" s="222"/>
      <c r="BI158" s="222"/>
      <c r="BJ158" s="222"/>
      <c r="BK158" s="222"/>
      <c r="BL158" s="222"/>
      <c r="BM158" s="222"/>
      <c r="BN158" s="222"/>
      <c r="BO158" s="222"/>
      <c r="BP158" s="222"/>
      <c r="BQ158" s="222"/>
      <c r="BR158" s="222"/>
      <c r="BS158" s="222"/>
      <c r="BT158" s="222"/>
      <c r="BU158" s="222"/>
      <c r="BV158" s="222"/>
      <c r="BW158" s="222"/>
      <c r="BX158" s="222"/>
      <c r="BY158" s="222"/>
      <c r="BZ158" s="222"/>
      <c r="CA158" s="222"/>
      <c r="CB158" s="222"/>
      <c r="CC158" s="222"/>
      <c r="CD158" s="222"/>
      <c r="CE158" s="222"/>
      <c r="CF158" s="222"/>
      <c r="CG158" s="222"/>
      <c r="CH158" s="222"/>
      <c r="CI158" s="222"/>
      <c r="CJ158" s="222"/>
      <c r="CK158" s="222"/>
      <c r="CL158" s="222"/>
      <c r="CM158" s="222"/>
      <c r="CN158" s="222"/>
      <c r="CO158" s="222"/>
      <c r="CP158" s="222"/>
      <c r="CQ158" s="222"/>
      <c r="CR158" s="222"/>
      <c r="CS158" s="222"/>
    </row>
    <row r="159">
      <c r="A159" s="43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  <c r="BX159" s="222"/>
      <c r="BY159" s="222"/>
      <c r="BZ159" s="222"/>
      <c r="CA159" s="222"/>
      <c r="CB159" s="222"/>
      <c r="CC159" s="222"/>
      <c r="CD159" s="222"/>
      <c r="CE159" s="222"/>
      <c r="CF159" s="222"/>
      <c r="CG159" s="222"/>
      <c r="CH159" s="222"/>
      <c r="CI159" s="222"/>
      <c r="CJ159" s="222"/>
      <c r="CK159" s="222"/>
      <c r="CL159" s="222"/>
      <c r="CM159" s="222"/>
      <c r="CN159" s="222"/>
      <c r="CO159" s="222"/>
      <c r="CP159" s="222"/>
      <c r="CQ159" s="222"/>
      <c r="CR159" s="222"/>
      <c r="CS159" s="222"/>
    </row>
    <row r="160">
      <c r="A160" s="43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22"/>
      <c r="AU160" s="222"/>
      <c r="AV160" s="222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222"/>
      <c r="BH160" s="222"/>
      <c r="BI160" s="222"/>
      <c r="BJ160" s="222"/>
      <c r="BK160" s="222"/>
      <c r="BL160" s="222"/>
      <c r="BM160" s="222"/>
      <c r="BN160" s="222"/>
      <c r="BO160" s="222"/>
      <c r="BP160" s="222"/>
      <c r="BQ160" s="222"/>
      <c r="BR160" s="222"/>
      <c r="BS160" s="222"/>
      <c r="BT160" s="222"/>
      <c r="BU160" s="222"/>
      <c r="BV160" s="222"/>
      <c r="BW160" s="222"/>
      <c r="BX160" s="222"/>
      <c r="BY160" s="222"/>
      <c r="BZ160" s="222"/>
      <c r="CA160" s="222"/>
      <c r="CB160" s="222"/>
      <c r="CC160" s="222"/>
      <c r="CD160" s="222"/>
      <c r="CE160" s="222"/>
      <c r="CF160" s="222"/>
      <c r="CG160" s="222"/>
      <c r="CH160" s="222"/>
      <c r="CI160" s="222"/>
      <c r="CJ160" s="222"/>
      <c r="CK160" s="222"/>
      <c r="CL160" s="222"/>
      <c r="CM160" s="222"/>
      <c r="CN160" s="222"/>
      <c r="CO160" s="222"/>
      <c r="CP160" s="222"/>
      <c r="CQ160" s="222"/>
      <c r="CR160" s="222"/>
      <c r="CS160" s="222"/>
    </row>
    <row r="161">
      <c r="A161" s="43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22"/>
      <c r="AU161" s="222"/>
      <c r="AV161" s="222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222"/>
      <c r="BH161" s="222"/>
      <c r="BI161" s="222"/>
      <c r="BJ161" s="222"/>
      <c r="BK161" s="222"/>
      <c r="BL161" s="222"/>
      <c r="BM161" s="222"/>
      <c r="BN161" s="222"/>
      <c r="BO161" s="222"/>
      <c r="BP161" s="222"/>
      <c r="BQ161" s="222"/>
      <c r="BR161" s="222"/>
      <c r="BS161" s="222"/>
      <c r="BT161" s="222"/>
      <c r="BU161" s="222"/>
      <c r="BV161" s="222"/>
      <c r="BW161" s="222"/>
      <c r="BX161" s="222"/>
      <c r="BY161" s="222"/>
      <c r="BZ161" s="222"/>
      <c r="CA161" s="222"/>
      <c r="CB161" s="222"/>
      <c r="CC161" s="222"/>
      <c r="CD161" s="222"/>
      <c r="CE161" s="222"/>
      <c r="CF161" s="222"/>
      <c r="CG161" s="222"/>
      <c r="CH161" s="222"/>
      <c r="CI161" s="222"/>
      <c r="CJ161" s="222"/>
      <c r="CK161" s="222"/>
      <c r="CL161" s="222"/>
      <c r="CM161" s="222"/>
      <c r="CN161" s="222"/>
      <c r="CO161" s="222"/>
      <c r="CP161" s="222"/>
      <c r="CQ161" s="222"/>
      <c r="CR161" s="222"/>
      <c r="CS161" s="222"/>
    </row>
    <row r="162">
      <c r="A162" s="43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222"/>
      <c r="AP162" s="222"/>
      <c r="AQ162" s="222"/>
      <c r="AR162" s="222"/>
      <c r="AS162" s="222"/>
      <c r="AT162" s="222"/>
      <c r="AU162" s="222"/>
      <c r="AV162" s="222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222"/>
      <c r="BH162" s="222"/>
      <c r="BI162" s="222"/>
      <c r="BJ162" s="222"/>
      <c r="BK162" s="222"/>
      <c r="BL162" s="222"/>
      <c r="BM162" s="222"/>
      <c r="BN162" s="222"/>
      <c r="BO162" s="222"/>
      <c r="BP162" s="222"/>
      <c r="BQ162" s="222"/>
      <c r="BR162" s="222"/>
      <c r="BS162" s="222"/>
      <c r="BT162" s="222"/>
      <c r="BU162" s="222"/>
      <c r="BV162" s="222"/>
      <c r="BW162" s="222"/>
      <c r="BX162" s="222"/>
      <c r="BY162" s="222"/>
      <c r="BZ162" s="222"/>
      <c r="CA162" s="222"/>
      <c r="CB162" s="222"/>
      <c r="CC162" s="222"/>
      <c r="CD162" s="222"/>
      <c r="CE162" s="222"/>
      <c r="CF162" s="222"/>
      <c r="CG162" s="222"/>
      <c r="CH162" s="222"/>
      <c r="CI162" s="222"/>
      <c r="CJ162" s="222"/>
      <c r="CK162" s="222"/>
      <c r="CL162" s="222"/>
      <c r="CM162" s="222"/>
      <c r="CN162" s="222"/>
      <c r="CO162" s="222"/>
      <c r="CP162" s="222"/>
      <c r="CQ162" s="222"/>
      <c r="CR162" s="222"/>
      <c r="CS162" s="222"/>
    </row>
    <row r="163">
      <c r="A163" s="43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222"/>
      <c r="AP163" s="222"/>
      <c r="AQ163" s="222"/>
      <c r="AR163" s="222"/>
      <c r="AS163" s="222"/>
      <c r="AT163" s="222"/>
      <c r="AU163" s="222"/>
      <c r="AV163" s="222"/>
      <c r="AW163" s="222"/>
      <c r="AX163" s="222"/>
      <c r="AY163" s="222"/>
      <c r="AZ163" s="222"/>
      <c r="BA163" s="222"/>
      <c r="BB163" s="222"/>
      <c r="BC163" s="222"/>
      <c r="BD163" s="222"/>
      <c r="BE163" s="222"/>
      <c r="BF163" s="222"/>
      <c r="BG163" s="222"/>
      <c r="BH163" s="222"/>
      <c r="BI163" s="222"/>
      <c r="BJ163" s="222"/>
      <c r="BK163" s="222"/>
      <c r="BL163" s="222"/>
      <c r="BM163" s="222"/>
      <c r="BN163" s="222"/>
      <c r="BO163" s="222"/>
      <c r="BP163" s="222"/>
      <c r="BQ163" s="222"/>
      <c r="BR163" s="222"/>
      <c r="BS163" s="222"/>
      <c r="BT163" s="222"/>
      <c r="BU163" s="222"/>
      <c r="BV163" s="222"/>
      <c r="BW163" s="222"/>
      <c r="BX163" s="222"/>
      <c r="BY163" s="222"/>
      <c r="BZ163" s="222"/>
      <c r="CA163" s="222"/>
      <c r="CB163" s="222"/>
      <c r="CC163" s="222"/>
      <c r="CD163" s="222"/>
      <c r="CE163" s="222"/>
      <c r="CF163" s="222"/>
      <c r="CG163" s="222"/>
      <c r="CH163" s="222"/>
      <c r="CI163" s="222"/>
      <c r="CJ163" s="222"/>
      <c r="CK163" s="222"/>
      <c r="CL163" s="222"/>
      <c r="CM163" s="222"/>
      <c r="CN163" s="222"/>
      <c r="CO163" s="222"/>
      <c r="CP163" s="222"/>
      <c r="CQ163" s="222"/>
      <c r="CR163" s="222"/>
      <c r="CS163" s="222"/>
    </row>
    <row r="164">
      <c r="A164" s="43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222"/>
      <c r="AP164" s="222"/>
      <c r="AQ164" s="222"/>
      <c r="AR164" s="222"/>
      <c r="AS164" s="222"/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222"/>
      <c r="BH164" s="222"/>
      <c r="BI164" s="222"/>
      <c r="BJ164" s="222"/>
      <c r="BK164" s="222"/>
      <c r="BL164" s="222"/>
      <c r="BM164" s="222"/>
      <c r="BN164" s="222"/>
      <c r="BO164" s="222"/>
      <c r="BP164" s="222"/>
      <c r="BQ164" s="222"/>
      <c r="BR164" s="222"/>
      <c r="BS164" s="222"/>
      <c r="BT164" s="222"/>
      <c r="BU164" s="222"/>
      <c r="BV164" s="222"/>
      <c r="BW164" s="222"/>
      <c r="BX164" s="222"/>
      <c r="BY164" s="222"/>
      <c r="BZ164" s="222"/>
      <c r="CA164" s="222"/>
      <c r="CB164" s="222"/>
      <c r="CC164" s="222"/>
      <c r="CD164" s="222"/>
      <c r="CE164" s="222"/>
      <c r="CF164" s="222"/>
      <c r="CG164" s="222"/>
      <c r="CH164" s="222"/>
      <c r="CI164" s="222"/>
      <c r="CJ164" s="222"/>
      <c r="CK164" s="222"/>
      <c r="CL164" s="222"/>
      <c r="CM164" s="222"/>
      <c r="CN164" s="222"/>
      <c r="CO164" s="222"/>
      <c r="CP164" s="222"/>
      <c r="CQ164" s="222"/>
      <c r="CR164" s="222"/>
      <c r="CS164" s="222"/>
    </row>
    <row r="165">
      <c r="A165" s="43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222"/>
      <c r="AP165" s="222"/>
      <c r="AQ165" s="222"/>
      <c r="AR165" s="222"/>
      <c r="AS165" s="222"/>
      <c r="AT165" s="222"/>
      <c r="AU165" s="222"/>
      <c r="AV165" s="222"/>
      <c r="AW165" s="222"/>
      <c r="AX165" s="222"/>
      <c r="AY165" s="222"/>
      <c r="AZ165" s="222"/>
      <c r="BA165" s="222"/>
      <c r="BB165" s="222"/>
      <c r="BC165" s="222"/>
      <c r="BD165" s="222"/>
      <c r="BE165" s="222"/>
      <c r="BF165" s="222"/>
      <c r="BG165" s="222"/>
      <c r="BH165" s="222"/>
      <c r="BI165" s="222"/>
      <c r="BJ165" s="222"/>
      <c r="BK165" s="222"/>
      <c r="BL165" s="222"/>
      <c r="BM165" s="222"/>
      <c r="BN165" s="222"/>
      <c r="BO165" s="222"/>
      <c r="BP165" s="222"/>
      <c r="BQ165" s="222"/>
      <c r="BR165" s="222"/>
      <c r="BS165" s="222"/>
      <c r="BT165" s="222"/>
      <c r="BU165" s="222"/>
      <c r="BV165" s="222"/>
      <c r="BW165" s="222"/>
      <c r="BX165" s="222"/>
      <c r="BY165" s="222"/>
      <c r="BZ165" s="222"/>
      <c r="CA165" s="222"/>
      <c r="CB165" s="222"/>
      <c r="CC165" s="222"/>
      <c r="CD165" s="222"/>
      <c r="CE165" s="222"/>
      <c r="CF165" s="222"/>
      <c r="CG165" s="222"/>
      <c r="CH165" s="222"/>
      <c r="CI165" s="222"/>
      <c r="CJ165" s="222"/>
      <c r="CK165" s="222"/>
      <c r="CL165" s="222"/>
      <c r="CM165" s="222"/>
      <c r="CN165" s="222"/>
      <c r="CO165" s="222"/>
      <c r="CP165" s="222"/>
      <c r="CQ165" s="222"/>
      <c r="CR165" s="222"/>
      <c r="CS165" s="222"/>
    </row>
    <row r="166">
      <c r="A166" s="43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22"/>
      <c r="AK166" s="222"/>
      <c r="AL166" s="222"/>
      <c r="AM166" s="222"/>
      <c r="AN166" s="222"/>
      <c r="AO166" s="222"/>
      <c r="AP166" s="222"/>
      <c r="AQ166" s="222"/>
      <c r="AR166" s="222"/>
      <c r="AS166" s="222"/>
      <c r="AT166" s="222"/>
      <c r="AU166" s="222"/>
      <c r="AV166" s="222"/>
      <c r="AW166" s="222"/>
      <c r="AX166" s="222"/>
      <c r="AY166" s="222"/>
      <c r="AZ166" s="222"/>
      <c r="BA166" s="222"/>
      <c r="BB166" s="222"/>
      <c r="BC166" s="222"/>
      <c r="BD166" s="222"/>
      <c r="BE166" s="222"/>
      <c r="BF166" s="222"/>
      <c r="BG166" s="222"/>
      <c r="BH166" s="222"/>
      <c r="BI166" s="222"/>
      <c r="BJ166" s="222"/>
      <c r="BK166" s="222"/>
      <c r="BL166" s="222"/>
      <c r="BM166" s="222"/>
      <c r="BN166" s="222"/>
      <c r="BO166" s="222"/>
      <c r="BP166" s="222"/>
      <c r="BQ166" s="222"/>
      <c r="BR166" s="222"/>
      <c r="BS166" s="222"/>
      <c r="BT166" s="222"/>
      <c r="BU166" s="222"/>
      <c r="BV166" s="222"/>
      <c r="BW166" s="222"/>
      <c r="BX166" s="222"/>
      <c r="BY166" s="222"/>
      <c r="BZ166" s="222"/>
      <c r="CA166" s="222"/>
      <c r="CB166" s="222"/>
      <c r="CC166" s="222"/>
      <c r="CD166" s="222"/>
      <c r="CE166" s="222"/>
      <c r="CF166" s="222"/>
      <c r="CG166" s="222"/>
      <c r="CH166" s="222"/>
      <c r="CI166" s="222"/>
      <c r="CJ166" s="222"/>
      <c r="CK166" s="222"/>
      <c r="CL166" s="222"/>
      <c r="CM166" s="222"/>
      <c r="CN166" s="222"/>
      <c r="CO166" s="222"/>
      <c r="CP166" s="222"/>
      <c r="CQ166" s="222"/>
      <c r="CR166" s="222"/>
      <c r="CS166" s="222"/>
    </row>
    <row r="167">
      <c r="A167" s="43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  <c r="AM167" s="222"/>
      <c r="AN167" s="222"/>
      <c r="AO167" s="222"/>
      <c r="AP167" s="222"/>
      <c r="AQ167" s="222"/>
      <c r="AR167" s="222"/>
      <c r="AS167" s="222"/>
      <c r="AT167" s="222"/>
      <c r="AU167" s="222"/>
      <c r="AV167" s="222"/>
      <c r="AW167" s="222"/>
      <c r="AX167" s="222"/>
      <c r="AY167" s="222"/>
      <c r="AZ167" s="222"/>
      <c r="BA167" s="222"/>
      <c r="BB167" s="222"/>
      <c r="BC167" s="222"/>
      <c r="BD167" s="222"/>
      <c r="BE167" s="222"/>
      <c r="BF167" s="222"/>
      <c r="BG167" s="222"/>
      <c r="BH167" s="222"/>
      <c r="BI167" s="222"/>
      <c r="BJ167" s="222"/>
      <c r="BK167" s="222"/>
      <c r="BL167" s="222"/>
      <c r="BM167" s="222"/>
      <c r="BN167" s="222"/>
      <c r="BO167" s="222"/>
      <c r="BP167" s="222"/>
      <c r="BQ167" s="222"/>
      <c r="BR167" s="222"/>
      <c r="BS167" s="222"/>
      <c r="BT167" s="222"/>
      <c r="BU167" s="222"/>
      <c r="BV167" s="222"/>
      <c r="BW167" s="222"/>
      <c r="BX167" s="222"/>
      <c r="BY167" s="222"/>
      <c r="BZ167" s="222"/>
      <c r="CA167" s="222"/>
      <c r="CB167" s="222"/>
      <c r="CC167" s="222"/>
      <c r="CD167" s="222"/>
      <c r="CE167" s="222"/>
      <c r="CF167" s="222"/>
      <c r="CG167" s="222"/>
      <c r="CH167" s="222"/>
      <c r="CI167" s="222"/>
      <c r="CJ167" s="222"/>
      <c r="CK167" s="222"/>
      <c r="CL167" s="222"/>
      <c r="CM167" s="222"/>
      <c r="CN167" s="222"/>
      <c r="CO167" s="222"/>
      <c r="CP167" s="222"/>
      <c r="CQ167" s="222"/>
      <c r="CR167" s="222"/>
      <c r="CS167" s="222"/>
    </row>
    <row r="168">
      <c r="A168" s="43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  <c r="AM168" s="222"/>
      <c r="AN168" s="222"/>
      <c r="AO168" s="222"/>
      <c r="AP168" s="222"/>
      <c r="AQ168" s="222"/>
      <c r="AR168" s="222"/>
      <c r="AS168" s="222"/>
      <c r="AT168" s="222"/>
      <c r="AU168" s="222"/>
      <c r="AV168" s="222"/>
      <c r="AW168" s="222"/>
      <c r="AX168" s="222"/>
      <c r="AY168" s="222"/>
      <c r="AZ168" s="222"/>
      <c r="BA168" s="222"/>
      <c r="BB168" s="222"/>
      <c r="BC168" s="222"/>
      <c r="BD168" s="222"/>
      <c r="BE168" s="222"/>
      <c r="BF168" s="222"/>
      <c r="BG168" s="222"/>
      <c r="BH168" s="222"/>
      <c r="BI168" s="222"/>
      <c r="BJ168" s="222"/>
      <c r="BK168" s="222"/>
      <c r="BL168" s="222"/>
      <c r="BM168" s="222"/>
      <c r="BN168" s="222"/>
      <c r="BO168" s="222"/>
      <c r="BP168" s="222"/>
      <c r="BQ168" s="222"/>
      <c r="BR168" s="222"/>
      <c r="BS168" s="222"/>
      <c r="BT168" s="222"/>
      <c r="BU168" s="222"/>
      <c r="BV168" s="222"/>
      <c r="BW168" s="222"/>
      <c r="BX168" s="222"/>
      <c r="BY168" s="222"/>
      <c r="BZ168" s="222"/>
      <c r="CA168" s="222"/>
      <c r="CB168" s="222"/>
      <c r="CC168" s="222"/>
      <c r="CD168" s="222"/>
      <c r="CE168" s="222"/>
      <c r="CF168" s="222"/>
      <c r="CG168" s="222"/>
      <c r="CH168" s="222"/>
      <c r="CI168" s="222"/>
      <c r="CJ168" s="222"/>
      <c r="CK168" s="222"/>
      <c r="CL168" s="222"/>
      <c r="CM168" s="222"/>
      <c r="CN168" s="222"/>
      <c r="CO168" s="222"/>
      <c r="CP168" s="222"/>
      <c r="CQ168" s="222"/>
      <c r="CR168" s="222"/>
      <c r="CS168" s="222"/>
    </row>
    <row r="169">
      <c r="A169" s="43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  <c r="AS169" s="222"/>
      <c r="AT169" s="222"/>
      <c r="AU169" s="222"/>
      <c r="AV169" s="222"/>
      <c r="AW169" s="222"/>
      <c r="AX169" s="222"/>
      <c r="AY169" s="222"/>
      <c r="AZ169" s="222"/>
      <c r="BA169" s="222"/>
      <c r="BB169" s="222"/>
      <c r="BC169" s="222"/>
      <c r="BD169" s="222"/>
      <c r="BE169" s="222"/>
      <c r="BF169" s="222"/>
      <c r="BG169" s="222"/>
      <c r="BH169" s="222"/>
      <c r="BI169" s="222"/>
      <c r="BJ169" s="222"/>
      <c r="BK169" s="222"/>
      <c r="BL169" s="222"/>
      <c r="BM169" s="222"/>
      <c r="BN169" s="222"/>
      <c r="BO169" s="222"/>
      <c r="BP169" s="222"/>
      <c r="BQ169" s="222"/>
      <c r="BR169" s="222"/>
      <c r="BS169" s="222"/>
      <c r="BT169" s="222"/>
      <c r="BU169" s="222"/>
      <c r="BV169" s="222"/>
      <c r="BW169" s="222"/>
      <c r="BX169" s="222"/>
      <c r="BY169" s="222"/>
      <c r="BZ169" s="222"/>
      <c r="CA169" s="222"/>
      <c r="CB169" s="222"/>
      <c r="CC169" s="222"/>
      <c r="CD169" s="222"/>
      <c r="CE169" s="222"/>
      <c r="CF169" s="222"/>
      <c r="CG169" s="222"/>
      <c r="CH169" s="222"/>
      <c r="CI169" s="222"/>
      <c r="CJ169" s="222"/>
      <c r="CK169" s="222"/>
      <c r="CL169" s="222"/>
      <c r="CM169" s="222"/>
      <c r="CN169" s="222"/>
      <c r="CO169" s="222"/>
      <c r="CP169" s="222"/>
      <c r="CQ169" s="222"/>
      <c r="CR169" s="222"/>
      <c r="CS169" s="222"/>
    </row>
    <row r="170">
      <c r="A170" s="43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222"/>
      <c r="AP170" s="222"/>
      <c r="AQ170" s="222"/>
      <c r="AR170" s="222"/>
      <c r="AS170" s="222"/>
      <c r="AT170" s="222"/>
      <c r="AU170" s="222"/>
      <c r="AV170" s="222"/>
      <c r="AW170" s="222"/>
      <c r="AX170" s="222"/>
      <c r="AY170" s="222"/>
      <c r="AZ170" s="222"/>
      <c r="BA170" s="222"/>
      <c r="BB170" s="222"/>
      <c r="BC170" s="222"/>
      <c r="BD170" s="222"/>
      <c r="BE170" s="222"/>
      <c r="BF170" s="222"/>
      <c r="BG170" s="222"/>
      <c r="BH170" s="222"/>
      <c r="BI170" s="222"/>
      <c r="BJ170" s="222"/>
      <c r="BK170" s="222"/>
      <c r="BL170" s="222"/>
      <c r="BM170" s="222"/>
      <c r="BN170" s="222"/>
      <c r="BO170" s="222"/>
      <c r="BP170" s="222"/>
      <c r="BQ170" s="222"/>
      <c r="BR170" s="222"/>
      <c r="BS170" s="222"/>
      <c r="BT170" s="222"/>
      <c r="BU170" s="222"/>
      <c r="BV170" s="222"/>
      <c r="BW170" s="222"/>
      <c r="BX170" s="222"/>
      <c r="BY170" s="222"/>
      <c r="BZ170" s="222"/>
      <c r="CA170" s="222"/>
      <c r="CB170" s="222"/>
      <c r="CC170" s="222"/>
      <c r="CD170" s="222"/>
      <c r="CE170" s="222"/>
      <c r="CF170" s="222"/>
      <c r="CG170" s="222"/>
      <c r="CH170" s="222"/>
      <c r="CI170" s="222"/>
      <c r="CJ170" s="222"/>
      <c r="CK170" s="222"/>
      <c r="CL170" s="222"/>
      <c r="CM170" s="222"/>
      <c r="CN170" s="222"/>
      <c r="CO170" s="222"/>
      <c r="CP170" s="222"/>
      <c r="CQ170" s="222"/>
      <c r="CR170" s="222"/>
      <c r="CS170" s="222"/>
    </row>
    <row r="171">
      <c r="A171" s="43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222"/>
      <c r="AP171" s="222"/>
      <c r="AQ171" s="222"/>
      <c r="AR171" s="222"/>
      <c r="AS171" s="222"/>
      <c r="AT171" s="222"/>
      <c r="AU171" s="222"/>
      <c r="AV171" s="222"/>
      <c r="AW171" s="222"/>
      <c r="AX171" s="222"/>
      <c r="AY171" s="222"/>
      <c r="AZ171" s="222"/>
      <c r="BA171" s="222"/>
      <c r="BB171" s="222"/>
      <c r="BC171" s="222"/>
      <c r="BD171" s="222"/>
      <c r="BE171" s="222"/>
      <c r="BF171" s="222"/>
      <c r="BG171" s="222"/>
      <c r="BH171" s="222"/>
      <c r="BI171" s="222"/>
      <c r="BJ171" s="222"/>
      <c r="BK171" s="222"/>
      <c r="BL171" s="222"/>
      <c r="BM171" s="222"/>
      <c r="BN171" s="222"/>
      <c r="BO171" s="222"/>
      <c r="BP171" s="222"/>
      <c r="BQ171" s="222"/>
      <c r="BR171" s="222"/>
      <c r="BS171" s="222"/>
      <c r="BT171" s="222"/>
      <c r="BU171" s="222"/>
      <c r="BV171" s="222"/>
      <c r="BW171" s="222"/>
      <c r="BX171" s="222"/>
      <c r="BY171" s="222"/>
      <c r="BZ171" s="222"/>
      <c r="CA171" s="222"/>
      <c r="CB171" s="222"/>
      <c r="CC171" s="222"/>
      <c r="CD171" s="222"/>
      <c r="CE171" s="222"/>
      <c r="CF171" s="222"/>
      <c r="CG171" s="222"/>
      <c r="CH171" s="222"/>
      <c r="CI171" s="222"/>
      <c r="CJ171" s="222"/>
      <c r="CK171" s="222"/>
      <c r="CL171" s="222"/>
      <c r="CM171" s="222"/>
      <c r="CN171" s="222"/>
      <c r="CO171" s="222"/>
      <c r="CP171" s="222"/>
      <c r="CQ171" s="222"/>
      <c r="CR171" s="222"/>
      <c r="CS171" s="222"/>
    </row>
    <row r="172">
      <c r="A172" s="43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222"/>
      <c r="AP172" s="222"/>
      <c r="AQ172" s="222"/>
      <c r="AR172" s="222"/>
      <c r="AS172" s="222"/>
      <c r="AT172" s="222"/>
      <c r="AU172" s="222"/>
      <c r="AV172" s="222"/>
      <c r="AW172" s="222"/>
      <c r="AX172" s="222"/>
      <c r="AY172" s="222"/>
      <c r="AZ172" s="222"/>
      <c r="BA172" s="222"/>
      <c r="BB172" s="222"/>
      <c r="BC172" s="222"/>
      <c r="BD172" s="222"/>
      <c r="BE172" s="222"/>
      <c r="BF172" s="222"/>
      <c r="BG172" s="222"/>
      <c r="BH172" s="222"/>
      <c r="BI172" s="222"/>
      <c r="BJ172" s="222"/>
      <c r="BK172" s="222"/>
      <c r="BL172" s="222"/>
      <c r="BM172" s="222"/>
      <c r="BN172" s="222"/>
      <c r="BO172" s="222"/>
      <c r="BP172" s="222"/>
      <c r="BQ172" s="222"/>
      <c r="BR172" s="222"/>
      <c r="BS172" s="222"/>
      <c r="BT172" s="222"/>
      <c r="BU172" s="222"/>
      <c r="BV172" s="222"/>
      <c r="BW172" s="222"/>
      <c r="BX172" s="222"/>
      <c r="BY172" s="222"/>
      <c r="BZ172" s="222"/>
      <c r="CA172" s="222"/>
      <c r="CB172" s="222"/>
      <c r="CC172" s="222"/>
      <c r="CD172" s="222"/>
      <c r="CE172" s="222"/>
      <c r="CF172" s="222"/>
      <c r="CG172" s="222"/>
      <c r="CH172" s="222"/>
      <c r="CI172" s="222"/>
      <c r="CJ172" s="222"/>
      <c r="CK172" s="222"/>
      <c r="CL172" s="222"/>
      <c r="CM172" s="222"/>
      <c r="CN172" s="222"/>
      <c r="CO172" s="222"/>
      <c r="CP172" s="222"/>
      <c r="CQ172" s="222"/>
      <c r="CR172" s="222"/>
      <c r="CS172" s="222"/>
    </row>
    <row r="173">
      <c r="A173" s="43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222"/>
      <c r="AP173" s="222"/>
      <c r="AQ173" s="222"/>
      <c r="AR173" s="222"/>
      <c r="AS173" s="222"/>
      <c r="AT173" s="222"/>
      <c r="AU173" s="222"/>
      <c r="AV173" s="222"/>
      <c r="AW173" s="222"/>
      <c r="AX173" s="222"/>
      <c r="AY173" s="222"/>
      <c r="AZ173" s="222"/>
      <c r="BA173" s="222"/>
      <c r="BB173" s="222"/>
      <c r="BC173" s="222"/>
      <c r="BD173" s="222"/>
      <c r="BE173" s="222"/>
      <c r="BF173" s="222"/>
      <c r="BG173" s="222"/>
      <c r="BH173" s="222"/>
      <c r="BI173" s="222"/>
      <c r="BJ173" s="222"/>
      <c r="BK173" s="222"/>
      <c r="BL173" s="222"/>
      <c r="BM173" s="222"/>
      <c r="BN173" s="222"/>
      <c r="BO173" s="222"/>
      <c r="BP173" s="222"/>
      <c r="BQ173" s="222"/>
      <c r="BR173" s="222"/>
      <c r="BS173" s="222"/>
      <c r="BT173" s="222"/>
      <c r="BU173" s="222"/>
      <c r="BV173" s="222"/>
      <c r="BW173" s="222"/>
      <c r="BX173" s="222"/>
      <c r="BY173" s="222"/>
      <c r="BZ173" s="222"/>
      <c r="CA173" s="222"/>
      <c r="CB173" s="222"/>
      <c r="CC173" s="222"/>
      <c r="CD173" s="222"/>
      <c r="CE173" s="222"/>
      <c r="CF173" s="222"/>
      <c r="CG173" s="222"/>
      <c r="CH173" s="222"/>
      <c r="CI173" s="222"/>
      <c r="CJ173" s="222"/>
      <c r="CK173" s="222"/>
      <c r="CL173" s="222"/>
      <c r="CM173" s="222"/>
      <c r="CN173" s="222"/>
      <c r="CO173" s="222"/>
      <c r="CP173" s="222"/>
      <c r="CQ173" s="222"/>
      <c r="CR173" s="222"/>
      <c r="CS173" s="222"/>
    </row>
    <row r="174">
      <c r="A174" s="43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222"/>
      <c r="AP174" s="222"/>
      <c r="AQ174" s="222"/>
      <c r="AR174" s="222"/>
      <c r="AS174" s="222"/>
      <c r="AT174" s="222"/>
      <c r="AU174" s="222"/>
      <c r="AV174" s="222"/>
      <c r="AW174" s="222"/>
      <c r="AX174" s="222"/>
      <c r="AY174" s="222"/>
      <c r="AZ174" s="222"/>
      <c r="BA174" s="222"/>
      <c r="BB174" s="222"/>
      <c r="BC174" s="222"/>
      <c r="BD174" s="222"/>
      <c r="BE174" s="222"/>
      <c r="BF174" s="222"/>
      <c r="BG174" s="222"/>
      <c r="BH174" s="222"/>
      <c r="BI174" s="222"/>
      <c r="BJ174" s="222"/>
      <c r="BK174" s="222"/>
      <c r="BL174" s="222"/>
      <c r="BM174" s="222"/>
      <c r="BN174" s="222"/>
      <c r="BO174" s="222"/>
      <c r="BP174" s="222"/>
      <c r="BQ174" s="222"/>
      <c r="BR174" s="222"/>
      <c r="BS174" s="222"/>
      <c r="BT174" s="222"/>
      <c r="BU174" s="222"/>
      <c r="BV174" s="222"/>
      <c r="BW174" s="222"/>
      <c r="BX174" s="222"/>
      <c r="BY174" s="222"/>
      <c r="BZ174" s="222"/>
      <c r="CA174" s="222"/>
      <c r="CB174" s="222"/>
      <c r="CC174" s="222"/>
      <c r="CD174" s="222"/>
      <c r="CE174" s="222"/>
      <c r="CF174" s="222"/>
      <c r="CG174" s="222"/>
      <c r="CH174" s="222"/>
      <c r="CI174" s="222"/>
      <c r="CJ174" s="222"/>
      <c r="CK174" s="222"/>
      <c r="CL174" s="222"/>
      <c r="CM174" s="222"/>
      <c r="CN174" s="222"/>
      <c r="CO174" s="222"/>
      <c r="CP174" s="222"/>
      <c r="CQ174" s="222"/>
      <c r="CR174" s="222"/>
      <c r="CS174" s="222"/>
    </row>
    <row r="175">
      <c r="A175" s="43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  <c r="AY175" s="222"/>
      <c r="AZ175" s="222"/>
      <c r="BA175" s="222"/>
      <c r="BB175" s="222"/>
      <c r="BC175" s="222"/>
      <c r="BD175" s="222"/>
      <c r="BE175" s="222"/>
      <c r="BF175" s="222"/>
      <c r="BG175" s="222"/>
      <c r="BH175" s="222"/>
      <c r="BI175" s="222"/>
      <c r="BJ175" s="222"/>
      <c r="BK175" s="222"/>
      <c r="BL175" s="222"/>
      <c r="BM175" s="222"/>
      <c r="BN175" s="222"/>
      <c r="BO175" s="222"/>
      <c r="BP175" s="222"/>
      <c r="BQ175" s="222"/>
      <c r="BR175" s="222"/>
      <c r="BS175" s="222"/>
      <c r="BT175" s="222"/>
      <c r="BU175" s="222"/>
      <c r="BV175" s="222"/>
      <c r="BW175" s="222"/>
      <c r="BX175" s="222"/>
      <c r="BY175" s="222"/>
      <c r="BZ175" s="222"/>
      <c r="CA175" s="222"/>
      <c r="CB175" s="222"/>
      <c r="CC175" s="222"/>
      <c r="CD175" s="222"/>
      <c r="CE175" s="222"/>
      <c r="CF175" s="222"/>
      <c r="CG175" s="222"/>
      <c r="CH175" s="222"/>
      <c r="CI175" s="222"/>
      <c r="CJ175" s="222"/>
      <c r="CK175" s="222"/>
      <c r="CL175" s="222"/>
      <c r="CM175" s="222"/>
      <c r="CN175" s="222"/>
      <c r="CO175" s="222"/>
      <c r="CP175" s="222"/>
      <c r="CQ175" s="222"/>
      <c r="CR175" s="222"/>
      <c r="CS175" s="222"/>
    </row>
    <row r="176">
      <c r="A176" s="43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222"/>
      <c r="AP176" s="222"/>
      <c r="AQ176" s="222"/>
      <c r="AR176" s="222"/>
      <c r="AS176" s="222"/>
      <c r="AT176" s="222"/>
      <c r="AU176" s="222"/>
      <c r="AV176" s="222"/>
      <c r="AW176" s="222"/>
      <c r="AX176" s="222"/>
      <c r="AY176" s="222"/>
      <c r="AZ176" s="222"/>
      <c r="BA176" s="222"/>
      <c r="BB176" s="222"/>
      <c r="BC176" s="222"/>
      <c r="BD176" s="222"/>
      <c r="BE176" s="222"/>
      <c r="BF176" s="222"/>
      <c r="BG176" s="222"/>
      <c r="BH176" s="222"/>
      <c r="BI176" s="222"/>
      <c r="BJ176" s="222"/>
      <c r="BK176" s="222"/>
      <c r="BL176" s="222"/>
      <c r="BM176" s="222"/>
      <c r="BN176" s="222"/>
      <c r="BO176" s="222"/>
      <c r="BP176" s="222"/>
      <c r="BQ176" s="222"/>
      <c r="BR176" s="222"/>
      <c r="BS176" s="222"/>
      <c r="BT176" s="222"/>
      <c r="BU176" s="222"/>
      <c r="BV176" s="222"/>
      <c r="BW176" s="222"/>
      <c r="BX176" s="222"/>
      <c r="BY176" s="222"/>
      <c r="BZ176" s="222"/>
      <c r="CA176" s="222"/>
      <c r="CB176" s="222"/>
      <c r="CC176" s="222"/>
      <c r="CD176" s="222"/>
      <c r="CE176" s="222"/>
      <c r="CF176" s="222"/>
      <c r="CG176" s="222"/>
      <c r="CH176" s="222"/>
      <c r="CI176" s="222"/>
      <c r="CJ176" s="222"/>
      <c r="CK176" s="222"/>
      <c r="CL176" s="222"/>
      <c r="CM176" s="222"/>
      <c r="CN176" s="222"/>
      <c r="CO176" s="222"/>
      <c r="CP176" s="222"/>
      <c r="CQ176" s="222"/>
      <c r="CR176" s="222"/>
      <c r="CS176" s="222"/>
    </row>
    <row r="177">
      <c r="A177" s="43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222"/>
      <c r="AP177" s="222"/>
      <c r="AQ177" s="222"/>
      <c r="AR177" s="222"/>
      <c r="AS177" s="222"/>
      <c r="AT177" s="222"/>
      <c r="AU177" s="222"/>
      <c r="AV177" s="222"/>
      <c r="AW177" s="222"/>
      <c r="AX177" s="222"/>
      <c r="AY177" s="222"/>
      <c r="AZ177" s="222"/>
      <c r="BA177" s="222"/>
      <c r="BB177" s="222"/>
      <c r="BC177" s="222"/>
      <c r="BD177" s="222"/>
      <c r="BE177" s="222"/>
      <c r="BF177" s="222"/>
      <c r="BG177" s="222"/>
      <c r="BH177" s="222"/>
      <c r="BI177" s="222"/>
      <c r="BJ177" s="222"/>
      <c r="BK177" s="222"/>
      <c r="BL177" s="222"/>
      <c r="BM177" s="222"/>
      <c r="BN177" s="222"/>
      <c r="BO177" s="222"/>
      <c r="BP177" s="222"/>
      <c r="BQ177" s="222"/>
      <c r="BR177" s="222"/>
      <c r="BS177" s="222"/>
      <c r="BT177" s="222"/>
      <c r="BU177" s="222"/>
      <c r="BV177" s="222"/>
      <c r="BW177" s="222"/>
      <c r="BX177" s="222"/>
      <c r="BY177" s="222"/>
      <c r="BZ177" s="222"/>
      <c r="CA177" s="222"/>
      <c r="CB177" s="222"/>
      <c r="CC177" s="222"/>
      <c r="CD177" s="222"/>
      <c r="CE177" s="222"/>
      <c r="CF177" s="222"/>
      <c r="CG177" s="222"/>
      <c r="CH177" s="222"/>
      <c r="CI177" s="222"/>
      <c r="CJ177" s="222"/>
      <c r="CK177" s="222"/>
      <c r="CL177" s="222"/>
      <c r="CM177" s="222"/>
      <c r="CN177" s="222"/>
      <c r="CO177" s="222"/>
      <c r="CP177" s="222"/>
      <c r="CQ177" s="222"/>
      <c r="CR177" s="222"/>
      <c r="CS177" s="222"/>
    </row>
    <row r="178">
      <c r="A178" s="43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  <c r="AY178" s="222"/>
      <c r="AZ178" s="222"/>
      <c r="BA178" s="222"/>
      <c r="BB178" s="222"/>
      <c r="BC178" s="222"/>
      <c r="BD178" s="222"/>
      <c r="BE178" s="222"/>
      <c r="BF178" s="222"/>
      <c r="BG178" s="222"/>
      <c r="BH178" s="222"/>
      <c r="BI178" s="222"/>
      <c r="BJ178" s="222"/>
      <c r="BK178" s="222"/>
      <c r="BL178" s="222"/>
      <c r="BM178" s="222"/>
      <c r="BN178" s="222"/>
      <c r="BO178" s="222"/>
      <c r="BP178" s="222"/>
      <c r="BQ178" s="222"/>
      <c r="BR178" s="222"/>
      <c r="BS178" s="222"/>
      <c r="BT178" s="222"/>
      <c r="BU178" s="222"/>
      <c r="BV178" s="222"/>
      <c r="BW178" s="222"/>
      <c r="BX178" s="222"/>
      <c r="BY178" s="222"/>
      <c r="BZ178" s="222"/>
      <c r="CA178" s="222"/>
      <c r="CB178" s="222"/>
      <c r="CC178" s="222"/>
      <c r="CD178" s="222"/>
      <c r="CE178" s="222"/>
      <c r="CF178" s="222"/>
      <c r="CG178" s="222"/>
      <c r="CH178" s="222"/>
      <c r="CI178" s="222"/>
      <c r="CJ178" s="222"/>
      <c r="CK178" s="222"/>
      <c r="CL178" s="222"/>
      <c r="CM178" s="222"/>
      <c r="CN178" s="222"/>
      <c r="CO178" s="222"/>
      <c r="CP178" s="222"/>
      <c r="CQ178" s="222"/>
      <c r="CR178" s="222"/>
      <c r="CS178" s="222"/>
    </row>
    <row r="179">
      <c r="A179" s="43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  <c r="AY179" s="222"/>
      <c r="AZ179" s="222"/>
      <c r="BA179" s="222"/>
      <c r="BB179" s="222"/>
      <c r="BC179" s="222"/>
      <c r="BD179" s="222"/>
      <c r="BE179" s="222"/>
      <c r="BF179" s="222"/>
      <c r="BG179" s="222"/>
      <c r="BH179" s="222"/>
      <c r="BI179" s="222"/>
      <c r="BJ179" s="222"/>
      <c r="BK179" s="222"/>
      <c r="BL179" s="222"/>
      <c r="BM179" s="222"/>
      <c r="BN179" s="222"/>
      <c r="BO179" s="222"/>
      <c r="BP179" s="222"/>
      <c r="BQ179" s="222"/>
      <c r="BR179" s="222"/>
      <c r="BS179" s="222"/>
      <c r="BT179" s="222"/>
      <c r="BU179" s="222"/>
      <c r="BV179" s="222"/>
      <c r="BW179" s="222"/>
      <c r="BX179" s="222"/>
      <c r="BY179" s="222"/>
      <c r="BZ179" s="222"/>
      <c r="CA179" s="222"/>
      <c r="CB179" s="222"/>
      <c r="CC179" s="222"/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/>
      <c r="CP179" s="222"/>
      <c r="CQ179" s="222"/>
      <c r="CR179" s="222"/>
      <c r="CS179" s="222"/>
    </row>
    <row r="180">
      <c r="A180" s="43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  <c r="AY180" s="222"/>
      <c r="AZ180" s="222"/>
      <c r="BA180" s="222"/>
      <c r="BB180" s="222"/>
      <c r="BC180" s="222"/>
      <c r="BD180" s="222"/>
      <c r="BE180" s="222"/>
      <c r="BF180" s="222"/>
      <c r="BG180" s="222"/>
      <c r="BH180" s="222"/>
      <c r="BI180" s="222"/>
      <c r="BJ180" s="222"/>
      <c r="BK180" s="222"/>
      <c r="BL180" s="222"/>
      <c r="BM180" s="222"/>
      <c r="BN180" s="222"/>
      <c r="BO180" s="222"/>
      <c r="BP180" s="222"/>
      <c r="BQ180" s="222"/>
      <c r="BR180" s="222"/>
      <c r="BS180" s="222"/>
      <c r="BT180" s="222"/>
      <c r="BU180" s="222"/>
      <c r="BV180" s="222"/>
      <c r="BW180" s="222"/>
      <c r="BX180" s="222"/>
      <c r="BY180" s="222"/>
      <c r="BZ180" s="222"/>
      <c r="CA180" s="222"/>
      <c r="CB180" s="222"/>
      <c r="CC180" s="222"/>
      <c r="CD180" s="222"/>
      <c r="CE180" s="222"/>
      <c r="CF180" s="222"/>
      <c r="CG180" s="222"/>
      <c r="CH180" s="222"/>
      <c r="CI180" s="222"/>
      <c r="CJ180" s="222"/>
      <c r="CK180" s="222"/>
      <c r="CL180" s="222"/>
      <c r="CM180" s="222"/>
      <c r="CN180" s="222"/>
      <c r="CO180" s="222"/>
      <c r="CP180" s="222"/>
      <c r="CQ180" s="222"/>
      <c r="CR180" s="222"/>
      <c r="CS180" s="222"/>
    </row>
    <row r="181">
      <c r="A181" s="43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  <c r="AY181" s="222"/>
      <c r="AZ181" s="222"/>
      <c r="BA181" s="222"/>
      <c r="BB181" s="222"/>
      <c r="BC181" s="222"/>
      <c r="BD181" s="222"/>
      <c r="BE181" s="222"/>
      <c r="BF181" s="222"/>
      <c r="BG181" s="222"/>
      <c r="BH181" s="222"/>
      <c r="BI181" s="222"/>
      <c r="BJ181" s="222"/>
      <c r="BK181" s="222"/>
      <c r="BL181" s="222"/>
      <c r="BM181" s="222"/>
      <c r="BN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  <c r="BX181" s="222"/>
      <c r="BY181" s="222"/>
      <c r="BZ181" s="222"/>
      <c r="CA181" s="222"/>
      <c r="CB181" s="222"/>
      <c r="CC181" s="222"/>
      <c r="CD181" s="222"/>
      <c r="CE181" s="222"/>
      <c r="CF181" s="222"/>
      <c r="CG181" s="222"/>
      <c r="CH181" s="222"/>
      <c r="CI181" s="222"/>
      <c r="CJ181" s="222"/>
      <c r="CK181" s="222"/>
      <c r="CL181" s="222"/>
      <c r="CM181" s="222"/>
      <c r="CN181" s="222"/>
      <c r="CO181" s="222"/>
      <c r="CP181" s="222"/>
      <c r="CQ181" s="222"/>
      <c r="CR181" s="222"/>
      <c r="CS181" s="222"/>
    </row>
    <row r="182">
      <c r="A182" s="43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2"/>
      <c r="BB182" s="222"/>
      <c r="BC182" s="222"/>
      <c r="BD182" s="222"/>
      <c r="BE182" s="222"/>
      <c r="BF182" s="222"/>
      <c r="BG182" s="222"/>
      <c r="BH182" s="222"/>
      <c r="BI182" s="222"/>
      <c r="BJ182" s="222"/>
      <c r="BK182" s="222"/>
      <c r="BL182" s="222"/>
      <c r="BM182" s="222"/>
      <c r="BN182" s="222"/>
      <c r="BO182" s="222"/>
      <c r="BP182" s="222"/>
      <c r="BQ182" s="222"/>
      <c r="BR182" s="222"/>
      <c r="BS182" s="222"/>
      <c r="BT182" s="222"/>
      <c r="BU182" s="222"/>
      <c r="BV182" s="222"/>
      <c r="BW182" s="222"/>
      <c r="BX182" s="222"/>
      <c r="BY182" s="222"/>
      <c r="BZ182" s="222"/>
      <c r="CA182" s="222"/>
      <c r="CB182" s="222"/>
      <c r="CC182" s="222"/>
      <c r="CD182" s="222"/>
      <c r="CE182" s="222"/>
      <c r="CF182" s="222"/>
      <c r="CG182" s="222"/>
      <c r="CH182" s="222"/>
      <c r="CI182" s="222"/>
      <c r="CJ182" s="222"/>
      <c r="CK182" s="222"/>
      <c r="CL182" s="222"/>
      <c r="CM182" s="222"/>
      <c r="CN182" s="222"/>
      <c r="CO182" s="222"/>
      <c r="CP182" s="222"/>
      <c r="CQ182" s="222"/>
      <c r="CR182" s="222"/>
      <c r="CS182" s="222"/>
    </row>
    <row r="183">
      <c r="A183" s="43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  <c r="AY183" s="222"/>
      <c r="AZ183" s="222"/>
      <c r="BA183" s="222"/>
      <c r="BB183" s="222"/>
      <c r="BC183" s="222"/>
      <c r="BD183" s="222"/>
      <c r="BE183" s="222"/>
      <c r="BF183" s="222"/>
      <c r="BG183" s="222"/>
      <c r="BH183" s="222"/>
      <c r="BI183" s="222"/>
      <c r="BJ183" s="222"/>
      <c r="BK183" s="222"/>
      <c r="BL183" s="222"/>
      <c r="BM183" s="222"/>
      <c r="BN183" s="222"/>
      <c r="BO183" s="222"/>
      <c r="BP183" s="222"/>
      <c r="BQ183" s="222"/>
      <c r="BR183" s="222"/>
      <c r="BS183" s="222"/>
      <c r="BT183" s="222"/>
      <c r="BU183" s="222"/>
      <c r="BV183" s="222"/>
      <c r="BW183" s="222"/>
      <c r="BX183" s="222"/>
      <c r="BY183" s="222"/>
      <c r="BZ183" s="222"/>
      <c r="CA183" s="222"/>
      <c r="CB183" s="222"/>
      <c r="CC183" s="222"/>
      <c r="CD183" s="222"/>
      <c r="CE183" s="222"/>
      <c r="CF183" s="222"/>
      <c r="CG183" s="222"/>
      <c r="CH183" s="222"/>
      <c r="CI183" s="222"/>
      <c r="CJ183" s="222"/>
      <c r="CK183" s="222"/>
      <c r="CL183" s="222"/>
      <c r="CM183" s="222"/>
      <c r="CN183" s="222"/>
      <c r="CO183" s="222"/>
      <c r="CP183" s="222"/>
      <c r="CQ183" s="222"/>
      <c r="CR183" s="222"/>
      <c r="CS183" s="222"/>
    </row>
    <row r="184">
      <c r="A184" s="43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222"/>
      <c r="AP184" s="222"/>
      <c r="AQ184" s="222"/>
      <c r="AR184" s="222"/>
      <c r="AS184" s="222"/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222"/>
      <c r="BH184" s="222"/>
      <c r="BI184" s="222"/>
      <c r="BJ184" s="222"/>
      <c r="BK184" s="222"/>
      <c r="BL184" s="222"/>
      <c r="BM184" s="222"/>
      <c r="BN184" s="222"/>
      <c r="BO184" s="222"/>
      <c r="BP184" s="222"/>
      <c r="BQ184" s="222"/>
      <c r="BR184" s="222"/>
      <c r="BS184" s="222"/>
      <c r="BT184" s="222"/>
      <c r="BU184" s="222"/>
      <c r="BV184" s="222"/>
      <c r="BW184" s="222"/>
      <c r="BX184" s="222"/>
      <c r="BY184" s="222"/>
      <c r="BZ184" s="222"/>
      <c r="CA184" s="222"/>
      <c r="CB184" s="222"/>
      <c r="CC184" s="222"/>
      <c r="CD184" s="222"/>
      <c r="CE184" s="222"/>
      <c r="CF184" s="222"/>
      <c r="CG184" s="222"/>
      <c r="CH184" s="222"/>
      <c r="CI184" s="222"/>
      <c r="CJ184" s="222"/>
      <c r="CK184" s="222"/>
      <c r="CL184" s="222"/>
      <c r="CM184" s="222"/>
      <c r="CN184" s="222"/>
      <c r="CO184" s="222"/>
      <c r="CP184" s="222"/>
      <c r="CQ184" s="222"/>
      <c r="CR184" s="222"/>
      <c r="CS184" s="222"/>
    </row>
    <row r="185">
      <c r="A185" s="43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222"/>
      <c r="AP185" s="222"/>
      <c r="AQ185" s="222"/>
      <c r="AR185" s="222"/>
      <c r="AS185" s="222"/>
      <c r="AT185" s="222"/>
      <c r="AU185" s="222"/>
      <c r="AV185" s="222"/>
      <c r="AW185" s="222"/>
      <c r="AX185" s="222"/>
      <c r="AY185" s="222"/>
      <c r="AZ185" s="222"/>
      <c r="BA185" s="222"/>
      <c r="BB185" s="222"/>
      <c r="BC185" s="222"/>
      <c r="BD185" s="222"/>
      <c r="BE185" s="222"/>
      <c r="BF185" s="222"/>
      <c r="BG185" s="222"/>
      <c r="BH185" s="222"/>
      <c r="BI185" s="222"/>
      <c r="BJ185" s="222"/>
      <c r="BK185" s="222"/>
      <c r="BL185" s="222"/>
      <c r="BM185" s="222"/>
      <c r="BN185" s="222"/>
      <c r="BO185" s="222"/>
      <c r="BP185" s="222"/>
      <c r="BQ185" s="222"/>
      <c r="BR185" s="222"/>
      <c r="BS185" s="222"/>
      <c r="BT185" s="222"/>
      <c r="BU185" s="222"/>
      <c r="BV185" s="222"/>
      <c r="BW185" s="222"/>
      <c r="BX185" s="222"/>
      <c r="BY185" s="222"/>
      <c r="BZ185" s="222"/>
      <c r="CA185" s="222"/>
      <c r="CB185" s="222"/>
      <c r="CC185" s="222"/>
      <c r="CD185" s="222"/>
      <c r="CE185" s="222"/>
      <c r="CF185" s="222"/>
      <c r="CG185" s="222"/>
      <c r="CH185" s="222"/>
      <c r="CI185" s="222"/>
      <c r="CJ185" s="222"/>
      <c r="CK185" s="222"/>
      <c r="CL185" s="222"/>
      <c r="CM185" s="222"/>
      <c r="CN185" s="222"/>
      <c r="CO185" s="222"/>
      <c r="CP185" s="222"/>
      <c r="CQ185" s="222"/>
      <c r="CR185" s="222"/>
      <c r="CS185" s="222"/>
    </row>
    <row r="186">
      <c r="A186" s="43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222"/>
      <c r="AP186" s="222"/>
      <c r="AQ186" s="222"/>
      <c r="AR186" s="222"/>
      <c r="AS186" s="222"/>
      <c r="AT186" s="222"/>
      <c r="AU186" s="222"/>
      <c r="AV186" s="222"/>
      <c r="AW186" s="222"/>
      <c r="AX186" s="222"/>
      <c r="AY186" s="222"/>
      <c r="AZ186" s="222"/>
      <c r="BA186" s="222"/>
      <c r="BB186" s="222"/>
      <c r="BC186" s="222"/>
      <c r="BD186" s="222"/>
      <c r="BE186" s="222"/>
      <c r="BF186" s="222"/>
      <c r="BG186" s="222"/>
      <c r="BH186" s="222"/>
      <c r="BI186" s="222"/>
      <c r="BJ186" s="222"/>
      <c r="BK186" s="222"/>
      <c r="BL186" s="222"/>
      <c r="BM186" s="222"/>
      <c r="BN186" s="222"/>
      <c r="BO186" s="222"/>
      <c r="BP186" s="222"/>
      <c r="BQ186" s="222"/>
      <c r="BR186" s="222"/>
      <c r="BS186" s="222"/>
      <c r="BT186" s="222"/>
      <c r="BU186" s="222"/>
      <c r="BV186" s="222"/>
      <c r="BW186" s="222"/>
      <c r="BX186" s="222"/>
      <c r="BY186" s="222"/>
      <c r="BZ186" s="222"/>
      <c r="CA186" s="222"/>
      <c r="CB186" s="222"/>
      <c r="CC186" s="222"/>
      <c r="CD186" s="222"/>
      <c r="CE186" s="222"/>
      <c r="CF186" s="222"/>
      <c r="CG186" s="222"/>
      <c r="CH186" s="222"/>
      <c r="CI186" s="222"/>
      <c r="CJ186" s="222"/>
      <c r="CK186" s="222"/>
      <c r="CL186" s="222"/>
      <c r="CM186" s="222"/>
      <c r="CN186" s="222"/>
      <c r="CO186" s="222"/>
      <c r="CP186" s="222"/>
      <c r="CQ186" s="222"/>
      <c r="CR186" s="222"/>
      <c r="CS186" s="222"/>
    </row>
    <row r="187">
      <c r="A187" s="43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222"/>
      <c r="AP187" s="222"/>
      <c r="AQ187" s="222"/>
      <c r="AR187" s="222"/>
      <c r="AS187" s="222"/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222"/>
      <c r="BH187" s="222"/>
      <c r="BI187" s="222"/>
      <c r="BJ187" s="222"/>
      <c r="BK187" s="222"/>
      <c r="BL187" s="222"/>
      <c r="BM187" s="222"/>
      <c r="BN187" s="222"/>
      <c r="BO187" s="222"/>
      <c r="BP187" s="222"/>
      <c r="BQ187" s="222"/>
      <c r="BR187" s="222"/>
      <c r="BS187" s="222"/>
      <c r="BT187" s="222"/>
      <c r="BU187" s="222"/>
      <c r="BV187" s="222"/>
      <c r="BW187" s="222"/>
      <c r="BX187" s="222"/>
      <c r="BY187" s="222"/>
      <c r="BZ187" s="222"/>
      <c r="CA187" s="222"/>
      <c r="CB187" s="222"/>
      <c r="CC187" s="222"/>
      <c r="CD187" s="222"/>
      <c r="CE187" s="222"/>
      <c r="CF187" s="222"/>
      <c r="CG187" s="222"/>
      <c r="CH187" s="222"/>
      <c r="CI187" s="222"/>
      <c r="CJ187" s="222"/>
      <c r="CK187" s="222"/>
      <c r="CL187" s="222"/>
      <c r="CM187" s="222"/>
      <c r="CN187" s="222"/>
      <c r="CO187" s="222"/>
      <c r="CP187" s="222"/>
      <c r="CQ187" s="222"/>
      <c r="CR187" s="222"/>
      <c r="CS187" s="222"/>
    </row>
    <row r="188">
      <c r="A188" s="43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222"/>
      <c r="AP188" s="222"/>
      <c r="AQ188" s="222"/>
      <c r="AR188" s="222"/>
      <c r="AS188" s="222"/>
      <c r="AT188" s="222"/>
      <c r="AU188" s="222"/>
      <c r="AV188" s="222"/>
      <c r="AW188" s="222"/>
      <c r="AX188" s="222"/>
      <c r="AY188" s="222"/>
      <c r="AZ188" s="222"/>
      <c r="BA188" s="222"/>
      <c r="BB188" s="222"/>
      <c r="BC188" s="222"/>
      <c r="BD188" s="222"/>
      <c r="BE188" s="222"/>
      <c r="BF188" s="222"/>
      <c r="BG188" s="222"/>
      <c r="BH188" s="222"/>
      <c r="BI188" s="222"/>
      <c r="BJ188" s="222"/>
      <c r="BK188" s="222"/>
      <c r="BL188" s="222"/>
      <c r="BM188" s="222"/>
      <c r="BN188" s="222"/>
      <c r="BO188" s="222"/>
      <c r="BP188" s="222"/>
      <c r="BQ188" s="222"/>
      <c r="BR188" s="222"/>
      <c r="BS188" s="222"/>
      <c r="BT188" s="222"/>
      <c r="BU188" s="222"/>
      <c r="BV188" s="222"/>
      <c r="BW188" s="222"/>
      <c r="BX188" s="222"/>
      <c r="BY188" s="222"/>
      <c r="BZ188" s="222"/>
      <c r="CA188" s="222"/>
      <c r="CB188" s="222"/>
      <c r="CC188" s="222"/>
      <c r="CD188" s="222"/>
      <c r="CE188" s="222"/>
      <c r="CF188" s="222"/>
      <c r="CG188" s="222"/>
      <c r="CH188" s="222"/>
      <c r="CI188" s="222"/>
      <c r="CJ188" s="222"/>
      <c r="CK188" s="222"/>
      <c r="CL188" s="222"/>
      <c r="CM188" s="222"/>
      <c r="CN188" s="222"/>
      <c r="CO188" s="222"/>
      <c r="CP188" s="222"/>
      <c r="CQ188" s="222"/>
      <c r="CR188" s="222"/>
      <c r="CS188" s="222"/>
    </row>
    <row r="189">
      <c r="A189" s="43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222"/>
      <c r="BH189" s="222"/>
      <c r="BI189" s="222"/>
      <c r="BJ189" s="222"/>
      <c r="BK189" s="222"/>
      <c r="BL189" s="222"/>
      <c r="BM189" s="222"/>
      <c r="BN189" s="222"/>
      <c r="BO189" s="222"/>
      <c r="BP189" s="222"/>
      <c r="BQ189" s="222"/>
      <c r="BR189" s="222"/>
      <c r="BS189" s="222"/>
      <c r="BT189" s="222"/>
      <c r="BU189" s="222"/>
      <c r="BV189" s="222"/>
      <c r="BW189" s="222"/>
      <c r="BX189" s="222"/>
      <c r="BY189" s="222"/>
      <c r="BZ189" s="222"/>
      <c r="CA189" s="222"/>
      <c r="CB189" s="222"/>
      <c r="CC189" s="222"/>
      <c r="CD189" s="222"/>
      <c r="CE189" s="222"/>
      <c r="CF189" s="222"/>
      <c r="CG189" s="222"/>
      <c r="CH189" s="222"/>
      <c r="CI189" s="222"/>
      <c r="CJ189" s="222"/>
      <c r="CK189" s="222"/>
      <c r="CL189" s="222"/>
      <c r="CM189" s="222"/>
      <c r="CN189" s="222"/>
      <c r="CO189" s="222"/>
      <c r="CP189" s="222"/>
      <c r="CQ189" s="222"/>
      <c r="CR189" s="222"/>
      <c r="CS189" s="222"/>
    </row>
    <row r="190">
      <c r="A190" s="43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222"/>
      <c r="AP190" s="222"/>
      <c r="AQ190" s="222"/>
      <c r="AR190" s="222"/>
      <c r="AS190" s="222"/>
      <c r="AT190" s="222"/>
      <c r="AU190" s="222"/>
      <c r="AV190" s="222"/>
      <c r="AW190" s="222"/>
      <c r="AX190" s="222"/>
      <c r="AY190" s="222"/>
      <c r="AZ190" s="222"/>
      <c r="BA190" s="222"/>
      <c r="BB190" s="222"/>
      <c r="BC190" s="222"/>
      <c r="BD190" s="222"/>
      <c r="BE190" s="222"/>
      <c r="BF190" s="222"/>
      <c r="BG190" s="222"/>
      <c r="BH190" s="222"/>
      <c r="BI190" s="222"/>
      <c r="BJ190" s="222"/>
      <c r="BK190" s="222"/>
      <c r="BL190" s="222"/>
      <c r="BM190" s="222"/>
      <c r="BN190" s="222"/>
      <c r="BO190" s="222"/>
      <c r="BP190" s="222"/>
      <c r="BQ190" s="222"/>
      <c r="BR190" s="222"/>
      <c r="BS190" s="222"/>
      <c r="BT190" s="222"/>
      <c r="BU190" s="222"/>
      <c r="BV190" s="222"/>
      <c r="BW190" s="222"/>
      <c r="BX190" s="222"/>
      <c r="BY190" s="222"/>
      <c r="BZ190" s="222"/>
      <c r="CA190" s="222"/>
      <c r="CB190" s="222"/>
      <c r="CC190" s="222"/>
      <c r="CD190" s="222"/>
      <c r="CE190" s="222"/>
      <c r="CF190" s="222"/>
      <c r="CG190" s="222"/>
      <c r="CH190" s="222"/>
      <c r="CI190" s="222"/>
      <c r="CJ190" s="222"/>
      <c r="CK190" s="222"/>
      <c r="CL190" s="222"/>
      <c r="CM190" s="222"/>
      <c r="CN190" s="222"/>
      <c r="CO190" s="222"/>
      <c r="CP190" s="222"/>
      <c r="CQ190" s="222"/>
      <c r="CR190" s="222"/>
      <c r="CS190" s="222"/>
    </row>
    <row r="191">
      <c r="A191" s="43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  <c r="AU191" s="222"/>
      <c r="AV191" s="222"/>
      <c r="AW191" s="222"/>
      <c r="AX191" s="222"/>
      <c r="AY191" s="222"/>
      <c r="AZ191" s="222"/>
      <c r="BA191" s="222"/>
      <c r="BB191" s="222"/>
      <c r="BC191" s="222"/>
      <c r="BD191" s="222"/>
      <c r="BE191" s="222"/>
      <c r="BF191" s="222"/>
      <c r="BG191" s="222"/>
      <c r="BH191" s="222"/>
      <c r="BI191" s="222"/>
      <c r="BJ191" s="222"/>
      <c r="BK191" s="222"/>
      <c r="BL191" s="222"/>
      <c r="BM191" s="222"/>
      <c r="BN191" s="222"/>
      <c r="BO191" s="222"/>
      <c r="BP191" s="222"/>
      <c r="BQ191" s="222"/>
      <c r="BR191" s="222"/>
      <c r="BS191" s="222"/>
      <c r="BT191" s="222"/>
      <c r="BU191" s="222"/>
      <c r="BV191" s="222"/>
      <c r="BW191" s="222"/>
      <c r="BX191" s="222"/>
      <c r="BY191" s="222"/>
      <c r="BZ191" s="222"/>
      <c r="CA191" s="222"/>
      <c r="CB191" s="222"/>
      <c r="CC191" s="222"/>
      <c r="CD191" s="222"/>
      <c r="CE191" s="222"/>
      <c r="CF191" s="222"/>
      <c r="CG191" s="222"/>
      <c r="CH191" s="222"/>
      <c r="CI191" s="222"/>
      <c r="CJ191" s="222"/>
      <c r="CK191" s="222"/>
      <c r="CL191" s="222"/>
      <c r="CM191" s="222"/>
      <c r="CN191" s="222"/>
      <c r="CO191" s="222"/>
      <c r="CP191" s="222"/>
      <c r="CQ191" s="222"/>
      <c r="CR191" s="222"/>
      <c r="CS191" s="222"/>
    </row>
    <row r="192">
      <c r="A192" s="43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222"/>
      <c r="AP192" s="222"/>
      <c r="AQ192" s="222"/>
      <c r="AR192" s="222"/>
      <c r="AS192" s="222"/>
      <c r="AT192" s="222"/>
      <c r="AU192" s="222"/>
      <c r="AV192" s="222"/>
      <c r="AW192" s="222"/>
      <c r="AX192" s="222"/>
      <c r="AY192" s="222"/>
      <c r="AZ192" s="222"/>
      <c r="BA192" s="222"/>
      <c r="BB192" s="222"/>
      <c r="BC192" s="222"/>
      <c r="BD192" s="222"/>
      <c r="BE192" s="222"/>
      <c r="BF192" s="222"/>
      <c r="BG192" s="222"/>
      <c r="BH192" s="222"/>
      <c r="BI192" s="222"/>
      <c r="BJ192" s="222"/>
      <c r="BK192" s="222"/>
      <c r="BL192" s="222"/>
      <c r="BM192" s="222"/>
      <c r="BN192" s="222"/>
      <c r="BO192" s="222"/>
      <c r="BP192" s="222"/>
      <c r="BQ192" s="222"/>
      <c r="BR192" s="222"/>
      <c r="BS192" s="222"/>
      <c r="BT192" s="222"/>
      <c r="BU192" s="222"/>
      <c r="BV192" s="222"/>
      <c r="BW192" s="222"/>
      <c r="BX192" s="222"/>
      <c r="BY192" s="222"/>
      <c r="BZ192" s="222"/>
      <c r="CA192" s="222"/>
      <c r="CB192" s="222"/>
      <c r="CC192" s="222"/>
      <c r="CD192" s="222"/>
      <c r="CE192" s="222"/>
      <c r="CF192" s="222"/>
      <c r="CG192" s="222"/>
      <c r="CH192" s="222"/>
      <c r="CI192" s="222"/>
      <c r="CJ192" s="222"/>
      <c r="CK192" s="222"/>
      <c r="CL192" s="222"/>
      <c r="CM192" s="222"/>
      <c r="CN192" s="222"/>
      <c r="CO192" s="222"/>
      <c r="CP192" s="222"/>
      <c r="CQ192" s="222"/>
      <c r="CR192" s="222"/>
      <c r="CS192" s="222"/>
    </row>
    <row r="193">
      <c r="A193" s="43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  <c r="AU193" s="222"/>
      <c r="AV193" s="222"/>
      <c r="AW193" s="222"/>
      <c r="AX193" s="222"/>
      <c r="AY193" s="222"/>
      <c r="AZ193" s="222"/>
      <c r="BA193" s="222"/>
      <c r="BB193" s="222"/>
      <c r="BC193" s="222"/>
      <c r="BD193" s="222"/>
      <c r="BE193" s="222"/>
      <c r="BF193" s="222"/>
      <c r="BG193" s="222"/>
      <c r="BH193" s="222"/>
      <c r="BI193" s="222"/>
      <c r="BJ193" s="222"/>
      <c r="BK193" s="222"/>
      <c r="BL193" s="222"/>
      <c r="BM193" s="222"/>
      <c r="BN193" s="222"/>
      <c r="BO193" s="222"/>
      <c r="BP193" s="222"/>
      <c r="BQ193" s="222"/>
      <c r="BR193" s="222"/>
      <c r="BS193" s="222"/>
      <c r="BT193" s="222"/>
      <c r="BU193" s="222"/>
      <c r="BV193" s="222"/>
      <c r="BW193" s="222"/>
      <c r="BX193" s="222"/>
      <c r="BY193" s="222"/>
      <c r="BZ193" s="222"/>
      <c r="CA193" s="222"/>
      <c r="CB193" s="222"/>
      <c r="CC193" s="222"/>
      <c r="CD193" s="222"/>
      <c r="CE193" s="222"/>
      <c r="CF193" s="222"/>
      <c r="CG193" s="222"/>
      <c r="CH193" s="222"/>
      <c r="CI193" s="222"/>
      <c r="CJ193" s="222"/>
      <c r="CK193" s="222"/>
      <c r="CL193" s="222"/>
      <c r="CM193" s="222"/>
      <c r="CN193" s="222"/>
      <c r="CO193" s="222"/>
      <c r="CP193" s="222"/>
      <c r="CQ193" s="222"/>
      <c r="CR193" s="222"/>
      <c r="CS193" s="222"/>
    </row>
    <row r="194">
      <c r="A194" s="43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222"/>
      <c r="BH194" s="222"/>
      <c r="BI194" s="222"/>
      <c r="BJ194" s="222"/>
      <c r="BK194" s="222"/>
      <c r="BL194" s="222"/>
      <c r="BM194" s="222"/>
      <c r="BN194" s="222"/>
      <c r="BO194" s="222"/>
      <c r="BP194" s="222"/>
      <c r="BQ194" s="222"/>
      <c r="BR194" s="222"/>
      <c r="BS194" s="222"/>
      <c r="BT194" s="222"/>
      <c r="BU194" s="222"/>
      <c r="BV194" s="222"/>
      <c r="BW194" s="222"/>
      <c r="BX194" s="222"/>
      <c r="BY194" s="222"/>
      <c r="BZ194" s="222"/>
      <c r="CA194" s="222"/>
      <c r="CB194" s="222"/>
      <c r="CC194" s="222"/>
      <c r="CD194" s="222"/>
      <c r="CE194" s="222"/>
      <c r="CF194" s="222"/>
      <c r="CG194" s="222"/>
      <c r="CH194" s="222"/>
      <c r="CI194" s="222"/>
      <c r="CJ194" s="222"/>
      <c r="CK194" s="222"/>
      <c r="CL194" s="222"/>
      <c r="CM194" s="222"/>
      <c r="CN194" s="222"/>
      <c r="CO194" s="222"/>
      <c r="CP194" s="222"/>
      <c r="CQ194" s="222"/>
      <c r="CR194" s="222"/>
      <c r="CS194" s="222"/>
    </row>
    <row r="195">
      <c r="A195" s="43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222"/>
      <c r="AP195" s="222"/>
      <c r="AQ195" s="222"/>
      <c r="AR195" s="222"/>
      <c r="AS195" s="222"/>
      <c r="AT195" s="222"/>
      <c r="AU195" s="222"/>
      <c r="AV195" s="222"/>
      <c r="AW195" s="222"/>
      <c r="AX195" s="222"/>
      <c r="AY195" s="222"/>
      <c r="AZ195" s="222"/>
      <c r="BA195" s="222"/>
      <c r="BB195" s="222"/>
      <c r="BC195" s="222"/>
      <c r="BD195" s="222"/>
      <c r="BE195" s="222"/>
      <c r="BF195" s="222"/>
      <c r="BG195" s="222"/>
      <c r="BH195" s="222"/>
      <c r="BI195" s="222"/>
      <c r="BJ195" s="222"/>
      <c r="BK195" s="222"/>
      <c r="BL195" s="222"/>
      <c r="BM195" s="222"/>
      <c r="BN195" s="222"/>
      <c r="BO195" s="222"/>
      <c r="BP195" s="222"/>
      <c r="BQ195" s="222"/>
      <c r="BR195" s="222"/>
      <c r="BS195" s="222"/>
      <c r="BT195" s="222"/>
      <c r="BU195" s="222"/>
      <c r="BV195" s="222"/>
      <c r="BW195" s="222"/>
      <c r="BX195" s="222"/>
      <c r="BY195" s="222"/>
      <c r="BZ195" s="222"/>
      <c r="CA195" s="222"/>
      <c r="CB195" s="222"/>
      <c r="CC195" s="222"/>
      <c r="CD195" s="222"/>
      <c r="CE195" s="222"/>
      <c r="CF195" s="222"/>
      <c r="CG195" s="222"/>
      <c r="CH195" s="222"/>
      <c r="CI195" s="222"/>
      <c r="CJ195" s="222"/>
      <c r="CK195" s="222"/>
      <c r="CL195" s="222"/>
      <c r="CM195" s="222"/>
      <c r="CN195" s="222"/>
      <c r="CO195" s="222"/>
      <c r="CP195" s="222"/>
      <c r="CQ195" s="222"/>
      <c r="CR195" s="222"/>
      <c r="CS195" s="222"/>
    </row>
    <row r="196">
      <c r="A196" s="43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222"/>
      <c r="AP196" s="222"/>
      <c r="AQ196" s="222"/>
      <c r="AR196" s="222"/>
      <c r="AS196" s="222"/>
      <c r="AT196" s="222"/>
      <c r="AU196" s="222"/>
      <c r="AV196" s="222"/>
      <c r="AW196" s="222"/>
      <c r="AX196" s="222"/>
      <c r="AY196" s="222"/>
      <c r="AZ196" s="222"/>
      <c r="BA196" s="222"/>
      <c r="BB196" s="222"/>
      <c r="BC196" s="222"/>
      <c r="BD196" s="222"/>
      <c r="BE196" s="222"/>
      <c r="BF196" s="222"/>
      <c r="BG196" s="222"/>
      <c r="BH196" s="222"/>
      <c r="BI196" s="222"/>
      <c r="BJ196" s="222"/>
      <c r="BK196" s="222"/>
      <c r="BL196" s="222"/>
      <c r="BM196" s="222"/>
      <c r="BN196" s="222"/>
      <c r="BO196" s="222"/>
      <c r="BP196" s="222"/>
      <c r="BQ196" s="222"/>
      <c r="BR196" s="222"/>
      <c r="BS196" s="222"/>
      <c r="BT196" s="222"/>
      <c r="BU196" s="222"/>
      <c r="BV196" s="222"/>
      <c r="BW196" s="222"/>
      <c r="BX196" s="222"/>
      <c r="BY196" s="222"/>
      <c r="BZ196" s="222"/>
      <c r="CA196" s="222"/>
      <c r="CB196" s="222"/>
      <c r="CC196" s="222"/>
      <c r="CD196" s="222"/>
      <c r="CE196" s="222"/>
      <c r="CF196" s="222"/>
      <c r="CG196" s="222"/>
      <c r="CH196" s="222"/>
      <c r="CI196" s="222"/>
      <c r="CJ196" s="222"/>
      <c r="CK196" s="222"/>
      <c r="CL196" s="222"/>
      <c r="CM196" s="222"/>
      <c r="CN196" s="222"/>
      <c r="CO196" s="222"/>
      <c r="CP196" s="222"/>
      <c r="CQ196" s="222"/>
      <c r="CR196" s="222"/>
      <c r="CS196" s="222"/>
    </row>
    <row r="197">
      <c r="A197" s="43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22"/>
      <c r="AK197" s="222"/>
      <c r="AL197" s="222"/>
      <c r="AM197" s="222"/>
      <c r="AN197" s="222"/>
      <c r="AO197" s="222"/>
      <c r="AP197" s="222"/>
      <c r="AQ197" s="222"/>
      <c r="AR197" s="222"/>
      <c r="AS197" s="222"/>
      <c r="AT197" s="222"/>
      <c r="AU197" s="222"/>
      <c r="AV197" s="222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222"/>
      <c r="BH197" s="222"/>
      <c r="BI197" s="222"/>
      <c r="BJ197" s="222"/>
      <c r="BK197" s="222"/>
      <c r="BL197" s="222"/>
      <c r="BM197" s="222"/>
      <c r="BN197" s="222"/>
      <c r="BO197" s="222"/>
      <c r="BP197" s="222"/>
      <c r="BQ197" s="222"/>
      <c r="BR197" s="222"/>
      <c r="BS197" s="222"/>
      <c r="BT197" s="222"/>
      <c r="BU197" s="222"/>
      <c r="BV197" s="222"/>
      <c r="BW197" s="222"/>
      <c r="BX197" s="222"/>
      <c r="BY197" s="222"/>
      <c r="BZ197" s="222"/>
      <c r="CA197" s="222"/>
      <c r="CB197" s="222"/>
      <c r="CC197" s="222"/>
      <c r="CD197" s="222"/>
      <c r="CE197" s="222"/>
      <c r="CF197" s="222"/>
      <c r="CG197" s="222"/>
      <c r="CH197" s="222"/>
      <c r="CI197" s="222"/>
      <c r="CJ197" s="222"/>
      <c r="CK197" s="222"/>
      <c r="CL197" s="222"/>
      <c r="CM197" s="222"/>
      <c r="CN197" s="222"/>
      <c r="CO197" s="222"/>
      <c r="CP197" s="222"/>
      <c r="CQ197" s="222"/>
      <c r="CR197" s="222"/>
      <c r="CS197" s="222"/>
    </row>
    <row r="198">
      <c r="A198" s="43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222"/>
      <c r="AP198" s="222"/>
      <c r="AQ198" s="222"/>
      <c r="AR198" s="222"/>
      <c r="AS198" s="222"/>
      <c r="AT198" s="222"/>
      <c r="AU198" s="222"/>
      <c r="AV198" s="222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222"/>
      <c r="BH198" s="222"/>
      <c r="BI198" s="222"/>
      <c r="BJ198" s="222"/>
      <c r="BK198" s="222"/>
      <c r="BL198" s="222"/>
      <c r="BM198" s="222"/>
      <c r="BN198" s="222"/>
      <c r="BO198" s="222"/>
      <c r="BP198" s="222"/>
      <c r="BQ198" s="222"/>
      <c r="BR198" s="222"/>
      <c r="BS198" s="222"/>
      <c r="BT198" s="222"/>
      <c r="BU198" s="222"/>
      <c r="BV198" s="222"/>
      <c r="BW198" s="222"/>
      <c r="BX198" s="222"/>
      <c r="BY198" s="222"/>
      <c r="BZ198" s="222"/>
      <c r="CA198" s="222"/>
      <c r="CB198" s="222"/>
      <c r="CC198" s="222"/>
      <c r="CD198" s="222"/>
      <c r="CE198" s="222"/>
      <c r="CF198" s="222"/>
      <c r="CG198" s="222"/>
      <c r="CH198" s="222"/>
      <c r="CI198" s="222"/>
      <c r="CJ198" s="222"/>
      <c r="CK198" s="222"/>
      <c r="CL198" s="222"/>
      <c r="CM198" s="222"/>
      <c r="CN198" s="222"/>
      <c r="CO198" s="222"/>
      <c r="CP198" s="222"/>
      <c r="CQ198" s="222"/>
      <c r="CR198" s="222"/>
      <c r="CS198" s="222"/>
    </row>
    <row r="199">
      <c r="A199" s="43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222"/>
      <c r="AP199" s="222"/>
      <c r="AQ199" s="222"/>
      <c r="AR199" s="222"/>
      <c r="AS199" s="222"/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2"/>
      <c r="BH199" s="222"/>
      <c r="BI199" s="222"/>
      <c r="BJ199" s="222"/>
      <c r="BK199" s="222"/>
      <c r="BL199" s="222"/>
      <c r="BM199" s="222"/>
      <c r="BN199" s="222"/>
      <c r="BO199" s="222"/>
      <c r="BP199" s="222"/>
      <c r="BQ199" s="222"/>
      <c r="BR199" s="222"/>
      <c r="BS199" s="222"/>
      <c r="BT199" s="222"/>
      <c r="BU199" s="222"/>
      <c r="BV199" s="222"/>
      <c r="BW199" s="222"/>
      <c r="BX199" s="222"/>
      <c r="BY199" s="222"/>
      <c r="BZ199" s="222"/>
      <c r="CA199" s="222"/>
      <c r="CB199" s="222"/>
      <c r="CC199" s="222"/>
      <c r="CD199" s="222"/>
      <c r="CE199" s="222"/>
      <c r="CF199" s="222"/>
      <c r="CG199" s="222"/>
      <c r="CH199" s="222"/>
      <c r="CI199" s="222"/>
      <c r="CJ199" s="222"/>
      <c r="CK199" s="222"/>
      <c r="CL199" s="222"/>
      <c r="CM199" s="222"/>
      <c r="CN199" s="222"/>
      <c r="CO199" s="222"/>
      <c r="CP199" s="222"/>
      <c r="CQ199" s="222"/>
      <c r="CR199" s="222"/>
      <c r="CS199" s="222"/>
    </row>
    <row r="200">
      <c r="A200" s="43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222"/>
      <c r="AP200" s="222"/>
      <c r="AQ200" s="222"/>
      <c r="AR200" s="222"/>
      <c r="AS200" s="222"/>
      <c r="AT200" s="222"/>
      <c r="AU200" s="222"/>
      <c r="AV200" s="222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222"/>
      <c r="BH200" s="222"/>
      <c r="BI200" s="222"/>
      <c r="BJ200" s="222"/>
      <c r="BK200" s="222"/>
      <c r="BL200" s="222"/>
      <c r="BM200" s="222"/>
      <c r="BN200" s="222"/>
      <c r="BO200" s="222"/>
      <c r="BP200" s="222"/>
      <c r="BQ200" s="222"/>
      <c r="BR200" s="222"/>
      <c r="BS200" s="222"/>
      <c r="BT200" s="222"/>
      <c r="BU200" s="222"/>
      <c r="BV200" s="222"/>
      <c r="BW200" s="222"/>
      <c r="BX200" s="222"/>
      <c r="BY200" s="222"/>
      <c r="BZ200" s="222"/>
      <c r="CA200" s="222"/>
      <c r="CB200" s="222"/>
      <c r="CC200" s="222"/>
      <c r="CD200" s="222"/>
      <c r="CE200" s="222"/>
      <c r="CF200" s="222"/>
      <c r="CG200" s="222"/>
      <c r="CH200" s="222"/>
      <c r="CI200" s="222"/>
      <c r="CJ200" s="222"/>
      <c r="CK200" s="222"/>
      <c r="CL200" s="222"/>
      <c r="CM200" s="222"/>
      <c r="CN200" s="222"/>
      <c r="CO200" s="222"/>
      <c r="CP200" s="222"/>
      <c r="CQ200" s="222"/>
      <c r="CR200" s="222"/>
      <c r="CS200" s="222"/>
    </row>
    <row r="201">
      <c r="A201" s="43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222"/>
      <c r="AP201" s="222"/>
      <c r="AQ201" s="222"/>
      <c r="AR201" s="222"/>
      <c r="AS201" s="222"/>
      <c r="AT201" s="222"/>
      <c r="AU201" s="222"/>
      <c r="AV201" s="222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222"/>
      <c r="BH201" s="222"/>
      <c r="BI201" s="222"/>
      <c r="BJ201" s="222"/>
      <c r="BK201" s="222"/>
      <c r="BL201" s="222"/>
      <c r="BM201" s="222"/>
      <c r="BN201" s="222"/>
      <c r="BO201" s="222"/>
      <c r="BP201" s="222"/>
      <c r="BQ201" s="222"/>
      <c r="BR201" s="222"/>
      <c r="BS201" s="222"/>
      <c r="BT201" s="222"/>
      <c r="BU201" s="222"/>
      <c r="BV201" s="222"/>
      <c r="BW201" s="222"/>
      <c r="BX201" s="222"/>
      <c r="BY201" s="222"/>
      <c r="BZ201" s="222"/>
      <c r="CA201" s="222"/>
      <c r="CB201" s="222"/>
      <c r="CC201" s="222"/>
      <c r="CD201" s="222"/>
      <c r="CE201" s="222"/>
      <c r="CF201" s="222"/>
      <c r="CG201" s="222"/>
      <c r="CH201" s="222"/>
      <c r="CI201" s="222"/>
      <c r="CJ201" s="222"/>
      <c r="CK201" s="222"/>
      <c r="CL201" s="222"/>
      <c r="CM201" s="222"/>
      <c r="CN201" s="222"/>
      <c r="CO201" s="222"/>
      <c r="CP201" s="222"/>
      <c r="CQ201" s="222"/>
      <c r="CR201" s="222"/>
      <c r="CS201" s="222"/>
    </row>
    <row r="202">
      <c r="A202" s="43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  <c r="BQ202" s="222"/>
      <c r="BR202" s="222"/>
      <c r="BS202" s="222"/>
      <c r="BT202" s="222"/>
      <c r="BU202" s="222"/>
      <c r="BV202" s="222"/>
      <c r="BW202" s="222"/>
      <c r="BX202" s="222"/>
      <c r="BY202" s="222"/>
      <c r="BZ202" s="222"/>
      <c r="CA202" s="222"/>
      <c r="CB202" s="222"/>
      <c r="CC202" s="222"/>
      <c r="CD202" s="222"/>
      <c r="CE202" s="222"/>
      <c r="CF202" s="222"/>
      <c r="CG202" s="222"/>
      <c r="CH202" s="222"/>
      <c r="CI202" s="222"/>
      <c r="CJ202" s="222"/>
      <c r="CK202" s="222"/>
      <c r="CL202" s="222"/>
      <c r="CM202" s="222"/>
      <c r="CN202" s="222"/>
      <c r="CO202" s="222"/>
      <c r="CP202" s="222"/>
      <c r="CQ202" s="222"/>
      <c r="CR202" s="222"/>
      <c r="CS202" s="222"/>
    </row>
    <row r="203">
      <c r="A203" s="43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2"/>
      <c r="AU203" s="222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  <c r="BX203" s="222"/>
      <c r="BY203" s="222"/>
      <c r="BZ203" s="222"/>
      <c r="CA203" s="222"/>
      <c r="CB203" s="222"/>
      <c r="CC203" s="222"/>
      <c r="CD203" s="222"/>
      <c r="CE203" s="222"/>
      <c r="CF203" s="222"/>
      <c r="CG203" s="222"/>
      <c r="CH203" s="222"/>
      <c r="CI203" s="222"/>
      <c r="CJ203" s="222"/>
      <c r="CK203" s="222"/>
      <c r="CL203" s="222"/>
      <c r="CM203" s="222"/>
      <c r="CN203" s="222"/>
      <c r="CO203" s="222"/>
      <c r="CP203" s="222"/>
      <c r="CQ203" s="222"/>
      <c r="CR203" s="222"/>
      <c r="CS203" s="222"/>
    </row>
    <row r="204">
      <c r="A204" s="43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222"/>
      <c r="AP204" s="222"/>
      <c r="AQ204" s="222"/>
      <c r="AR204" s="222"/>
      <c r="AS204" s="222"/>
      <c r="AT204" s="222"/>
      <c r="AU204" s="222"/>
      <c r="AV204" s="222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222"/>
      <c r="BH204" s="222"/>
      <c r="BI204" s="222"/>
      <c r="BJ204" s="222"/>
      <c r="BK204" s="222"/>
      <c r="BL204" s="222"/>
      <c r="BM204" s="222"/>
      <c r="BN204" s="222"/>
      <c r="BO204" s="222"/>
      <c r="BP204" s="222"/>
      <c r="BQ204" s="222"/>
      <c r="BR204" s="222"/>
      <c r="BS204" s="222"/>
      <c r="BT204" s="222"/>
      <c r="BU204" s="222"/>
      <c r="BV204" s="222"/>
      <c r="BW204" s="222"/>
      <c r="BX204" s="222"/>
      <c r="BY204" s="222"/>
      <c r="BZ204" s="222"/>
      <c r="CA204" s="222"/>
      <c r="CB204" s="222"/>
      <c r="CC204" s="222"/>
      <c r="CD204" s="222"/>
      <c r="CE204" s="222"/>
      <c r="CF204" s="222"/>
      <c r="CG204" s="222"/>
      <c r="CH204" s="222"/>
      <c r="CI204" s="222"/>
      <c r="CJ204" s="222"/>
      <c r="CK204" s="222"/>
      <c r="CL204" s="222"/>
      <c r="CM204" s="222"/>
      <c r="CN204" s="222"/>
      <c r="CO204" s="222"/>
      <c r="CP204" s="222"/>
      <c r="CQ204" s="222"/>
      <c r="CR204" s="222"/>
      <c r="CS204" s="222"/>
    </row>
    <row r="205">
      <c r="A205" s="43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222"/>
      <c r="AP205" s="222"/>
      <c r="AQ205" s="222"/>
      <c r="AR205" s="222"/>
      <c r="AS205" s="222"/>
      <c r="AT205" s="222"/>
      <c r="AU205" s="222"/>
      <c r="AV205" s="222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222"/>
      <c r="BH205" s="222"/>
      <c r="BI205" s="222"/>
      <c r="BJ205" s="222"/>
      <c r="BK205" s="222"/>
      <c r="BL205" s="222"/>
      <c r="BM205" s="222"/>
      <c r="BN205" s="222"/>
      <c r="BO205" s="222"/>
      <c r="BP205" s="222"/>
      <c r="BQ205" s="222"/>
      <c r="BR205" s="222"/>
      <c r="BS205" s="222"/>
      <c r="BT205" s="222"/>
      <c r="BU205" s="222"/>
      <c r="BV205" s="222"/>
      <c r="BW205" s="222"/>
      <c r="BX205" s="222"/>
      <c r="BY205" s="222"/>
      <c r="BZ205" s="222"/>
      <c r="CA205" s="222"/>
      <c r="CB205" s="222"/>
      <c r="CC205" s="222"/>
      <c r="CD205" s="222"/>
      <c r="CE205" s="222"/>
      <c r="CF205" s="222"/>
      <c r="CG205" s="222"/>
      <c r="CH205" s="222"/>
      <c r="CI205" s="222"/>
      <c r="CJ205" s="222"/>
      <c r="CK205" s="222"/>
      <c r="CL205" s="222"/>
      <c r="CM205" s="222"/>
      <c r="CN205" s="222"/>
      <c r="CO205" s="222"/>
      <c r="CP205" s="222"/>
      <c r="CQ205" s="222"/>
      <c r="CR205" s="222"/>
      <c r="CS205" s="222"/>
    </row>
    <row r="206">
      <c r="A206" s="43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222"/>
      <c r="AP206" s="222"/>
      <c r="AQ206" s="222"/>
      <c r="AR206" s="222"/>
      <c r="AS206" s="222"/>
      <c r="AT206" s="222"/>
      <c r="AU206" s="222"/>
      <c r="AV206" s="222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222"/>
      <c r="BH206" s="222"/>
      <c r="BI206" s="222"/>
      <c r="BJ206" s="222"/>
      <c r="BK206" s="222"/>
      <c r="BL206" s="222"/>
      <c r="BM206" s="222"/>
      <c r="BN206" s="222"/>
      <c r="BO206" s="222"/>
      <c r="BP206" s="222"/>
      <c r="BQ206" s="222"/>
      <c r="BR206" s="222"/>
      <c r="BS206" s="222"/>
      <c r="BT206" s="222"/>
      <c r="BU206" s="222"/>
      <c r="BV206" s="222"/>
      <c r="BW206" s="222"/>
      <c r="BX206" s="222"/>
      <c r="BY206" s="222"/>
      <c r="BZ206" s="222"/>
      <c r="CA206" s="222"/>
      <c r="CB206" s="222"/>
      <c r="CC206" s="222"/>
      <c r="CD206" s="222"/>
      <c r="CE206" s="222"/>
      <c r="CF206" s="222"/>
      <c r="CG206" s="222"/>
      <c r="CH206" s="222"/>
      <c r="CI206" s="222"/>
      <c r="CJ206" s="222"/>
      <c r="CK206" s="222"/>
      <c r="CL206" s="222"/>
      <c r="CM206" s="222"/>
      <c r="CN206" s="222"/>
      <c r="CO206" s="222"/>
      <c r="CP206" s="222"/>
      <c r="CQ206" s="222"/>
      <c r="CR206" s="222"/>
      <c r="CS206" s="222"/>
    </row>
    <row r="207">
      <c r="A207" s="43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222"/>
      <c r="AP207" s="222"/>
      <c r="AQ207" s="222"/>
      <c r="AR207" s="222"/>
      <c r="AS207" s="222"/>
      <c r="AT207" s="222"/>
      <c r="AU207" s="222"/>
      <c r="AV207" s="222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222"/>
      <c r="BH207" s="222"/>
      <c r="BI207" s="222"/>
      <c r="BJ207" s="222"/>
      <c r="BK207" s="222"/>
      <c r="BL207" s="222"/>
      <c r="BM207" s="222"/>
      <c r="BN207" s="222"/>
      <c r="BO207" s="222"/>
      <c r="BP207" s="222"/>
      <c r="BQ207" s="222"/>
      <c r="BR207" s="222"/>
      <c r="BS207" s="222"/>
      <c r="BT207" s="222"/>
      <c r="BU207" s="222"/>
      <c r="BV207" s="222"/>
      <c r="BW207" s="222"/>
      <c r="BX207" s="222"/>
      <c r="BY207" s="222"/>
      <c r="BZ207" s="222"/>
      <c r="CA207" s="222"/>
      <c r="CB207" s="222"/>
      <c r="CC207" s="222"/>
      <c r="CD207" s="222"/>
      <c r="CE207" s="222"/>
      <c r="CF207" s="222"/>
      <c r="CG207" s="222"/>
      <c r="CH207" s="222"/>
      <c r="CI207" s="222"/>
      <c r="CJ207" s="222"/>
      <c r="CK207" s="222"/>
      <c r="CL207" s="222"/>
      <c r="CM207" s="222"/>
      <c r="CN207" s="222"/>
      <c r="CO207" s="222"/>
      <c r="CP207" s="222"/>
      <c r="CQ207" s="222"/>
      <c r="CR207" s="222"/>
      <c r="CS207" s="222"/>
    </row>
    <row r="208">
      <c r="A208" s="43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222"/>
      <c r="AP208" s="222"/>
      <c r="AQ208" s="222"/>
      <c r="AR208" s="222"/>
      <c r="AS208" s="222"/>
      <c r="AT208" s="222"/>
      <c r="AU208" s="222"/>
      <c r="AV208" s="222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222"/>
      <c r="BH208" s="222"/>
      <c r="BI208" s="222"/>
      <c r="BJ208" s="222"/>
      <c r="BK208" s="222"/>
      <c r="BL208" s="222"/>
      <c r="BM208" s="222"/>
      <c r="BN208" s="222"/>
      <c r="BO208" s="222"/>
      <c r="BP208" s="222"/>
      <c r="BQ208" s="222"/>
      <c r="BR208" s="222"/>
      <c r="BS208" s="222"/>
      <c r="BT208" s="222"/>
      <c r="BU208" s="222"/>
      <c r="BV208" s="222"/>
      <c r="BW208" s="222"/>
      <c r="BX208" s="222"/>
      <c r="BY208" s="222"/>
      <c r="BZ208" s="222"/>
      <c r="CA208" s="222"/>
      <c r="CB208" s="222"/>
      <c r="CC208" s="222"/>
      <c r="CD208" s="222"/>
      <c r="CE208" s="222"/>
      <c r="CF208" s="222"/>
      <c r="CG208" s="222"/>
      <c r="CH208" s="222"/>
      <c r="CI208" s="222"/>
      <c r="CJ208" s="222"/>
      <c r="CK208" s="222"/>
      <c r="CL208" s="222"/>
      <c r="CM208" s="222"/>
      <c r="CN208" s="222"/>
      <c r="CO208" s="222"/>
      <c r="CP208" s="222"/>
      <c r="CQ208" s="222"/>
      <c r="CR208" s="222"/>
      <c r="CS208" s="222"/>
    </row>
    <row r="209">
      <c r="A209" s="43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222"/>
      <c r="AP209" s="222"/>
      <c r="AQ209" s="222"/>
      <c r="AR209" s="222"/>
      <c r="AS209" s="222"/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2"/>
      <c r="BH209" s="222"/>
      <c r="BI209" s="222"/>
      <c r="BJ209" s="222"/>
      <c r="BK209" s="222"/>
      <c r="BL209" s="222"/>
      <c r="BM209" s="222"/>
      <c r="BN209" s="222"/>
      <c r="BO209" s="222"/>
      <c r="BP209" s="222"/>
      <c r="BQ209" s="222"/>
      <c r="BR209" s="222"/>
      <c r="BS209" s="222"/>
      <c r="BT209" s="222"/>
      <c r="BU209" s="222"/>
      <c r="BV209" s="222"/>
      <c r="BW209" s="222"/>
      <c r="BX209" s="222"/>
      <c r="BY209" s="222"/>
      <c r="BZ209" s="222"/>
      <c r="CA209" s="222"/>
      <c r="CB209" s="222"/>
      <c r="CC209" s="222"/>
      <c r="CD209" s="222"/>
      <c r="CE209" s="222"/>
      <c r="CF209" s="222"/>
      <c r="CG209" s="222"/>
      <c r="CH209" s="222"/>
      <c r="CI209" s="222"/>
      <c r="CJ209" s="222"/>
      <c r="CK209" s="222"/>
      <c r="CL209" s="222"/>
      <c r="CM209" s="222"/>
      <c r="CN209" s="222"/>
      <c r="CO209" s="222"/>
      <c r="CP209" s="222"/>
      <c r="CQ209" s="222"/>
      <c r="CR209" s="222"/>
      <c r="CS209" s="222"/>
    </row>
    <row r="210">
      <c r="A210" s="43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222"/>
      <c r="AP210" s="222"/>
      <c r="AQ210" s="222"/>
      <c r="AR210" s="222"/>
      <c r="AS210" s="222"/>
      <c r="AT210" s="222"/>
      <c r="AU210" s="222"/>
      <c r="AV210" s="222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222"/>
      <c r="BH210" s="222"/>
      <c r="BI210" s="222"/>
      <c r="BJ210" s="222"/>
      <c r="BK210" s="222"/>
      <c r="BL210" s="222"/>
      <c r="BM210" s="222"/>
      <c r="BN210" s="222"/>
      <c r="BO210" s="222"/>
      <c r="BP210" s="222"/>
      <c r="BQ210" s="222"/>
      <c r="BR210" s="222"/>
      <c r="BS210" s="222"/>
      <c r="BT210" s="222"/>
      <c r="BU210" s="222"/>
      <c r="BV210" s="222"/>
      <c r="BW210" s="222"/>
      <c r="BX210" s="222"/>
      <c r="BY210" s="222"/>
      <c r="BZ210" s="222"/>
      <c r="CA210" s="222"/>
      <c r="CB210" s="222"/>
      <c r="CC210" s="222"/>
      <c r="CD210" s="222"/>
      <c r="CE210" s="222"/>
      <c r="CF210" s="222"/>
      <c r="CG210" s="222"/>
      <c r="CH210" s="222"/>
      <c r="CI210" s="222"/>
      <c r="CJ210" s="222"/>
      <c r="CK210" s="222"/>
      <c r="CL210" s="222"/>
      <c r="CM210" s="222"/>
      <c r="CN210" s="222"/>
      <c r="CO210" s="222"/>
      <c r="CP210" s="222"/>
      <c r="CQ210" s="222"/>
      <c r="CR210" s="222"/>
      <c r="CS210" s="222"/>
    </row>
    <row r="211">
      <c r="A211" s="43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  <c r="BQ211" s="222"/>
      <c r="BR211" s="222"/>
      <c r="BS211" s="222"/>
      <c r="BT211" s="222"/>
      <c r="BU211" s="222"/>
      <c r="BV211" s="222"/>
      <c r="BW211" s="222"/>
      <c r="BX211" s="222"/>
      <c r="BY211" s="222"/>
      <c r="BZ211" s="222"/>
      <c r="CA211" s="222"/>
      <c r="CB211" s="222"/>
      <c r="CC211" s="222"/>
      <c r="CD211" s="222"/>
      <c r="CE211" s="222"/>
      <c r="CF211" s="222"/>
      <c r="CG211" s="222"/>
      <c r="CH211" s="222"/>
      <c r="CI211" s="222"/>
      <c r="CJ211" s="222"/>
      <c r="CK211" s="222"/>
      <c r="CL211" s="222"/>
      <c r="CM211" s="222"/>
      <c r="CN211" s="222"/>
      <c r="CO211" s="222"/>
      <c r="CP211" s="222"/>
      <c r="CQ211" s="222"/>
      <c r="CR211" s="222"/>
      <c r="CS211" s="222"/>
    </row>
    <row r="212">
      <c r="A212" s="43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222"/>
      <c r="AP212" s="222"/>
      <c r="AQ212" s="222"/>
      <c r="AR212" s="222"/>
      <c r="AS212" s="222"/>
      <c r="AT212" s="222"/>
      <c r="AU212" s="222"/>
      <c r="AV212" s="222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222"/>
      <c r="BH212" s="222"/>
      <c r="BI212" s="222"/>
      <c r="BJ212" s="222"/>
      <c r="BK212" s="222"/>
      <c r="BL212" s="222"/>
      <c r="BM212" s="222"/>
      <c r="BN212" s="222"/>
      <c r="BO212" s="222"/>
      <c r="BP212" s="222"/>
      <c r="BQ212" s="222"/>
      <c r="BR212" s="222"/>
      <c r="BS212" s="222"/>
      <c r="BT212" s="222"/>
      <c r="BU212" s="222"/>
      <c r="BV212" s="222"/>
      <c r="BW212" s="222"/>
      <c r="BX212" s="222"/>
      <c r="BY212" s="222"/>
      <c r="BZ212" s="222"/>
      <c r="CA212" s="222"/>
      <c r="CB212" s="222"/>
      <c r="CC212" s="222"/>
      <c r="CD212" s="222"/>
      <c r="CE212" s="222"/>
      <c r="CF212" s="222"/>
      <c r="CG212" s="222"/>
      <c r="CH212" s="222"/>
      <c r="CI212" s="222"/>
      <c r="CJ212" s="222"/>
      <c r="CK212" s="222"/>
      <c r="CL212" s="222"/>
      <c r="CM212" s="222"/>
      <c r="CN212" s="222"/>
      <c r="CO212" s="222"/>
      <c r="CP212" s="222"/>
      <c r="CQ212" s="222"/>
      <c r="CR212" s="222"/>
      <c r="CS212" s="222"/>
    </row>
    <row r="213">
      <c r="A213" s="43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222"/>
      <c r="AP213" s="222"/>
      <c r="AQ213" s="222"/>
      <c r="AR213" s="222"/>
      <c r="AS213" s="222"/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2"/>
      <c r="BH213" s="222"/>
      <c r="BI213" s="222"/>
      <c r="BJ213" s="222"/>
      <c r="BK213" s="222"/>
      <c r="BL213" s="222"/>
      <c r="BM213" s="222"/>
      <c r="BN213" s="222"/>
      <c r="BO213" s="222"/>
      <c r="BP213" s="222"/>
      <c r="BQ213" s="222"/>
      <c r="BR213" s="222"/>
      <c r="BS213" s="222"/>
      <c r="BT213" s="222"/>
      <c r="BU213" s="222"/>
      <c r="BV213" s="222"/>
      <c r="BW213" s="222"/>
      <c r="BX213" s="222"/>
      <c r="BY213" s="222"/>
      <c r="BZ213" s="222"/>
      <c r="CA213" s="222"/>
      <c r="CB213" s="222"/>
      <c r="CC213" s="222"/>
      <c r="CD213" s="222"/>
      <c r="CE213" s="222"/>
      <c r="CF213" s="222"/>
      <c r="CG213" s="222"/>
      <c r="CH213" s="222"/>
      <c r="CI213" s="222"/>
      <c r="CJ213" s="222"/>
      <c r="CK213" s="222"/>
      <c r="CL213" s="222"/>
      <c r="CM213" s="222"/>
      <c r="CN213" s="222"/>
      <c r="CO213" s="222"/>
      <c r="CP213" s="222"/>
      <c r="CQ213" s="222"/>
      <c r="CR213" s="222"/>
      <c r="CS213" s="222"/>
    </row>
    <row r="214">
      <c r="A214" s="43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222"/>
      <c r="AP214" s="222"/>
      <c r="AQ214" s="222"/>
      <c r="AR214" s="222"/>
      <c r="AS214" s="222"/>
      <c r="AT214" s="222"/>
      <c r="AU214" s="222"/>
      <c r="AV214" s="222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222"/>
      <c r="BH214" s="222"/>
      <c r="BI214" s="222"/>
      <c r="BJ214" s="222"/>
      <c r="BK214" s="222"/>
      <c r="BL214" s="222"/>
      <c r="BM214" s="222"/>
      <c r="BN214" s="222"/>
      <c r="BO214" s="222"/>
      <c r="BP214" s="222"/>
      <c r="BQ214" s="222"/>
      <c r="BR214" s="222"/>
      <c r="BS214" s="222"/>
      <c r="BT214" s="222"/>
      <c r="BU214" s="222"/>
      <c r="BV214" s="222"/>
      <c r="BW214" s="222"/>
      <c r="BX214" s="222"/>
      <c r="BY214" s="222"/>
      <c r="BZ214" s="222"/>
      <c r="CA214" s="222"/>
      <c r="CB214" s="222"/>
      <c r="CC214" s="222"/>
      <c r="CD214" s="222"/>
      <c r="CE214" s="222"/>
      <c r="CF214" s="222"/>
      <c r="CG214" s="222"/>
      <c r="CH214" s="222"/>
      <c r="CI214" s="222"/>
      <c r="CJ214" s="222"/>
      <c r="CK214" s="222"/>
      <c r="CL214" s="222"/>
      <c r="CM214" s="222"/>
      <c r="CN214" s="222"/>
      <c r="CO214" s="222"/>
      <c r="CP214" s="222"/>
      <c r="CQ214" s="222"/>
      <c r="CR214" s="222"/>
      <c r="CS214" s="222"/>
    </row>
    <row r="215">
      <c r="A215" s="43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222"/>
      <c r="AP215" s="222"/>
      <c r="AQ215" s="222"/>
      <c r="AR215" s="222"/>
      <c r="AS215" s="222"/>
      <c r="AT215" s="222"/>
      <c r="AU215" s="222"/>
      <c r="AV215" s="222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222"/>
      <c r="BH215" s="222"/>
      <c r="BI215" s="222"/>
      <c r="BJ215" s="222"/>
      <c r="BK215" s="222"/>
      <c r="BL215" s="222"/>
      <c r="BM215" s="222"/>
      <c r="BN215" s="222"/>
      <c r="BO215" s="222"/>
      <c r="BP215" s="222"/>
      <c r="BQ215" s="222"/>
      <c r="BR215" s="222"/>
      <c r="BS215" s="222"/>
      <c r="BT215" s="222"/>
      <c r="BU215" s="222"/>
      <c r="BV215" s="222"/>
      <c r="BW215" s="222"/>
      <c r="BX215" s="222"/>
      <c r="BY215" s="222"/>
      <c r="BZ215" s="222"/>
      <c r="CA215" s="222"/>
      <c r="CB215" s="222"/>
      <c r="CC215" s="222"/>
      <c r="CD215" s="222"/>
      <c r="CE215" s="222"/>
      <c r="CF215" s="222"/>
      <c r="CG215" s="222"/>
      <c r="CH215" s="222"/>
      <c r="CI215" s="222"/>
      <c r="CJ215" s="222"/>
      <c r="CK215" s="222"/>
      <c r="CL215" s="222"/>
      <c r="CM215" s="222"/>
      <c r="CN215" s="222"/>
      <c r="CO215" s="222"/>
      <c r="CP215" s="222"/>
      <c r="CQ215" s="222"/>
      <c r="CR215" s="222"/>
      <c r="CS215" s="222"/>
    </row>
    <row r="216">
      <c r="A216" s="43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222"/>
      <c r="AP216" s="222"/>
      <c r="AQ216" s="222"/>
      <c r="AR216" s="222"/>
      <c r="AS216" s="222"/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2"/>
      <c r="BH216" s="222"/>
      <c r="BI216" s="222"/>
      <c r="BJ216" s="222"/>
      <c r="BK216" s="222"/>
      <c r="BL216" s="222"/>
      <c r="BM216" s="222"/>
      <c r="BN216" s="222"/>
      <c r="BO216" s="222"/>
      <c r="BP216" s="222"/>
      <c r="BQ216" s="222"/>
      <c r="BR216" s="222"/>
      <c r="BS216" s="222"/>
      <c r="BT216" s="222"/>
      <c r="BU216" s="222"/>
      <c r="BV216" s="222"/>
      <c r="BW216" s="222"/>
      <c r="BX216" s="222"/>
      <c r="BY216" s="222"/>
      <c r="BZ216" s="222"/>
      <c r="CA216" s="222"/>
      <c r="CB216" s="222"/>
      <c r="CC216" s="222"/>
      <c r="CD216" s="222"/>
      <c r="CE216" s="222"/>
      <c r="CF216" s="222"/>
      <c r="CG216" s="222"/>
      <c r="CH216" s="222"/>
      <c r="CI216" s="222"/>
      <c r="CJ216" s="222"/>
      <c r="CK216" s="222"/>
      <c r="CL216" s="222"/>
      <c r="CM216" s="222"/>
      <c r="CN216" s="222"/>
      <c r="CO216" s="222"/>
      <c r="CP216" s="222"/>
      <c r="CQ216" s="222"/>
      <c r="CR216" s="222"/>
      <c r="CS216" s="222"/>
    </row>
    <row r="217">
      <c r="A217" s="43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222"/>
      <c r="AP217" s="222"/>
      <c r="AQ217" s="222"/>
      <c r="AR217" s="222"/>
      <c r="AS217" s="222"/>
      <c r="AT217" s="222"/>
      <c r="AU217" s="222"/>
      <c r="AV217" s="222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  <c r="BQ217" s="222"/>
      <c r="BR217" s="222"/>
      <c r="BS217" s="222"/>
      <c r="BT217" s="222"/>
      <c r="BU217" s="222"/>
      <c r="BV217" s="222"/>
      <c r="BW217" s="222"/>
      <c r="BX217" s="222"/>
      <c r="BY217" s="222"/>
      <c r="BZ217" s="222"/>
      <c r="CA217" s="222"/>
      <c r="CB217" s="222"/>
      <c r="CC217" s="222"/>
      <c r="CD217" s="222"/>
      <c r="CE217" s="222"/>
      <c r="CF217" s="222"/>
      <c r="CG217" s="222"/>
      <c r="CH217" s="222"/>
      <c r="CI217" s="222"/>
      <c r="CJ217" s="222"/>
      <c r="CK217" s="222"/>
      <c r="CL217" s="222"/>
      <c r="CM217" s="222"/>
      <c r="CN217" s="222"/>
      <c r="CO217" s="222"/>
      <c r="CP217" s="222"/>
      <c r="CQ217" s="222"/>
      <c r="CR217" s="222"/>
      <c r="CS217" s="222"/>
    </row>
    <row r="218">
      <c r="A218" s="43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222"/>
      <c r="AP218" s="222"/>
      <c r="AQ218" s="222"/>
      <c r="AR218" s="222"/>
      <c r="AS218" s="222"/>
      <c r="AT218" s="222"/>
      <c r="AU218" s="222"/>
      <c r="AV218" s="222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222"/>
      <c r="BH218" s="222"/>
      <c r="BI218" s="222"/>
      <c r="BJ218" s="222"/>
      <c r="BK218" s="222"/>
      <c r="BL218" s="222"/>
      <c r="BM218" s="222"/>
      <c r="BN218" s="222"/>
      <c r="BO218" s="222"/>
      <c r="BP218" s="222"/>
      <c r="BQ218" s="222"/>
      <c r="BR218" s="222"/>
      <c r="BS218" s="222"/>
      <c r="BT218" s="222"/>
      <c r="BU218" s="222"/>
      <c r="BV218" s="222"/>
      <c r="BW218" s="222"/>
      <c r="BX218" s="222"/>
      <c r="BY218" s="222"/>
      <c r="BZ218" s="222"/>
      <c r="CA218" s="222"/>
      <c r="CB218" s="222"/>
      <c r="CC218" s="222"/>
      <c r="CD218" s="222"/>
      <c r="CE218" s="222"/>
      <c r="CF218" s="222"/>
      <c r="CG218" s="222"/>
      <c r="CH218" s="222"/>
      <c r="CI218" s="222"/>
      <c r="CJ218" s="222"/>
      <c r="CK218" s="222"/>
      <c r="CL218" s="222"/>
      <c r="CM218" s="222"/>
      <c r="CN218" s="222"/>
      <c r="CO218" s="222"/>
      <c r="CP218" s="222"/>
      <c r="CQ218" s="222"/>
      <c r="CR218" s="222"/>
      <c r="CS218" s="222"/>
    </row>
    <row r="219">
      <c r="A219" s="43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222"/>
      <c r="AP219" s="222"/>
      <c r="AQ219" s="222"/>
      <c r="AR219" s="222"/>
      <c r="AS219" s="222"/>
      <c r="AT219" s="222"/>
      <c r="AU219" s="222"/>
      <c r="AV219" s="222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  <c r="BQ219" s="222"/>
      <c r="BR219" s="222"/>
      <c r="BS219" s="222"/>
      <c r="BT219" s="222"/>
      <c r="BU219" s="222"/>
      <c r="BV219" s="222"/>
      <c r="BW219" s="222"/>
      <c r="BX219" s="222"/>
      <c r="BY219" s="222"/>
      <c r="BZ219" s="222"/>
      <c r="CA219" s="222"/>
      <c r="CB219" s="222"/>
      <c r="CC219" s="222"/>
      <c r="CD219" s="222"/>
      <c r="CE219" s="222"/>
      <c r="CF219" s="222"/>
      <c r="CG219" s="222"/>
      <c r="CH219" s="222"/>
      <c r="CI219" s="222"/>
      <c r="CJ219" s="222"/>
      <c r="CK219" s="222"/>
      <c r="CL219" s="222"/>
      <c r="CM219" s="222"/>
      <c r="CN219" s="222"/>
      <c r="CO219" s="222"/>
      <c r="CP219" s="222"/>
      <c r="CQ219" s="222"/>
      <c r="CR219" s="222"/>
      <c r="CS219" s="222"/>
    </row>
    <row r="220">
      <c r="A220" s="43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222"/>
      <c r="AP220" s="222"/>
      <c r="AQ220" s="222"/>
      <c r="AR220" s="222"/>
      <c r="AS220" s="222"/>
      <c r="AT220" s="222"/>
      <c r="AU220" s="222"/>
      <c r="AV220" s="222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222"/>
      <c r="BH220" s="222"/>
      <c r="BI220" s="222"/>
      <c r="BJ220" s="222"/>
      <c r="BK220" s="222"/>
      <c r="BL220" s="222"/>
      <c r="BM220" s="222"/>
      <c r="BN220" s="222"/>
      <c r="BO220" s="222"/>
      <c r="BP220" s="222"/>
      <c r="BQ220" s="222"/>
      <c r="BR220" s="222"/>
      <c r="BS220" s="222"/>
      <c r="BT220" s="222"/>
      <c r="BU220" s="222"/>
      <c r="BV220" s="222"/>
      <c r="BW220" s="222"/>
      <c r="BX220" s="222"/>
      <c r="BY220" s="222"/>
      <c r="BZ220" s="222"/>
      <c r="CA220" s="222"/>
      <c r="CB220" s="222"/>
      <c r="CC220" s="222"/>
      <c r="CD220" s="222"/>
      <c r="CE220" s="222"/>
      <c r="CF220" s="222"/>
      <c r="CG220" s="222"/>
      <c r="CH220" s="222"/>
      <c r="CI220" s="222"/>
      <c r="CJ220" s="222"/>
      <c r="CK220" s="222"/>
      <c r="CL220" s="222"/>
      <c r="CM220" s="222"/>
      <c r="CN220" s="222"/>
      <c r="CO220" s="222"/>
      <c r="CP220" s="222"/>
      <c r="CQ220" s="222"/>
      <c r="CR220" s="222"/>
      <c r="CS220" s="222"/>
    </row>
    <row r="221">
      <c r="A221" s="43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2"/>
      <c r="BH221" s="222"/>
      <c r="BI221" s="222"/>
      <c r="BJ221" s="222"/>
      <c r="BK221" s="222"/>
      <c r="BL221" s="222"/>
      <c r="BM221" s="222"/>
      <c r="BN221" s="222"/>
      <c r="BO221" s="222"/>
      <c r="BP221" s="222"/>
      <c r="BQ221" s="222"/>
      <c r="BR221" s="222"/>
      <c r="BS221" s="222"/>
      <c r="BT221" s="222"/>
      <c r="BU221" s="222"/>
      <c r="BV221" s="222"/>
      <c r="BW221" s="222"/>
      <c r="BX221" s="222"/>
      <c r="BY221" s="222"/>
      <c r="BZ221" s="222"/>
      <c r="CA221" s="222"/>
      <c r="CB221" s="222"/>
      <c r="CC221" s="222"/>
      <c r="CD221" s="222"/>
      <c r="CE221" s="222"/>
      <c r="CF221" s="222"/>
      <c r="CG221" s="222"/>
      <c r="CH221" s="222"/>
      <c r="CI221" s="222"/>
      <c r="CJ221" s="222"/>
      <c r="CK221" s="222"/>
      <c r="CL221" s="222"/>
      <c r="CM221" s="222"/>
      <c r="CN221" s="222"/>
      <c r="CO221" s="222"/>
      <c r="CP221" s="222"/>
      <c r="CQ221" s="222"/>
      <c r="CR221" s="222"/>
      <c r="CS221" s="222"/>
    </row>
    <row r="222">
      <c r="A222" s="43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222"/>
      <c r="AP222" s="222"/>
      <c r="AQ222" s="222"/>
      <c r="AR222" s="222"/>
      <c r="AS222" s="222"/>
      <c r="AT222" s="222"/>
      <c r="AU222" s="222"/>
      <c r="AV222" s="222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222"/>
      <c r="BH222" s="222"/>
      <c r="BI222" s="222"/>
      <c r="BJ222" s="222"/>
      <c r="BK222" s="222"/>
      <c r="BL222" s="222"/>
      <c r="BM222" s="222"/>
      <c r="BN222" s="222"/>
      <c r="BO222" s="222"/>
      <c r="BP222" s="222"/>
      <c r="BQ222" s="222"/>
      <c r="BR222" s="222"/>
      <c r="BS222" s="222"/>
      <c r="BT222" s="222"/>
      <c r="BU222" s="222"/>
      <c r="BV222" s="222"/>
      <c r="BW222" s="222"/>
      <c r="BX222" s="222"/>
      <c r="BY222" s="222"/>
      <c r="BZ222" s="222"/>
      <c r="CA222" s="222"/>
      <c r="CB222" s="222"/>
      <c r="CC222" s="222"/>
      <c r="CD222" s="222"/>
      <c r="CE222" s="222"/>
      <c r="CF222" s="222"/>
      <c r="CG222" s="222"/>
      <c r="CH222" s="222"/>
      <c r="CI222" s="222"/>
      <c r="CJ222" s="222"/>
      <c r="CK222" s="222"/>
      <c r="CL222" s="222"/>
      <c r="CM222" s="222"/>
      <c r="CN222" s="222"/>
      <c r="CO222" s="222"/>
      <c r="CP222" s="222"/>
      <c r="CQ222" s="222"/>
      <c r="CR222" s="222"/>
      <c r="CS222" s="222"/>
    </row>
    <row r="223">
      <c r="A223" s="43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222"/>
      <c r="AP223" s="222"/>
      <c r="AQ223" s="222"/>
      <c r="AR223" s="222"/>
      <c r="AS223" s="222"/>
      <c r="AT223" s="222"/>
      <c r="AU223" s="222"/>
      <c r="AV223" s="222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  <c r="BQ223" s="222"/>
      <c r="BR223" s="222"/>
      <c r="BS223" s="222"/>
      <c r="BT223" s="222"/>
      <c r="BU223" s="222"/>
      <c r="BV223" s="222"/>
      <c r="BW223" s="222"/>
      <c r="BX223" s="222"/>
      <c r="BY223" s="222"/>
      <c r="BZ223" s="222"/>
      <c r="CA223" s="222"/>
      <c r="CB223" s="222"/>
      <c r="CC223" s="222"/>
      <c r="CD223" s="222"/>
      <c r="CE223" s="222"/>
      <c r="CF223" s="222"/>
      <c r="CG223" s="222"/>
      <c r="CH223" s="222"/>
      <c r="CI223" s="222"/>
      <c r="CJ223" s="222"/>
      <c r="CK223" s="222"/>
      <c r="CL223" s="222"/>
      <c r="CM223" s="222"/>
      <c r="CN223" s="222"/>
      <c r="CO223" s="222"/>
      <c r="CP223" s="222"/>
      <c r="CQ223" s="222"/>
      <c r="CR223" s="222"/>
      <c r="CS223" s="222"/>
    </row>
    <row r="224">
      <c r="A224" s="43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2"/>
      <c r="BL224" s="222"/>
      <c r="BM224" s="222"/>
      <c r="BN224" s="222"/>
      <c r="BO224" s="222"/>
      <c r="BP224" s="222"/>
      <c r="BQ224" s="222"/>
      <c r="BR224" s="222"/>
      <c r="BS224" s="222"/>
      <c r="BT224" s="222"/>
      <c r="BU224" s="222"/>
      <c r="BV224" s="222"/>
      <c r="BW224" s="222"/>
      <c r="BX224" s="222"/>
      <c r="BY224" s="222"/>
      <c r="BZ224" s="222"/>
      <c r="CA224" s="222"/>
      <c r="CB224" s="222"/>
      <c r="CC224" s="222"/>
      <c r="CD224" s="222"/>
      <c r="CE224" s="222"/>
      <c r="CF224" s="222"/>
      <c r="CG224" s="222"/>
      <c r="CH224" s="222"/>
      <c r="CI224" s="222"/>
      <c r="CJ224" s="222"/>
      <c r="CK224" s="222"/>
      <c r="CL224" s="222"/>
      <c r="CM224" s="222"/>
      <c r="CN224" s="222"/>
      <c r="CO224" s="222"/>
      <c r="CP224" s="222"/>
      <c r="CQ224" s="222"/>
      <c r="CR224" s="222"/>
      <c r="CS224" s="222"/>
    </row>
    <row r="225">
      <c r="A225" s="43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  <c r="BQ225" s="222"/>
      <c r="BR225" s="222"/>
      <c r="BS225" s="222"/>
      <c r="BT225" s="222"/>
      <c r="BU225" s="222"/>
      <c r="BV225" s="222"/>
      <c r="BW225" s="222"/>
      <c r="BX225" s="222"/>
      <c r="BY225" s="222"/>
      <c r="BZ225" s="222"/>
      <c r="CA225" s="222"/>
      <c r="CB225" s="222"/>
      <c r="CC225" s="222"/>
      <c r="CD225" s="222"/>
      <c r="CE225" s="222"/>
      <c r="CF225" s="222"/>
      <c r="CG225" s="222"/>
      <c r="CH225" s="222"/>
      <c r="CI225" s="222"/>
      <c r="CJ225" s="222"/>
      <c r="CK225" s="222"/>
      <c r="CL225" s="222"/>
      <c r="CM225" s="222"/>
      <c r="CN225" s="222"/>
      <c r="CO225" s="222"/>
      <c r="CP225" s="222"/>
      <c r="CQ225" s="222"/>
      <c r="CR225" s="222"/>
      <c r="CS225" s="222"/>
    </row>
    <row r="226">
      <c r="A226" s="43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222"/>
      <c r="AP226" s="222"/>
      <c r="AQ226" s="222"/>
      <c r="AR226" s="222"/>
      <c r="AS226" s="222"/>
      <c r="AT226" s="222"/>
      <c r="AU226" s="222"/>
      <c r="AV226" s="222"/>
      <c r="AW226" s="222"/>
      <c r="AX226" s="222"/>
      <c r="AY226" s="222"/>
      <c r="AZ226" s="222"/>
      <c r="BA226" s="222"/>
      <c r="BB226" s="222"/>
      <c r="BC226" s="222"/>
      <c r="BD226" s="222"/>
      <c r="BE226" s="222"/>
      <c r="BF226" s="222"/>
      <c r="BG226" s="222"/>
      <c r="BH226" s="222"/>
      <c r="BI226" s="222"/>
      <c r="BJ226" s="222"/>
      <c r="BK226" s="222"/>
      <c r="BL226" s="222"/>
      <c r="BM226" s="222"/>
      <c r="BN226" s="222"/>
      <c r="BO226" s="222"/>
      <c r="BP226" s="222"/>
      <c r="BQ226" s="222"/>
      <c r="BR226" s="222"/>
      <c r="BS226" s="222"/>
      <c r="BT226" s="222"/>
      <c r="BU226" s="222"/>
      <c r="BV226" s="222"/>
      <c r="BW226" s="222"/>
      <c r="BX226" s="222"/>
      <c r="BY226" s="222"/>
      <c r="BZ226" s="222"/>
      <c r="CA226" s="222"/>
      <c r="CB226" s="222"/>
      <c r="CC226" s="222"/>
      <c r="CD226" s="222"/>
      <c r="CE226" s="222"/>
      <c r="CF226" s="222"/>
      <c r="CG226" s="222"/>
      <c r="CH226" s="222"/>
      <c r="CI226" s="222"/>
      <c r="CJ226" s="222"/>
      <c r="CK226" s="222"/>
      <c r="CL226" s="222"/>
      <c r="CM226" s="222"/>
      <c r="CN226" s="222"/>
      <c r="CO226" s="222"/>
      <c r="CP226" s="222"/>
      <c r="CQ226" s="222"/>
      <c r="CR226" s="222"/>
      <c r="CS226" s="222"/>
    </row>
    <row r="227">
      <c r="A227" s="43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222"/>
      <c r="AP227" s="222"/>
      <c r="AQ227" s="222"/>
      <c r="AR227" s="222"/>
      <c r="AS227" s="222"/>
      <c r="AT227" s="222"/>
      <c r="AU227" s="222"/>
      <c r="AV227" s="222"/>
      <c r="AW227" s="222"/>
      <c r="AX227" s="222"/>
      <c r="AY227" s="222"/>
      <c r="AZ227" s="222"/>
      <c r="BA227" s="222"/>
      <c r="BB227" s="222"/>
      <c r="BC227" s="222"/>
      <c r="BD227" s="222"/>
      <c r="BE227" s="222"/>
      <c r="BF227" s="222"/>
      <c r="BG227" s="222"/>
      <c r="BH227" s="222"/>
      <c r="BI227" s="222"/>
      <c r="BJ227" s="222"/>
      <c r="BK227" s="222"/>
      <c r="BL227" s="222"/>
      <c r="BM227" s="222"/>
      <c r="BN227" s="222"/>
      <c r="BO227" s="222"/>
      <c r="BP227" s="222"/>
      <c r="BQ227" s="222"/>
      <c r="BR227" s="222"/>
      <c r="BS227" s="222"/>
      <c r="BT227" s="222"/>
      <c r="BU227" s="222"/>
      <c r="BV227" s="222"/>
      <c r="BW227" s="222"/>
      <c r="BX227" s="222"/>
      <c r="BY227" s="222"/>
      <c r="BZ227" s="222"/>
      <c r="CA227" s="222"/>
      <c r="CB227" s="222"/>
      <c r="CC227" s="222"/>
      <c r="CD227" s="222"/>
      <c r="CE227" s="222"/>
      <c r="CF227" s="222"/>
      <c r="CG227" s="222"/>
      <c r="CH227" s="222"/>
      <c r="CI227" s="222"/>
      <c r="CJ227" s="222"/>
      <c r="CK227" s="222"/>
      <c r="CL227" s="222"/>
      <c r="CM227" s="222"/>
      <c r="CN227" s="222"/>
      <c r="CO227" s="222"/>
      <c r="CP227" s="222"/>
      <c r="CQ227" s="222"/>
      <c r="CR227" s="222"/>
      <c r="CS227" s="222"/>
    </row>
    <row r="228">
      <c r="A228" s="43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222"/>
      <c r="AP228" s="222"/>
      <c r="AQ228" s="222"/>
      <c r="AR228" s="222"/>
      <c r="AS228" s="222"/>
      <c r="AT228" s="222"/>
      <c r="AU228" s="222"/>
      <c r="AV228" s="222"/>
      <c r="AW228" s="222"/>
      <c r="AX228" s="222"/>
      <c r="AY228" s="222"/>
      <c r="AZ228" s="222"/>
      <c r="BA228" s="222"/>
      <c r="BB228" s="222"/>
      <c r="BC228" s="222"/>
      <c r="BD228" s="222"/>
      <c r="BE228" s="222"/>
      <c r="BF228" s="222"/>
      <c r="BG228" s="222"/>
      <c r="BH228" s="222"/>
      <c r="BI228" s="222"/>
      <c r="BJ228" s="222"/>
      <c r="BK228" s="222"/>
      <c r="BL228" s="222"/>
      <c r="BM228" s="222"/>
      <c r="BN228" s="222"/>
      <c r="BO228" s="222"/>
      <c r="BP228" s="222"/>
      <c r="BQ228" s="222"/>
      <c r="BR228" s="222"/>
      <c r="BS228" s="222"/>
      <c r="BT228" s="222"/>
      <c r="BU228" s="222"/>
      <c r="BV228" s="222"/>
      <c r="BW228" s="222"/>
      <c r="BX228" s="222"/>
      <c r="BY228" s="222"/>
      <c r="BZ228" s="222"/>
      <c r="CA228" s="222"/>
      <c r="CB228" s="222"/>
      <c r="CC228" s="222"/>
      <c r="CD228" s="222"/>
      <c r="CE228" s="222"/>
      <c r="CF228" s="222"/>
      <c r="CG228" s="222"/>
      <c r="CH228" s="222"/>
      <c r="CI228" s="222"/>
      <c r="CJ228" s="222"/>
      <c r="CK228" s="222"/>
      <c r="CL228" s="222"/>
      <c r="CM228" s="222"/>
      <c r="CN228" s="222"/>
      <c r="CO228" s="222"/>
      <c r="CP228" s="222"/>
      <c r="CQ228" s="222"/>
      <c r="CR228" s="222"/>
      <c r="CS228" s="222"/>
    </row>
    <row r="229">
      <c r="A229" s="43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2"/>
      <c r="BL229" s="222"/>
      <c r="BM229" s="222"/>
      <c r="BN229" s="222"/>
      <c r="BO229" s="222"/>
      <c r="BP229" s="222"/>
      <c r="BQ229" s="222"/>
      <c r="BR229" s="222"/>
      <c r="BS229" s="222"/>
      <c r="BT229" s="222"/>
      <c r="BU229" s="222"/>
      <c r="BV229" s="222"/>
      <c r="BW229" s="222"/>
      <c r="BX229" s="222"/>
      <c r="BY229" s="222"/>
      <c r="BZ229" s="222"/>
      <c r="CA229" s="222"/>
      <c r="CB229" s="222"/>
      <c r="CC229" s="222"/>
      <c r="CD229" s="222"/>
      <c r="CE229" s="222"/>
      <c r="CF229" s="222"/>
      <c r="CG229" s="222"/>
      <c r="CH229" s="222"/>
      <c r="CI229" s="222"/>
      <c r="CJ229" s="222"/>
      <c r="CK229" s="222"/>
      <c r="CL229" s="222"/>
      <c r="CM229" s="222"/>
      <c r="CN229" s="222"/>
      <c r="CO229" s="222"/>
      <c r="CP229" s="222"/>
      <c r="CQ229" s="222"/>
      <c r="CR229" s="222"/>
      <c r="CS229" s="222"/>
    </row>
    <row r="230">
      <c r="A230" s="43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222"/>
      <c r="AP230" s="222"/>
      <c r="AQ230" s="222"/>
      <c r="AR230" s="222"/>
      <c r="AS230" s="222"/>
      <c r="AT230" s="222"/>
      <c r="AU230" s="222"/>
      <c r="AV230" s="222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222"/>
      <c r="BH230" s="222"/>
      <c r="BI230" s="222"/>
      <c r="BJ230" s="222"/>
      <c r="BK230" s="222"/>
      <c r="BL230" s="222"/>
      <c r="BM230" s="222"/>
      <c r="BN230" s="222"/>
      <c r="BO230" s="222"/>
      <c r="BP230" s="222"/>
      <c r="BQ230" s="222"/>
      <c r="BR230" s="222"/>
      <c r="BS230" s="222"/>
      <c r="BT230" s="222"/>
      <c r="BU230" s="222"/>
      <c r="BV230" s="222"/>
      <c r="BW230" s="222"/>
      <c r="BX230" s="222"/>
      <c r="BY230" s="222"/>
      <c r="BZ230" s="222"/>
      <c r="CA230" s="222"/>
      <c r="CB230" s="222"/>
      <c r="CC230" s="222"/>
      <c r="CD230" s="222"/>
      <c r="CE230" s="222"/>
      <c r="CF230" s="222"/>
      <c r="CG230" s="222"/>
      <c r="CH230" s="222"/>
      <c r="CI230" s="222"/>
      <c r="CJ230" s="222"/>
      <c r="CK230" s="222"/>
      <c r="CL230" s="222"/>
      <c r="CM230" s="222"/>
      <c r="CN230" s="222"/>
      <c r="CO230" s="222"/>
      <c r="CP230" s="222"/>
      <c r="CQ230" s="222"/>
      <c r="CR230" s="222"/>
      <c r="CS230" s="222"/>
    </row>
    <row r="231">
      <c r="A231" s="43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222"/>
      <c r="AP231" s="222"/>
      <c r="AQ231" s="222"/>
      <c r="AR231" s="222"/>
      <c r="AS231" s="222"/>
      <c r="AT231" s="222"/>
      <c r="AU231" s="222"/>
      <c r="AV231" s="222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222"/>
      <c r="BH231" s="222"/>
      <c r="BI231" s="222"/>
      <c r="BJ231" s="222"/>
      <c r="BK231" s="222"/>
      <c r="BL231" s="222"/>
      <c r="BM231" s="222"/>
      <c r="BN231" s="222"/>
      <c r="BO231" s="222"/>
      <c r="BP231" s="222"/>
      <c r="BQ231" s="222"/>
      <c r="BR231" s="222"/>
      <c r="BS231" s="222"/>
      <c r="BT231" s="222"/>
      <c r="BU231" s="222"/>
      <c r="BV231" s="222"/>
      <c r="BW231" s="222"/>
      <c r="BX231" s="222"/>
      <c r="BY231" s="222"/>
      <c r="BZ231" s="222"/>
      <c r="CA231" s="222"/>
      <c r="CB231" s="222"/>
      <c r="CC231" s="222"/>
      <c r="CD231" s="222"/>
      <c r="CE231" s="222"/>
      <c r="CF231" s="222"/>
      <c r="CG231" s="222"/>
      <c r="CH231" s="222"/>
      <c r="CI231" s="222"/>
      <c r="CJ231" s="222"/>
      <c r="CK231" s="222"/>
      <c r="CL231" s="222"/>
      <c r="CM231" s="222"/>
      <c r="CN231" s="222"/>
      <c r="CO231" s="222"/>
      <c r="CP231" s="222"/>
      <c r="CQ231" s="222"/>
      <c r="CR231" s="222"/>
      <c r="CS231" s="222"/>
    </row>
    <row r="232">
      <c r="A232" s="43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222"/>
      <c r="BH232" s="222"/>
      <c r="BI232" s="222"/>
      <c r="BJ232" s="222"/>
      <c r="BK232" s="222"/>
      <c r="BL232" s="222"/>
      <c r="BM232" s="222"/>
      <c r="BN232" s="222"/>
      <c r="BO232" s="222"/>
      <c r="BP232" s="222"/>
      <c r="BQ232" s="222"/>
      <c r="BR232" s="222"/>
      <c r="BS232" s="222"/>
      <c r="BT232" s="222"/>
      <c r="BU232" s="222"/>
      <c r="BV232" s="222"/>
      <c r="BW232" s="222"/>
      <c r="BX232" s="222"/>
      <c r="BY232" s="222"/>
      <c r="BZ232" s="222"/>
      <c r="CA232" s="222"/>
      <c r="CB232" s="222"/>
      <c r="CC232" s="222"/>
      <c r="CD232" s="222"/>
      <c r="CE232" s="222"/>
      <c r="CF232" s="222"/>
      <c r="CG232" s="222"/>
      <c r="CH232" s="222"/>
      <c r="CI232" s="222"/>
      <c r="CJ232" s="222"/>
      <c r="CK232" s="222"/>
      <c r="CL232" s="222"/>
      <c r="CM232" s="222"/>
      <c r="CN232" s="222"/>
      <c r="CO232" s="222"/>
      <c r="CP232" s="222"/>
      <c r="CQ232" s="222"/>
      <c r="CR232" s="222"/>
      <c r="CS232" s="222"/>
    </row>
    <row r="233">
      <c r="A233" s="43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  <c r="BQ233" s="222"/>
      <c r="BR233" s="222"/>
      <c r="BS233" s="222"/>
      <c r="BT233" s="222"/>
      <c r="BU233" s="222"/>
      <c r="BV233" s="222"/>
      <c r="BW233" s="222"/>
      <c r="BX233" s="222"/>
      <c r="BY233" s="222"/>
      <c r="BZ233" s="222"/>
      <c r="CA233" s="222"/>
      <c r="CB233" s="222"/>
      <c r="CC233" s="222"/>
      <c r="CD233" s="222"/>
      <c r="CE233" s="222"/>
      <c r="CF233" s="222"/>
      <c r="CG233" s="222"/>
      <c r="CH233" s="222"/>
      <c r="CI233" s="222"/>
      <c r="CJ233" s="222"/>
      <c r="CK233" s="222"/>
      <c r="CL233" s="222"/>
      <c r="CM233" s="222"/>
      <c r="CN233" s="222"/>
      <c r="CO233" s="222"/>
      <c r="CP233" s="222"/>
      <c r="CQ233" s="222"/>
      <c r="CR233" s="222"/>
      <c r="CS233" s="222"/>
    </row>
    <row r="234">
      <c r="A234" s="43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2"/>
      <c r="BL234" s="222"/>
      <c r="BM234" s="222"/>
      <c r="BN234" s="222"/>
      <c r="BO234" s="222"/>
      <c r="BP234" s="222"/>
      <c r="BQ234" s="222"/>
      <c r="BR234" s="222"/>
      <c r="BS234" s="222"/>
      <c r="BT234" s="222"/>
      <c r="BU234" s="222"/>
      <c r="BV234" s="222"/>
      <c r="BW234" s="222"/>
      <c r="BX234" s="222"/>
      <c r="BY234" s="222"/>
      <c r="BZ234" s="222"/>
      <c r="CA234" s="222"/>
      <c r="CB234" s="222"/>
      <c r="CC234" s="222"/>
      <c r="CD234" s="222"/>
      <c r="CE234" s="222"/>
      <c r="CF234" s="222"/>
      <c r="CG234" s="222"/>
      <c r="CH234" s="222"/>
      <c r="CI234" s="222"/>
      <c r="CJ234" s="222"/>
      <c r="CK234" s="222"/>
      <c r="CL234" s="222"/>
      <c r="CM234" s="222"/>
      <c r="CN234" s="222"/>
      <c r="CO234" s="222"/>
      <c r="CP234" s="222"/>
      <c r="CQ234" s="222"/>
      <c r="CR234" s="222"/>
      <c r="CS234" s="222"/>
    </row>
    <row r="235">
      <c r="A235" s="43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  <c r="AM235" s="222"/>
      <c r="AN235" s="222"/>
      <c r="AO235" s="222"/>
      <c r="AP235" s="222"/>
      <c r="AQ235" s="222"/>
      <c r="AR235" s="222"/>
      <c r="AS235" s="222"/>
      <c r="AT235" s="222"/>
      <c r="AU235" s="222"/>
      <c r="AV235" s="222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222"/>
      <c r="BH235" s="222"/>
      <c r="BI235" s="222"/>
      <c r="BJ235" s="222"/>
      <c r="BK235" s="222"/>
      <c r="BL235" s="222"/>
      <c r="BM235" s="222"/>
      <c r="BN235" s="222"/>
      <c r="BO235" s="222"/>
      <c r="BP235" s="222"/>
      <c r="BQ235" s="222"/>
      <c r="BR235" s="222"/>
      <c r="BS235" s="222"/>
      <c r="BT235" s="222"/>
      <c r="BU235" s="222"/>
      <c r="BV235" s="222"/>
      <c r="BW235" s="222"/>
      <c r="BX235" s="222"/>
      <c r="BY235" s="222"/>
      <c r="BZ235" s="222"/>
      <c r="CA235" s="222"/>
      <c r="CB235" s="222"/>
      <c r="CC235" s="222"/>
      <c r="CD235" s="222"/>
      <c r="CE235" s="222"/>
      <c r="CF235" s="222"/>
      <c r="CG235" s="222"/>
      <c r="CH235" s="222"/>
      <c r="CI235" s="222"/>
      <c r="CJ235" s="222"/>
      <c r="CK235" s="222"/>
      <c r="CL235" s="222"/>
      <c r="CM235" s="222"/>
      <c r="CN235" s="222"/>
      <c r="CO235" s="222"/>
      <c r="CP235" s="222"/>
      <c r="CQ235" s="222"/>
      <c r="CR235" s="222"/>
      <c r="CS235" s="222"/>
    </row>
    <row r="236">
      <c r="A236" s="43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22"/>
      <c r="AK236" s="222"/>
      <c r="AL236" s="222"/>
      <c r="AM236" s="222"/>
      <c r="AN236" s="222"/>
      <c r="AO236" s="222"/>
      <c r="AP236" s="222"/>
      <c r="AQ236" s="222"/>
      <c r="AR236" s="222"/>
      <c r="AS236" s="222"/>
      <c r="AT236" s="222"/>
      <c r="AU236" s="222"/>
      <c r="AV236" s="222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222"/>
      <c r="BH236" s="222"/>
      <c r="BI236" s="222"/>
      <c r="BJ236" s="222"/>
      <c r="BK236" s="222"/>
      <c r="BL236" s="222"/>
      <c r="BM236" s="222"/>
      <c r="BN236" s="222"/>
      <c r="BO236" s="222"/>
      <c r="BP236" s="222"/>
      <c r="BQ236" s="222"/>
      <c r="BR236" s="222"/>
      <c r="BS236" s="222"/>
      <c r="BT236" s="222"/>
      <c r="BU236" s="222"/>
      <c r="BV236" s="222"/>
      <c r="BW236" s="222"/>
      <c r="BX236" s="222"/>
      <c r="BY236" s="222"/>
      <c r="BZ236" s="222"/>
      <c r="CA236" s="222"/>
      <c r="CB236" s="222"/>
      <c r="CC236" s="222"/>
      <c r="CD236" s="222"/>
      <c r="CE236" s="222"/>
      <c r="CF236" s="222"/>
      <c r="CG236" s="222"/>
      <c r="CH236" s="222"/>
      <c r="CI236" s="222"/>
      <c r="CJ236" s="222"/>
      <c r="CK236" s="222"/>
      <c r="CL236" s="222"/>
      <c r="CM236" s="222"/>
      <c r="CN236" s="222"/>
      <c r="CO236" s="222"/>
      <c r="CP236" s="222"/>
      <c r="CQ236" s="222"/>
      <c r="CR236" s="222"/>
      <c r="CS236" s="222"/>
    </row>
    <row r="237">
      <c r="A237" s="43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22"/>
      <c r="AK237" s="222"/>
      <c r="AL237" s="222"/>
      <c r="AM237" s="222"/>
      <c r="AN237" s="222"/>
      <c r="AO237" s="222"/>
      <c r="AP237" s="222"/>
      <c r="AQ237" s="222"/>
      <c r="AR237" s="222"/>
      <c r="AS237" s="222"/>
      <c r="AT237" s="222"/>
      <c r="AU237" s="222"/>
      <c r="AV237" s="222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222"/>
      <c r="BH237" s="222"/>
      <c r="BI237" s="222"/>
      <c r="BJ237" s="222"/>
      <c r="BK237" s="222"/>
      <c r="BL237" s="222"/>
      <c r="BM237" s="222"/>
      <c r="BN237" s="222"/>
      <c r="BO237" s="222"/>
      <c r="BP237" s="222"/>
      <c r="BQ237" s="222"/>
      <c r="BR237" s="222"/>
      <c r="BS237" s="222"/>
      <c r="BT237" s="222"/>
      <c r="BU237" s="222"/>
      <c r="BV237" s="222"/>
      <c r="BW237" s="222"/>
      <c r="BX237" s="222"/>
      <c r="BY237" s="222"/>
      <c r="BZ237" s="222"/>
      <c r="CA237" s="222"/>
      <c r="CB237" s="222"/>
      <c r="CC237" s="222"/>
      <c r="CD237" s="222"/>
      <c r="CE237" s="222"/>
      <c r="CF237" s="222"/>
      <c r="CG237" s="222"/>
      <c r="CH237" s="222"/>
      <c r="CI237" s="222"/>
      <c r="CJ237" s="222"/>
      <c r="CK237" s="222"/>
      <c r="CL237" s="222"/>
      <c r="CM237" s="222"/>
      <c r="CN237" s="222"/>
      <c r="CO237" s="222"/>
      <c r="CP237" s="222"/>
      <c r="CQ237" s="222"/>
      <c r="CR237" s="222"/>
      <c r="CS237" s="222"/>
    </row>
    <row r="238">
      <c r="A238" s="43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  <c r="AM238" s="222"/>
      <c r="AN238" s="222"/>
      <c r="AO238" s="222"/>
      <c r="AP238" s="222"/>
      <c r="AQ238" s="222"/>
      <c r="AR238" s="222"/>
      <c r="AS238" s="222"/>
      <c r="AT238" s="222"/>
      <c r="AU238" s="222"/>
      <c r="AV238" s="222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222"/>
      <c r="BH238" s="222"/>
      <c r="BI238" s="222"/>
      <c r="BJ238" s="222"/>
      <c r="BK238" s="222"/>
      <c r="BL238" s="222"/>
      <c r="BM238" s="222"/>
      <c r="BN238" s="222"/>
      <c r="BO238" s="222"/>
      <c r="BP238" s="222"/>
      <c r="BQ238" s="222"/>
      <c r="BR238" s="222"/>
      <c r="BS238" s="222"/>
      <c r="BT238" s="222"/>
      <c r="BU238" s="222"/>
      <c r="BV238" s="222"/>
      <c r="BW238" s="222"/>
      <c r="BX238" s="222"/>
      <c r="BY238" s="222"/>
      <c r="BZ238" s="222"/>
      <c r="CA238" s="222"/>
      <c r="CB238" s="222"/>
      <c r="CC238" s="222"/>
      <c r="CD238" s="222"/>
      <c r="CE238" s="222"/>
      <c r="CF238" s="222"/>
      <c r="CG238" s="222"/>
      <c r="CH238" s="222"/>
      <c r="CI238" s="222"/>
      <c r="CJ238" s="222"/>
      <c r="CK238" s="222"/>
      <c r="CL238" s="222"/>
      <c r="CM238" s="222"/>
      <c r="CN238" s="222"/>
      <c r="CO238" s="222"/>
      <c r="CP238" s="222"/>
      <c r="CQ238" s="222"/>
      <c r="CR238" s="222"/>
      <c r="CS238" s="222"/>
    </row>
    <row r="239">
      <c r="A239" s="43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  <c r="BQ239" s="222"/>
      <c r="BR239" s="222"/>
      <c r="BS239" s="222"/>
      <c r="BT239" s="222"/>
      <c r="BU239" s="222"/>
      <c r="BV239" s="222"/>
      <c r="BW239" s="222"/>
      <c r="BX239" s="222"/>
      <c r="BY239" s="222"/>
      <c r="BZ239" s="222"/>
      <c r="CA239" s="222"/>
      <c r="CB239" s="222"/>
      <c r="CC239" s="222"/>
      <c r="CD239" s="222"/>
      <c r="CE239" s="222"/>
      <c r="CF239" s="222"/>
      <c r="CG239" s="222"/>
      <c r="CH239" s="222"/>
      <c r="CI239" s="222"/>
      <c r="CJ239" s="222"/>
      <c r="CK239" s="222"/>
      <c r="CL239" s="222"/>
      <c r="CM239" s="222"/>
      <c r="CN239" s="222"/>
      <c r="CO239" s="222"/>
      <c r="CP239" s="222"/>
      <c r="CQ239" s="222"/>
      <c r="CR239" s="222"/>
      <c r="CS239" s="222"/>
    </row>
    <row r="240">
      <c r="A240" s="43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22"/>
      <c r="AK240" s="222"/>
      <c r="AL240" s="222"/>
      <c r="AM240" s="222"/>
      <c r="AN240" s="222"/>
      <c r="AO240" s="222"/>
      <c r="AP240" s="222"/>
      <c r="AQ240" s="222"/>
      <c r="AR240" s="222"/>
      <c r="AS240" s="222"/>
      <c r="AT240" s="222"/>
      <c r="AU240" s="222"/>
      <c r="AV240" s="222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222"/>
      <c r="BH240" s="222"/>
      <c r="BI240" s="222"/>
      <c r="BJ240" s="222"/>
      <c r="BK240" s="222"/>
      <c r="BL240" s="222"/>
      <c r="BM240" s="222"/>
      <c r="BN240" s="222"/>
      <c r="BO240" s="222"/>
      <c r="BP240" s="222"/>
      <c r="BQ240" s="222"/>
      <c r="BR240" s="222"/>
      <c r="BS240" s="222"/>
      <c r="BT240" s="222"/>
      <c r="BU240" s="222"/>
      <c r="BV240" s="222"/>
      <c r="BW240" s="222"/>
      <c r="BX240" s="222"/>
      <c r="BY240" s="222"/>
      <c r="BZ240" s="222"/>
      <c r="CA240" s="222"/>
      <c r="CB240" s="222"/>
      <c r="CC240" s="222"/>
      <c r="CD240" s="222"/>
      <c r="CE240" s="222"/>
      <c r="CF240" s="222"/>
      <c r="CG240" s="222"/>
      <c r="CH240" s="222"/>
      <c r="CI240" s="222"/>
      <c r="CJ240" s="222"/>
      <c r="CK240" s="222"/>
      <c r="CL240" s="222"/>
      <c r="CM240" s="222"/>
      <c r="CN240" s="222"/>
      <c r="CO240" s="222"/>
      <c r="CP240" s="222"/>
      <c r="CQ240" s="222"/>
      <c r="CR240" s="222"/>
      <c r="CS240" s="222"/>
    </row>
    <row r="241">
      <c r="A241" s="43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22"/>
      <c r="AK241" s="222"/>
      <c r="AL241" s="222"/>
      <c r="AM241" s="222"/>
      <c r="AN241" s="222"/>
      <c r="AO241" s="222"/>
      <c r="AP241" s="222"/>
      <c r="AQ241" s="222"/>
      <c r="AR241" s="222"/>
      <c r="AS241" s="222"/>
      <c r="AT241" s="222"/>
      <c r="AU241" s="222"/>
      <c r="AV241" s="222"/>
      <c r="AW241" s="222"/>
      <c r="AX241" s="222"/>
      <c r="AY241" s="222"/>
      <c r="AZ241" s="222"/>
      <c r="BA241" s="222"/>
      <c r="BB241" s="222"/>
      <c r="BC241" s="222"/>
      <c r="BD241" s="222"/>
      <c r="BE241" s="222"/>
      <c r="BF241" s="222"/>
      <c r="BG241" s="222"/>
      <c r="BH241" s="222"/>
      <c r="BI241" s="222"/>
      <c r="BJ241" s="222"/>
      <c r="BK241" s="222"/>
      <c r="BL241" s="222"/>
      <c r="BM241" s="222"/>
      <c r="BN241" s="222"/>
      <c r="BO241" s="222"/>
      <c r="BP241" s="222"/>
      <c r="BQ241" s="222"/>
      <c r="BR241" s="222"/>
      <c r="BS241" s="222"/>
      <c r="BT241" s="222"/>
      <c r="BU241" s="222"/>
      <c r="BV241" s="222"/>
      <c r="BW241" s="222"/>
      <c r="BX241" s="222"/>
      <c r="BY241" s="222"/>
      <c r="BZ241" s="222"/>
      <c r="CA241" s="222"/>
      <c r="CB241" s="222"/>
      <c r="CC241" s="222"/>
      <c r="CD241" s="222"/>
      <c r="CE241" s="222"/>
      <c r="CF241" s="222"/>
      <c r="CG241" s="222"/>
      <c r="CH241" s="222"/>
      <c r="CI241" s="222"/>
      <c r="CJ241" s="222"/>
      <c r="CK241" s="222"/>
      <c r="CL241" s="222"/>
      <c r="CM241" s="222"/>
      <c r="CN241" s="222"/>
      <c r="CO241" s="222"/>
      <c r="CP241" s="222"/>
      <c r="CQ241" s="222"/>
      <c r="CR241" s="222"/>
      <c r="CS241" s="222"/>
    </row>
    <row r="242">
      <c r="A242" s="43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22"/>
      <c r="AK242" s="222"/>
      <c r="AL242" s="222"/>
      <c r="AM242" s="222"/>
      <c r="AN242" s="222"/>
      <c r="AO242" s="222"/>
      <c r="AP242" s="222"/>
      <c r="AQ242" s="222"/>
      <c r="AR242" s="222"/>
      <c r="AS242" s="222"/>
      <c r="AT242" s="222"/>
      <c r="AU242" s="222"/>
      <c r="AV242" s="222"/>
      <c r="AW242" s="222"/>
      <c r="AX242" s="222"/>
      <c r="AY242" s="222"/>
      <c r="AZ242" s="222"/>
      <c r="BA242" s="222"/>
      <c r="BB242" s="222"/>
      <c r="BC242" s="222"/>
      <c r="BD242" s="222"/>
      <c r="BE242" s="222"/>
      <c r="BF242" s="222"/>
      <c r="BG242" s="222"/>
      <c r="BH242" s="222"/>
      <c r="BI242" s="222"/>
      <c r="BJ242" s="222"/>
      <c r="BK242" s="222"/>
      <c r="BL242" s="222"/>
      <c r="BM242" s="222"/>
      <c r="BN242" s="222"/>
      <c r="BO242" s="222"/>
      <c r="BP242" s="222"/>
      <c r="BQ242" s="222"/>
      <c r="BR242" s="222"/>
      <c r="BS242" s="222"/>
      <c r="BT242" s="222"/>
      <c r="BU242" s="222"/>
      <c r="BV242" s="222"/>
      <c r="BW242" s="222"/>
      <c r="BX242" s="222"/>
      <c r="BY242" s="222"/>
      <c r="BZ242" s="222"/>
      <c r="CA242" s="222"/>
      <c r="CB242" s="222"/>
      <c r="CC242" s="222"/>
      <c r="CD242" s="222"/>
      <c r="CE242" s="222"/>
      <c r="CF242" s="222"/>
      <c r="CG242" s="222"/>
      <c r="CH242" s="222"/>
      <c r="CI242" s="222"/>
      <c r="CJ242" s="222"/>
      <c r="CK242" s="222"/>
      <c r="CL242" s="222"/>
      <c r="CM242" s="222"/>
      <c r="CN242" s="222"/>
      <c r="CO242" s="222"/>
      <c r="CP242" s="222"/>
      <c r="CQ242" s="222"/>
      <c r="CR242" s="222"/>
      <c r="CS242" s="222"/>
    </row>
    <row r="243">
      <c r="A243" s="43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2"/>
      <c r="AL243" s="222"/>
      <c r="AM243" s="222"/>
      <c r="AN243" s="222"/>
      <c r="AO243" s="222"/>
      <c r="AP243" s="222"/>
      <c r="AQ243" s="222"/>
      <c r="AR243" s="222"/>
      <c r="AS243" s="222"/>
      <c r="AT243" s="222"/>
      <c r="AU243" s="222"/>
      <c r="AV243" s="222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  <c r="BQ243" s="222"/>
      <c r="BR243" s="222"/>
      <c r="BS243" s="222"/>
      <c r="BT243" s="222"/>
      <c r="BU243" s="222"/>
      <c r="BV243" s="222"/>
      <c r="BW243" s="222"/>
      <c r="BX243" s="222"/>
      <c r="BY243" s="222"/>
      <c r="BZ243" s="222"/>
      <c r="CA243" s="222"/>
      <c r="CB243" s="222"/>
      <c r="CC243" s="222"/>
      <c r="CD243" s="222"/>
      <c r="CE243" s="222"/>
      <c r="CF243" s="222"/>
      <c r="CG243" s="222"/>
      <c r="CH243" s="222"/>
      <c r="CI243" s="222"/>
      <c r="CJ243" s="222"/>
      <c r="CK243" s="222"/>
      <c r="CL243" s="222"/>
      <c r="CM243" s="222"/>
      <c r="CN243" s="222"/>
      <c r="CO243" s="222"/>
      <c r="CP243" s="222"/>
      <c r="CQ243" s="222"/>
      <c r="CR243" s="222"/>
      <c r="CS243" s="222"/>
    </row>
    <row r="244">
      <c r="A244" s="43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22"/>
      <c r="AK244" s="222"/>
      <c r="AL244" s="222"/>
      <c r="AM244" s="222"/>
      <c r="AN244" s="222"/>
      <c r="AO244" s="222"/>
      <c r="AP244" s="222"/>
      <c r="AQ244" s="222"/>
      <c r="AR244" s="222"/>
      <c r="AS244" s="222"/>
      <c r="AT244" s="222"/>
      <c r="AU244" s="222"/>
      <c r="AV244" s="222"/>
      <c r="AW244" s="222"/>
      <c r="AX244" s="222"/>
      <c r="AY244" s="222"/>
      <c r="AZ244" s="222"/>
      <c r="BA244" s="222"/>
      <c r="BB244" s="222"/>
      <c r="BC244" s="222"/>
      <c r="BD244" s="222"/>
      <c r="BE244" s="222"/>
      <c r="BF244" s="222"/>
      <c r="BG244" s="222"/>
      <c r="BH244" s="222"/>
      <c r="BI244" s="222"/>
      <c r="BJ244" s="222"/>
      <c r="BK244" s="222"/>
      <c r="BL244" s="222"/>
      <c r="BM244" s="222"/>
      <c r="BN244" s="222"/>
      <c r="BO244" s="222"/>
      <c r="BP244" s="222"/>
      <c r="BQ244" s="222"/>
      <c r="BR244" s="222"/>
      <c r="BS244" s="222"/>
      <c r="BT244" s="222"/>
      <c r="BU244" s="222"/>
      <c r="BV244" s="222"/>
      <c r="BW244" s="222"/>
      <c r="BX244" s="222"/>
      <c r="BY244" s="222"/>
      <c r="BZ244" s="222"/>
      <c r="CA244" s="222"/>
      <c r="CB244" s="222"/>
      <c r="CC244" s="222"/>
      <c r="CD244" s="222"/>
      <c r="CE244" s="222"/>
      <c r="CF244" s="222"/>
      <c r="CG244" s="222"/>
      <c r="CH244" s="222"/>
      <c r="CI244" s="222"/>
      <c r="CJ244" s="222"/>
      <c r="CK244" s="222"/>
      <c r="CL244" s="222"/>
      <c r="CM244" s="222"/>
      <c r="CN244" s="222"/>
      <c r="CO244" s="222"/>
      <c r="CP244" s="222"/>
      <c r="CQ244" s="222"/>
      <c r="CR244" s="222"/>
      <c r="CS244" s="222"/>
    </row>
    <row r="245">
      <c r="A245" s="43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  <c r="AE245" s="222"/>
      <c r="AF245" s="222"/>
      <c r="AG245" s="222"/>
      <c r="AH245" s="222"/>
      <c r="AI245" s="222"/>
      <c r="AJ245" s="222"/>
      <c r="AK245" s="222"/>
      <c r="AL245" s="222"/>
      <c r="AM245" s="222"/>
      <c r="AN245" s="222"/>
      <c r="AO245" s="222"/>
      <c r="AP245" s="222"/>
      <c r="AQ245" s="222"/>
      <c r="AR245" s="222"/>
      <c r="AS245" s="222"/>
      <c r="AT245" s="222"/>
      <c r="AU245" s="222"/>
      <c r="AV245" s="222"/>
      <c r="AW245" s="222"/>
      <c r="AX245" s="222"/>
      <c r="AY245" s="222"/>
      <c r="AZ245" s="222"/>
      <c r="BA245" s="222"/>
      <c r="BB245" s="222"/>
      <c r="BC245" s="222"/>
      <c r="BD245" s="222"/>
      <c r="BE245" s="222"/>
      <c r="BF245" s="222"/>
      <c r="BG245" s="222"/>
      <c r="BH245" s="222"/>
      <c r="BI245" s="222"/>
      <c r="BJ245" s="222"/>
      <c r="BK245" s="222"/>
      <c r="BL245" s="222"/>
      <c r="BM245" s="222"/>
      <c r="BN245" s="222"/>
      <c r="BO245" s="222"/>
      <c r="BP245" s="222"/>
      <c r="BQ245" s="222"/>
      <c r="BR245" s="222"/>
      <c r="BS245" s="222"/>
      <c r="BT245" s="222"/>
      <c r="BU245" s="222"/>
      <c r="BV245" s="222"/>
      <c r="BW245" s="222"/>
      <c r="BX245" s="222"/>
      <c r="BY245" s="222"/>
      <c r="BZ245" s="222"/>
      <c r="CA245" s="222"/>
      <c r="CB245" s="222"/>
      <c r="CC245" s="222"/>
      <c r="CD245" s="222"/>
      <c r="CE245" s="222"/>
      <c r="CF245" s="222"/>
      <c r="CG245" s="222"/>
      <c r="CH245" s="222"/>
      <c r="CI245" s="222"/>
      <c r="CJ245" s="222"/>
      <c r="CK245" s="222"/>
      <c r="CL245" s="222"/>
      <c r="CM245" s="222"/>
      <c r="CN245" s="222"/>
      <c r="CO245" s="222"/>
      <c r="CP245" s="222"/>
      <c r="CQ245" s="222"/>
      <c r="CR245" s="222"/>
      <c r="CS245" s="222"/>
    </row>
    <row r="246">
      <c r="A246" s="43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2"/>
      <c r="AG246" s="222"/>
      <c r="AH246" s="222"/>
      <c r="AI246" s="222"/>
      <c r="AJ246" s="222"/>
      <c r="AK246" s="222"/>
      <c r="AL246" s="222"/>
      <c r="AM246" s="222"/>
      <c r="AN246" s="222"/>
      <c r="AO246" s="222"/>
      <c r="AP246" s="222"/>
      <c r="AQ246" s="222"/>
      <c r="AR246" s="222"/>
      <c r="AS246" s="222"/>
      <c r="AT246" s="222"/>
      <c r="AU246" s="222"/>
      <c r="AV246" s="222"/>
      <c r="AW246" s="222"/>
      <c r="AX246" s="222"/>
      <c r="AY246" s="222"/>
      <c r="AZ246" s="222"/>
      <c r="BA246" s="222"/>
      <c r="BB246" s="222"/>
      <c r="BC246" s="222"/>
      <c r="BD246" s="222"/>
      <c r="BE246" s="222"/>
      <c r="BF246" s="222"/>
      <c r="BG246" s="222"/>
      <c r="BH246" s="222"/>
      <c r="BI246" s="222"/>
      <c r="BJ246" s="222"/>
      <c r="BK246" s="222"/>
      <c r="BL246" s="222"/>
      <c r="BM246" s="222"/>
      <c r="BN246" s="222"/>
      <c r="BO246" s="222"/>
      <c r="BP246" s="222"/>
      <c r="BQ246" s="222"/>
      <c r="BR246" s="222"/>
      <c r="BS246" s="222"/>
      <c r="BT246" s="222"/>
      <c r="BU246" s="222"/>
      <c r="BV246" s="222"/>
      <c r="BW246" s="222"/>
      <c r="BX246" s="222"/>
      <c r="BY246" s="222"/>
      <c r="BZ246" s="222"/>
      <c r="CA246" s="222"/>
      <c r="CB246" s="222"/>
      <c r="CC246" s="222"/>
      <c r="CD246" s="222"/>
      <c r="CE246" s="222"/>
      <c r="CF246" s="222"/>
      <c r="CG246" s="222"/>
      <c r="CH246" s="222"/>
      <c r="CI246" s="222"/>
      <c r="CJ246" s="222"/>
      <c r="CK246" s="222"/>
      <c r="CL246" s="222"/>
      <c r="CM246" s="222"/>
      <c r="CN246" s="222"/>
      <c r="CO246" s="222"/>
      <c r="CP246" s="222"/>
      <c r="CQ246" s="222"/>
      <c r="CR246" s="222"/>
      <c r="CS246" s="222"/>
    </row>
    <row r="247">
      <c r="A247" s="43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  <c r="AE247" s="222"/>
      <c r="AF247" s="222"/>
      <c r="AG247" s="222"/>
      <c r="AH247" s="222"/>
      <c r="AI247" s="222"/>
      <c r="AJ247" s="222"/>
      <c r="AK247" s="222"/>
      <c r="AL247" s="222"/>
      <c r="AM247" s="222"/>
      <c r="AN247" s="222"/>
      <c r="AO247" s="222"/>
      <c r="AP247" s="222"/>
      <c r="AQ247" s="222"/>
      <c r="AR247" s="222"/>
      <c r="AS247" s="222"/>
      <c r="AT247" s="222"/>
      <c r="AU247" s="222"/>
      <c r="AV247" s="222"/>
      <c r="AW247" s="222"/>
      <c r="AX247" s="222"/>
      <c r="AY247" s="222"/>
      <c r="AZ247" s="222"/>
      <c r="BA247" s="222"/>
      <c r="BB247" s="222"/>
      <c r="BC247" s="222"/>
      <c r="BD247" s="222"/>
      <c r="BE247" s="222"/>
      <c r="BF247" s="222"/>
      <c r="BG247" s="222"/>
      <c r="BH247" s="222"/>
      <c r="BI247" s="222"/>
      <c r="BJ247" s="222"/>
      <c r="BK247" s="222"/>
      <c r="BL247" s="222"/>
      <c r="BM247" s="222"/>
      <c r="BN247" s="222"/>
      <c r="BO247" s="222"/>
      <c r="BP247" s="222"/>
      <c r="BQ247" s="222"/>
      <c r="BR247" s="222"/>
      <c r="BS247" s="222"/>
      <c r="BT247" s="222"/>
      <c r="BU247" s="222"/>
      <c r="BV247" s="222"/>
      <c r="BW247" s="222"/>
      <c r="BX247" s="222"/>
      <c r="BY247" s="222"/>
      <c r="BZ247" s="222"/>
      <c r="CA247" s="222"/>
      <c r="CB247" s="222"/>
      <c r="CC247" s="222"/>
      <c r="CD247" s="222"/>
      <c r="CE247" s="222"/>
      <c r="CF247" s="222"/>
      <c r="CG247" s="222"/>
      <c r="CH247" s="222"/>
      <c r="CI247" s="222"/>
      <c r="CJ247" s="222"/>
      <c r="CK247" s="222"/>
      <c r="CL247" s="222"/>
      <c r="CM247" s="222"/>
      <c r="CN247" s="222"/>
      <c r="CO247" s="222"/>
      <c r="CP247" s="222"/>
      <c r="CQ247" s="222"/>
      <c r="CR247" s="222"/>
      <c r="CS247" s="222"/>
    </row>
    <row r="248">
      <c r="A248" s="43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2"/>
      <c r="AG248" s="222"/>
      <c r="AH248" s="222"/>
      <c r="AI248" s="222"/>
      <c r="AJ248" s="222"/>
      <c r="AK248" s="222"/>
      <c r="AL248" s="222"/>
      <c r="AM248" s="222"/>
      <c r="AN248" s="222"/>
      <c r="AO248" s="222"/>
      <c r="AP248" s="222"/>
      <c r="AQ248" s="222"/>
      <c r="AR248" s="222"/>
      <c r="AS248" s="222"/>
      <c r="AT248" s="222"/>
      <c r="AU248" s="222"/>
      <c r="AV248" s="222"/>
      <c r="AW248" s="222"/>
      <c r="AX248" s="222"/>
      <c r="AY248" s="222"/>
      <c r="AZ248" s="222"/>
      <c r="BA248" s="222"/>
      <c r="BB248" s="222"/>
      <c r="BC248" s="222"/>
      <c r="BD248" s="222"/>
      <c r="BE248" s="222"/>
      <c r="BF248" s="222"/>
      <c r="BG248" s="222"/>
      <c r="BH248" s="222"/>
      <c r="BI248" s="222"/>
      <c r="BJ248" s="222"/>
      <c r="BK248" s="222"/>
      <c r="BL248" s="222"/>
      <c r="BM248" s="222"/>
      <c r="BN248" s="222"/>
      <c r="BO248" s="222"/>
      <c r="BP248" s="222"/>
      <c r="BQ248" s="222"/>
      <c r="BR248" s="222"/>
      <c r="BS248" s="222"/>
      <c r="BT248" s="222"/>
      <c r="BU248" s="222"/>
      <c r="BV248" s="222"/>
      <c r="BW248" s="222"/>
      <c r="BX248" s="222"/>
      <c r="BY248" s="222"/>
      <c r="BZ248" s="222"/>
      <c r="CA248" s="222"/>
      <c r="CB248" s="222"/>
      <c r="CC248" s="222"/>
      <c r="CD248" s="222"/>
      <c r="CE248" s="222"/>
      <c r="CF248" s="222"/>
      <c r="CG248" s="222"/>
      <c r="CH248" s="222"/>
      <c r="CI248" s="222"/>
      <c r="CJ248" s="222"/>
      <c r="CK248" s="222"/>
      <c r="CL248" s="222"/>
      <c r="CM248" s="222"/>
      <c r="CN248" s="222"/>
      <c r="CO248" s="222"/>
      <c r="CP248" s="222"/>
      <c r="CQ248" s="222"/>
      <c r="CR248" s="222"/>
      <c r="CS248" s="222"/>
    </row>
    <row r="249">
      <c r="A249" s="43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  <c r="AC249" s="222"/>
      <c r="AD249" s="222"/>
      <c r="AE249" s="222"/>
      <c r="AF249" s="222"/>
      <c r="AG249" s="222"/>
      <c r="AH249" s="222"/>
      <c r="AI249" s="222"/>
      <c r="AJ249" s="222"/>
      <c r="AK249" s="222"/>
      <c r="AL249" s="222"/>
      <c r="AM249" s="222"/>
      <c r="AN249" s="222"/>
      <c r="AO249" s="222"/>
      <c r="AP249" s="222"/>
      <c r="AQ249" s="222"/>
      <c r="AR249" s="222"/>
      <c r="AS249" s="222"/>
      <c r="AT249" s="222"/>
      <c r="AU249" s="222"/>
      <c r="AV249" s="222"/>
      <c r="AW249" s="222"/>
      <c r="AX249" s="222"/>
      <c r="AY249" s="222"/>
      <c r="AZ249" s="222"/>
      <c r="BA249" s="222"/>
      <c r="BB249" s="222"/>
      <c r="BC249" s="222"/>
      <c r="BD249" s="222"/>
      <c r="BE249" s="222"/>
      <c r="BF249" s="222"/>
      <c r="BG249" s="222"/>
      <c r="BH249" s="222"/>
      <c r="BI249" s="222"/>
      <c r="BJ249" s="222"/>
      <c r="BK249" s="222"/>
      <c r="BL249" s="222"/>
      <c r="BM249" s="222"/>
      <c r="BN249" s="222"/>
      <c r="BO249" s="222"/>
      <c r="BP249" s="222"/>
      <c r="BQ249" s="222"/>
      <c r="BR249" s="222"/>
      <c r="BS249" s="222"/>
      <c r="BT249" s="222"/>
      <c r="BU249" s="222"/>
      <c r="BV249" s="222"/>
      <c r="BW249" s="222"/>
      <c r="BX249" s="222"/>
      <c r="BY249" s="222"/>
      <c r="BZ249" s="222"/>
      <c r="CA249" s="222"/>
      <c r="CB249" s="222"/>
      <c r="CC249" s="222"/>
      <c r="CD249" s="222"/>
      <c r="CE249" s="222"/>
      <c r="CF249" s="222"/>
      <c r="CG249" s="222"/>
      <c r="CH249" s="222"/>
      <c r="CI249" s="222"/>
      <c r="CJ249" s="222"/>
      <c r="CK249" s="222"/>
      <c r="CL249" s="222"/>
      <c r="CM249" s="222"/>
      <c r="CN249" s="222"/>
      <c r="CO249" s="222"/>
      <c r="CP249" s="222"/>
      <c r="CQ249" s="222"/>
      <c r="CR249" s="222"/>
      <c r="CS249" s="222"/>
    </row>
    <row r="250">
      <c r="A250" s="43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  <c r="AC250" s="222"/>
      <c r="AD250" s="222"/>
      <c r="AE250" s="222"/>
      <c r="AF250" s="222"/>
      <c r="AG250" s="222"/>
      <c r="AH250" s="222"/>
      <c r="AI250" s="222"/>
      <c r="AJ250" s="222"/>
      <c r="AK250" s="222"/>
      <c r="AL250" s="222"/>
      <c r="AM250" s="222"/>
      <c r="AN250" s="222"/>
      <c r="AO250" s="222"/>
      <c r="AP250" s="222"/>
      <c r="AQ250" s="222"/>
      <c r="AR250" s="222"/>
      <c r="AS250" s="222"/>
      <c r="AT250" s="222"/>
      <c r="AU250" s="222"/>
      <c r="AV250" s="222"/>
      <c r="AW250" s="222"/>
      <c r="AX250" s="222"/>
      <c r="AY250" s="222"/>
      <c r="AZ250" s="222"/>
      <c r="BA250" s="222"/>
      <c r="BB250" s="222"/>
      <c r="BC250" s="222"/>
      <c r="BD250" s="222"/>
      <c r="BE250" s="222"/>
      <c r="BF250" s="222"/>
      <c r="BG250" s="222"/>
      <c r="BH250" s="222"/>
      <c r="BI250" s="222"/>
      <c r="BJ250" s="222"/>
      <c r="BK250" s="222"/>
      <c r="BL250" s="222"/>
      <c r="BM250" s="222"/>
      <c r="BN250" s="222"/>
      <c r="BO250" s="222"/>
      <c r="BP250" s="222"/>
      <c r="BQ250" s="222"/>
      <c r="BR250" s="222"/>
      <c r="BS250" s="222"/>
      <c r="BT250" s="222"/>
      <c r="BU250" s="222"/>
      <c r="BV250" s="222"/>
      <c r="BW250" s="222"/>
      <c r="BX250" s="222"/>
      <c r="BY250" s="222"/>
      <c r="BZ250" s="222"/>
      <c r="CA250" s="222"/>
      <c r="CB250" s="222"/>
      <c r="CC250" s="222"/>
      <c r="CD250" s="222"/>
      <c r="CE250" s="222"/>
      <c r="CF250" s="222"/>
      <c r="CG250" s="222"/>
      <c r="CH250" s="222"/>
      <c r="CI250" s="222"/>
      <c r="CJ250" s="222"/>
      <c r="CK250" s="222"/>
      <c r="CL250" s="222"/>
      <c r="CM250" s="222"/>
      <c r="CN250" s="222"/>
      <c r="CO250" s="222"/>
      <c r="CP250" s="222"/>
      <c r="CQ250" s="222"/>
      <c r="CR250" s="222"/>
      <c r="CS250" s="222"/>
    </row>
    <row r="251">
      <c r="A251" s="43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  <c r="AC251" s="222"/>
      <c r="AD251" s="222"/>
      <c r="AE251" s="222"/>
      <c r="AF251" s="222"/>
      <c r="AG251" s="222"/>
      <c r="AH251" s="222"/>
      <c r="AI251" s="222"/>
      <c r="AJ251" s="222"/>
      <c r="AK251" s="222"/>
      <c r="AL251" s="222"/>
      <c r="AM251" s="222"/>
      <c r="AN251" s="222"/>
      <c r="AO251" s="222"/>
      <c r="AP251" s="222"/>
      <c r="AQ251" s="222"/>
      <c r="AR251" s="222"/>
      <c r="AS251" s="222"/>
      <c r="AT251" s="222"/>
      <c r="AU251" s="222"/>
      <c r="AV251" s="222"/>
      <c r="AW251" s="222"/>
      <c r="AX251" s="222"/>
      <c r="AY251" s="222"/>
      <c r="AZ251" s="222"/>
      <c r="BA251" s="222"/>
      <c r="BB251" s="222"/>
      <c r="BC251" s="222"/>
      <c r="BD251" s="222"/>
      <c r="BE251" s="222"/>
      <c r="BF251" s="222"/>
      <c r="BG251" s="222"/>
      <c r="BH251" s="222"/>
      <c r="BI251" s="222"/>
      <c r="BJ251" s="222"/>
      <c r="BK251" s="222"/>
      <c r="BL251" s="222"/>
      <c r="BM251" s="222"/>
      <c r="BN251" s="222"/>
      <c r="BO251" s="222"/>
      <c r="BP251" s="222"/>
      <c r="BQ251" s="222"/>
      <c r="BR251" s="222"/>
      <c r="BS251" s="222"/>
      <c r="BT251" s="222"/>
      <c r="BU251" s="222"/>
      <c r="BV251" s="222"/>
      <c r="BW251" s="222"/>
      <c r="BX251" s="222"/>
      <c r="BY251" s="222"/>
      <c r="BZ251" s="222"/>
      <c r="CA251" s="222"/>
      <c r="CB251" s="222"/>
      <c r="CC251" s="222"/>
      <c r="CD251" s="222"/>
      <c r="CE251" s="222"/>
      <c r="CF251" s="222"/>
      <c r="CG251" s="222"/>
      <c r="CH251" s="222"/>
      <c r="CI251" s="222"/>
      <c r="CJ251" s="222"/>
      <c r="CK251" s="222"/>
      <c r="CL251" s="222"/>
      <c r="CM251" s="222"/>
      <c r="CN251" s="222"/>
      <c r="CO251" s="222"/>
      <c r="CP251" s="222"/>
      <c r="CQ251" s="222"/>
      <c r="CR251" s="222"/>
      <c r="CS251" s="222"/>
    </row>
    <row r="252">
      <c r="A252" s="43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  <c r="AM252" s="222"/>
      <c r="AN252" s="222"/>
      <c r="AO252" s="222"/>
      <c r="AP252" s="222"/>
      <c r="AQ252" s="222"/>
      <c r="AR252" s="222"/>
      <c r="AS252" s="222"/>
      <c r="AT252" s="222"/>
      <c r="AU252" s="222"/>
      <c r="AV252" s="222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222"/>
      <c r="BH252" s="222"/>
      <c r="BI252" s="222"/>
      <c r="BJ252" s="222"/>
      <c r="BK252" s="222"/>
      <c r="BL252" s="222"/>
      <c r="BM252" s="222"/>
      <c r="BN252" s="222"/>
      <c r="BO252" s="222"/>
      <c r="BP252" s="222"/>
      <c r="BQ252" s="222"/>
      <c r="BR252" s="222"/>
      <c r="BS252" s="222"/>
      <c r="BT252" s="222"/>
      <c r="BU252" s="222"/>
      <c r="BV252" s="222"/>
      <c r="BW252" s="222"/>
      <c r="BX252" s="222"/>
      <c r="BY252" s="222"/>
      <c r="BZ252" s="222"/>
      <c r="CA252" s="222"/>
      <c r="CB252" s="222"/>
      <c r="CC252" s="222"/>
      <c r="CD252" s="222"/>
      <c r="CE252" s="222"/>
      <c r="CF252" s="222"/>
      <c r="CG252" s="222"/>
      <c r="CH252" s="222"/>
      <c r="CI252" s="222"/>
      <c r="CJ252" s="222"/>
      <c r="CK252" s="222"/>
      <c r="CL252" s="222"/>
      <c r="CM252" s="222"/>
      <c r="CN252" s="222"/>
      <c r="CO252" s="222"/>
      <c r="CP252" s="222"/>
      <c r="CQ252" s="222"/>
      <c r="CR252" s="222"/>
      <c r="CS252" s="222"/>
    </row>
    <row r="253">
      <c r="A253" s="43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  <c r="AE253" s="222"/>
      <c r="AF253" s="222"/>
      <c r="AG253" s="222"/>
      <c r="AH253" s="222"/>
      <c r="AI253" s="222"/>
      <c r="AJ253" s="222"/>
      <c r="AK253" s="222"/>
      <c r="AL253" s="222"/>
      <c r="AM253" s="222"/>
      <c r="AN253" s="222"/>
      <c r="AO253" s="222"/>
      <c r="AP253" s="222"/>
      <c r="AQ253" s="222"/>
      <c r="AR253" s="222"/>
      <c r="AS253" s="222"/>
      <c r="AT253" s="222"/>
      <c r="AU253" s="222"/>
      <c r="AV253" s="222"/>
      <c r="AW253" s="222"/>
      <c r="AX253" s="222"/>
      <c r="AY253" s="222"/>
      <c r="AZ253" s="222"/>
      <c r="BA253" s="222"/>
      <c r="BB253" s="222"/>
      <c r="BC253" s="222"/>
      <c r="BD253" s="222"/>
      <c r="BE253" s="222"/>
      <c r="BF253" s="222"/>
      <c r="BG253" s="222"/>
      <c r="BH253" s="222"/>
      <c r="BI253" s="222"/>
      <c r="BJ253" s="222"/>
      <c r="BK253" s="222"/>
      <c r="BL253" s="222"/>
      <c r="BM253" s="222"/>
      <c r="BN253" s="222"/>
      <c r="BO253" s="222"/>
      <c r="BP253" s="222"/>
      <c r="BQ253" s="222"/>
      <c r="BR253" s="222"/>
      <c r="BS253" s="222"/>
      <c r="BT253" s="222"/>
      <c r="BU253" s="222"/>
      <c r="BV253" s="222"/>
      <c r="BW253" s="222"/>
      <c r="BX253" s="222"/>
      <c r="BY253" s="222"/>
      <c r="BZ253" s="222"/>
      <c r="CA253" s="222"/>
      <c r="CB253" s="222"/>
      <c r="CC253" s="222"/>
      <c r="CD253" s="222"/>
      <c r="CE253" s="222"/>
      <c r="CF253" s="222"/>
      <c r="CG253" s="222"/>
      <c r="CH253" s="222"/>
      <c r="CI253" s="222"/>
      <c r="CJ253" s="222"/>
      <c r="CK253" s="222"/>
      <c r="CL253" s="222"/>
      <c r="CM253" s="222"/>
      <c r="CN253" s="222"/>
      <c r="CO253" s="222"/>
      <c r="CP253" s="222"/>
      <c r="CQ253" s="222"/>
      <c r="CR253" s="222"/>
      <c r="CS253" s="222"/>
    </row>
    <row r="254">
      <c r="A254" s="43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  <c r="AC254" s="222"/>
      <c r="AD254" s="222"/>
      <c r="AE254" s="222"/>
      <c r="AF254" s="222"/>
      <c r="AG254" s="222"/>
      <c r="AH254" s="222"/>
      <c r="AI254" s="222"/>
      <c r="AJ254" s="222"/>
      <c r="AK254" s="222"/>
      <c r="AL254" s="222"/>
      <c r="AM254" s="222"/>
      <c r="AN254" s="222"/>
      <c r="AO254" s="222"/>
      <c r="AP254" s="222"/>
      <c r="AQ254" s="222"/>
      <c r="AR254" s="222"/>
      <c r="AS254" s="222"/>
      <c r="AT254" s="222"/>
      <c r="AU254" s="222"/>
      <c r="AV254" s="222"/>
      <c r="AW254" s="222"/>
      <c r="AX254" s="222"/>
      <c r="AY254" s="222"/>
      <c r="AZ254" s="222"/>
      <c r="BA254" s="222"/>
      <c r="BB254" s="222"/>
      <c r="BC254" s="222"/>
      <c r="BD254" s="222"/>
      <c r="BE254" s="222"/>
      <c r="BF254" s="222"/>
      <c r="BG254" s="222"/>
      <c r="BH254" s="222"/>
      <c r="BI254" s="222"/>
      <c r="BJ254" s="222"/>
      <c r="BK254" s="222"/>
      <c r="BL254" s="222"/>
      <c r="BM254" s="222"/>
      <c r="BN254" s="222"/>
      <c r="BO254" s="222"/>
      <c r="BP254" s="222"/>
      <c r="BQ254" s="222"/>
      <c r="BR254" s="222"/>
      <c r="BS254" s="222"/>
      <c r="BT254" s="222"/>
      <c r="BU254" s="222"/>
      <c r="BV254" s="222"/>
      <c r="BW254" s="222"/>
      <c r="BX254" s="222"/>
      <c r="BY254" s="222"/>
      <c r="BZ254" s="222"/>
      <c r="CA254" s="222"/>
      <c r="CB254" s="222"/>
      <c r="CC254" s="222"/>
      <c r="CD254" s="222"/>
      <c r="CE254" s="222"/>
      <c r="CF254" s="222"/>
      <c r="CG254" s="222"/>
      <c r="CH254" s="222"/>
      <c r="CI254" s="222"/>
      <c r="CJ254" s="222"/>
      <c r="CK254" s="222"/>
      <c r="CL254" s="222"/>
      <c r="CM254" s="222"/>
      <c r="CN254" s="222"/>
      <c r="CO254" s="222"/>
      <c r="CP254" s="222"/>
      <c r="CQ254" s="222"/>
      <c r="CR254" s="222"/>
      <c r="CS254" s="222"/>
    </row>
    <row r="255">
      <c r="A255" s="43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  <c r="AC255" s="222"/>
      <c r="AD255" s="222"/>
      <c r="AE255" s="222"/>
      <c r="AF255" s="222"/>
      <c r="AG255" s="222"/>
      <c r="AH255" s="222"/>
      <c r="AI255" s="222"/>
      <c r="AJ255" s="222"/>
      <c r="AK255" s="222"/>
      <c r="AL255" s="222"/>
      <c r="AM255" s="222"/>
      <c r="AN255" s="222"/>
      <c r="AO255" s="222"/>
      <c r="AP255" s="222"/>
      <c r="AQ255" s="222"/>
      <c r="AR255" s="222"/>
      <c r="AS255" s="222"/>
      <c r="AT255" s="222"/>
      <c r="AU255" s="222"/>
      <c r="AV255" s="222"/>
      <c r="AW255" s="222"/>
      <c r="AX255" s="222"/>
      <c r="AY255" s="222"/>
      <c r="AZ255" s="222"/>
      <c r="BA255" s="222"/>
      <c r="BB255" s="222"/>
      <c r="BC255" s="222"/>
      <c r="BD255" s="222"/>
      <c r="BE255" s="222"/>
      <c r="BF255" s="222"/>
      <c r="BG255" s="222"/>
      <c r="BH255" s="222"/>
      <c r="BI255" s="222"/>
      <c r="BJ255" s="222"/>
      <c r="BK255" s="222"/>
      <c r="BL255" s="222"/>
      <c r="BM255" s="222"/>
      <c r="BN255" s="222"/>
      <c r="BO255" s="222"/>
      <c r="BP255" s="222"/>
      <c r="BQ255" s="222"/>
      <c r="BR255" s="222"/>
      <c r="BS255" s="222"/>
      <c r="BT255" s="222"/>
      <c r="BU255" s="222"/>
      <c r="BV255" s="222"/>
      <c r="BW255" s="222"/>
      <c r="BX255" s="222"/>
      <c r="BY255" s="222"/>
      <c r="BZ255" s="222"/>
      <c r="CA255" s="222"/>
      <c r="CB255" s="222"/>
      <c r="CC255" s="222"/>
      <c r="CD255" s="222"/>
      <c r="CE255" s="222"/>
      <c r="CF255" s="222"/>
      <c r="CG255" s="222"/>
      <c r="CH255" s="222"/>
      <c r="CI255" s="222"/>
      <c r="CJ255" s="222"/>
      <c r="CK255" s="222"/>
      <c r="CL255" s="222"/>
      <c r="CM255" s="222"/>
      <c r="CN255" s="222"/>
      <c r="CO255" s="222"/>
      <c r="CP255" s="222"/>
      <c r="CQ255" s="222"/>
      <c r="CR255" s="222"/>
      <c r="CS255" s="222"/>
    </row>
    <row r="256">
      <c r="A256" s="43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  <c r="AC256" s="222"/>
      <c r="AD256" s="222"/>
      <c r="AE256" s="222"/>
      <c r="AF256" s="222"/>
      <c r="AG256" s="222"/>
      <c r="AH256" s="222"/>
      <c r="AI256" s="222"/>
      <c r="AJ256" s="222"/>
      <c r="AK256" s="222"/>
      <c r="AL256" s="222"/>
      <c r="AM256" s="222"/>
      <c r="AN256" s="222"/>
      <c r="AO256" s="222"/>
      <c r="AP256" s="222"/>
      <c r="AQ256" s="222"/>
      <c r="AR256" s="222"/>
      <c r="AS256" s="222"/>
      <c r="AT256" s="222"/>
      <c r="AU256" s="222"/>
      <c r="AV256" s="222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  <c r="BQ256" s="222"/>
      <c r="BR256" s="222"/>
      <c r="BS256" s="222"/>
      <c r="BT256" s="222"/>
      <c r="BU256" s="222"/>
      <c r="BV256" s="222"/>
      <c r="BW256" s="222"/>
      <c r="BX256" s="222"/>
      <c r="BY256" s="222"/>
      <c r="BZ256" s="222"/>
      <c r="CA256" s="222"/>
      <c r="CB256" s="222"/>
      <c r="CC256" s="222"/>
      <c r="CD256" s="222"/>
      <c r="CE256" s="222"/>
      <c r="CF256" s="222"/>
      <c r="CG256" s="222"/>
      <c r="CH256" s="222"/>
      <c r="CI256" s="222"/>
      <c r="CJ256" s="222"/>
      <c r="CK256" s="222"/>
      <c r="CL256" s="222"/>
      <c r="CM256" s="222"/>
      <c r="CN256" s="222"/>
      <c r="CO256" s="222"/>
      <c r="CP256" s="222"/>
      <c r="CQ256" s="222"/>
      <c r="CR256" s="222"/>
      <c r="CS256" s="222"/>
    </row>
    <row r="257">
      <c r="A257" s="43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  <c r="AC257" s="222"/>
      <c r="AD257" s="222"/>
      <c r="AE257" s="222"/>
      <c r="AF257" s="222"/>
      <c r="AG257" s="222"/>
      <c r="AH257" s="222"/>
      <c r="AI257" s="222"/>
      <c r="AJ257" s="222"/>
      <c r="AK257" s="222"/>
      <c r="AL257" s="222"/>
      <c r="AM257" s="222"/>
      <c r="AN257" s="222"/>
      <c r="AO257" s="222"/>
      <c r="AP257" s="222"/>
      <c r="AQ257" s="222"/>
      <c r="AR257" s="222"/>
      <c r="AS257" s="222"/>
      <c r="AT257" s="222"/>
      <c r="AU257" s="222"/>
      <c r="AV257" s="222"/>
      <c r="AW257" s="222"/>
      <c r="AX257" s="222"/>
      <c r="AY257" s="222"/>
      <c r="AZ257" s="222"/>
      <c r="BA257" s="222"/>
      <c r="BB257" s="222"/>
      <c r="BC257" s="222"/>
      <c r="BD257" s="222"/>
      <c r="BE257" s="222"/>
      <c r="BF257" s="222"/>
      <c r="BG257" s="222"/>
      <c r="BH257" s="222"/>
      <c r="BI257" s="222"/>
      <c r="BJ257" s="222"/>
      <c r="BK257" s="222"/>
      <c r="BL257" s="222"/>
      <c r="BM257" s="222"/>
      <c r="BN257" s="222"/>
      <c r="BO257" s="222"/>
      <c r="BP257" s="222"/>
      <c r="BQ257" s="222"/>
      <c r="BR257" s="222"/>
      <c r="BS257" s="222"/>
      <c r="BT257" s="222"/>
      <c r="BU257" s="222"/>
      <c r="BV257" s="222"/>
      <c r="BW257" s="222"/>
      <c r="BX257" s="222"/>
      <c r="BY257" s="222"/>
      <c r="BZ257" s="222"/>
      <c r="CA257" s="222"/>
      <c r="CB257" s="222"/>
      <c r="CC257" s="222"/>
      <c r="CD257" s="222"/>
      <c r="CE257" s="222"/>
      <c r="CF257" s="222"/>
      <c r="CG257" s="222"/>
      <c r="CH257" s="222"/>
      <c r="CI257" s="222"/>
      <c r="CJ257" s="222"/>
      <c r="CK257" s="222"/>
      <c r="CL257" s="222"/>
      <c r="CM257" s="222"/>
      <c r="CN257" s="222"/>
      <c r="CO257" s="222"/>
      <c r="CP257" s="222"/>
      <c r="CQ257" s="222"/>
      <c r="CR257" s="222"/>
      <c r="CS257" s="222"/>
    </row>
    <row r="258">
      <c r="A258" s="43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  <c r="AC258" s="222"/>
      <c r="AD258" s="222"/>
      <c r="AE258" s="222"/>
      <c r="AF258" s="222"/>
      <c r="AG258" s="222"/>
      <c r="AH258" s="222"/>
      <c r="AI258" s="222"/>
      <c r="AJ258" s="222"/>
      <c r="AK258" s="222"/>
      <c r="AL258" s="222"/>
      <c r="AM258" s="222"/>
      <c r="AN258" s="222"/>
      <c r="AO258" s="222"/>
      <c r="AP258" s="222"/>
      <c r="AQ258" s="222"/>
      <c r="AR258" s="222"/>
      <c r="AS258" s="222"/>
      <c r="AT258" s="222"/>
      <c r="AU258" s="222"/>
      <c r="AV258" s="222"/>
      <c r="AW258" s="222"/>
      <c r="AX258" s="222"/>
      <c r="AY258" s="222"/>
      <c r="AZ258" s="222"/>
      <c r="BA258" s="222"/>
      <c r="BB258" s="222"/>
      <c r="BC258" s="222"/>
      <c r="BD258" s="222"/>
      <c r="BE258" s="222"/>
      <c r="BF258" s="222"/>
      <c r="BG258" s="222"/>
      <c r="BH258" s="222"/>
      <c r="BI258" s="222"/>
      <c r="BJ258" s="222"/>
      <c r="BK258" s="222"/>
      <c r="BL258" s="222"/>
      <c r="BM258" s="222"/>
      <c r="BN258" s="222"/>
      <c r="BO258" s="222"/>
      <c r="BP258" s="222"/>
      <c r="BQ258" s="222"/>
      <c r="BR258" s="222"/>
      <c r="BS258" s="222"/>
      <c r="BT258" s="222"/>
      <c r="BU258" s="222"/>
      <c r="BV258" s="222"/>
      <c r="BW258" s="222"/>
      <c r="BX258" s="222"/>
      <c r="BY258" s="222"/>
      <c r="BZ258" s="222"/>
      <c r="CA258" s="222"/>
      <c r="CB258" s="222"/>
      <c r="CC258" s="222"/>
      <c r="CD258" s="222"/>
      <c r="CE258" s="222"/>
      <c r="CF258" s="222"/>
      <c r="CG258" s="222"/>
      <c r="CH258" s="222"/>
      <c r="CI258" s="222"/>
      <c r="CJ258" s="222"/>
      <c r="CK258" s="222"/>
      <c r="CL258" s="222"/>
      <c r="CM258" s="222"/>
      <c r="CN258" s="222"/>
      <c r="CO258" s="222"/>
      <c r="CP258" s="222"/>
      <c r="CQ258" s="222"/>
      <c r="CR258" s="222"/>
      <c r="CS258" s="222"/>
    </row>
    <row r="259">
      <c r="A259" s="43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222"/>
      <c r="AP259" s="222"/>
      <c r="AQ259" s="222"/>
      <c r="AR259" s="222"/>
      <c r="AS259" s="222"/>
      <c r="AT259" s="222"/>
      <c r="AU259" s="222"/>
      <c r="AV259" s="222"/>
      <c r="AW259" s="222"/>
      <c r="AX259" s="222"/>
      <c r="AY259" s="222"/>
      <c r="AZ259" s="222"/>
      <c r="BA259" s="222"/>
      <c r="BB259" s="222"/>
      <c r="BC259" s="222"/>
      <c r="BD259" s="222"/>
      <c r="BE259" s="222"/>
      <c r="BF259" s="222"/>
      <c r="BG259" s="222"/>
      <c r="BH259" s="222"/>
      <c r="BI259" s="222"/>
      <c r="BJ259" s="222"/>
      <c r="BK259" s="222"/>
      <c r="BL259" s="222"/>
      <c r="BM259" s="222"/>
      <c r="BN259" s="222"/>
      <c r="BO259" s="222"/>
      <c r="BP259" s="222"/>
      <c r="BQ259" s="222"/>
      <c r="BR259" s="222"/>
      <c r="BS259" s="222"/>
      <c r="BT259" s="222"/>
      <c r="BU259" s="222"/>
      <c r="BV259" s="222"/>
      <c r="BW259" s="222"/>
      <c r="BX259" s="222"/>
      <c r="BY259" s="222"/>
      <c r="BZ259" s="222"/>
      <c r="CA259" s="222"/>
      <c r="CB259" s="222"/>
      <c r="CC259" s="222"/>
      <c r="CD259" s="222"/>
      <c r="CE259" s="222"/>
      <c r="CF259" s="222"/>
      <c r="CG259" s="222"/>
      <c r="CH259" s="222"/>
      <c r="CI259" s="222"/>
      <c r="CJ259" s="222"/>
      <c r="CK259" s="222"/>
      <c r="CL259" s="222"/>
      <c r="CM259" s="222"/>
      <c r="CN259" s="222"/>
      <c r="CO259" s="222"/>
      <c r="CP259" s="222"/>
      <c r="CQ259" s="222"/>
      <c r="CR259" s="222"/>
      <c r="CS259" s="222"/>
    </row>
    <row r="260">
      <c r="A260" s="43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222"/>
      <c r="AP260" s="222"/>
      <c r="AQ260" s="222"/>
      <c r="AR260" s="222"/>
      <c r="AS260" s="222"/>
      <c r="AT260" s="222"/>
      <c r="AU260" s="222"/>
      <c r="AV260" s="222"/>
      <c r="AW260" s="222"/>
      <c r="AX260" s="222"/>
      <c r="AY260" s="222"/>
      <c r="AZ260" s="222"/>
      <c r="BA260" s="222"/>
      <c r="BB260" s="222"/>
      <c r="BC260" s="222"/>
      <c r="BD260" s="222"/>
      <c r="BE260" s="222"/>
      <c r="BF260" s="222"/>
      <c r="BG260" s="222"/>
      <c r="BH260" s="222"/>
      <c r="BI260" s="222"/>
      <c r="BJ260" s="222"/>
      <c r="BK260" s="222"/>
      <c r="BL260" s="222"/>
      <c r="BM260" s="222"/>
      <c r="BN260" s="222"/>
      <c r="BO260" s="222"/>
      <c r="BP260" s="222"/>
      <c r="BQ260" s="222"/>
      <c r="BR260" s="222"/>
      <c r="BS260" s="222"/>
      <c r="BT260" s="222"/>
      <c r="BU260" s="222"/>
      <c r="BV260" s="222"/>
      <c r="BW260" s="222"/>
      <c r="BX260" s="222"/>
      <c r="BY260" s="222"/>
      <c r="BZ260" s="222"/>
      <c r="CA260" s="222"/>
      <c r="CB260" s="222"/>
      <c r="CC260" s="222"/>
      <c r="CD260" s="222"/>
      <c r="CE260" s="222"/>
      <c r="CF260" s="222"/>
      <c r="CG260" s="222"/>
      <c r="CH260" s="222"/>
      <c r="CI260" s="222"/>
      <c r="CJ260" s="222"/>
      <c r="CK260" s="222"/>
      <c r="CL260" s="222"/>
      <c r="CM260" s="222"/>
      <c r="CN260" s="222"/>
      <c r="CO260" s="222"/>
      <c r="CP260" s="222"/>
      <c r="CQ260" s="222"/>
      <c r="CR260" s="222"/>
      <c r="CS260" s="222"/>
    </row>
    <row r="261">
      <c r="A261" s="43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222"/>
      <c r="AP261" s="222"/>
      <c r="AQ261" s="222"/>
      <c r="AR261" s="222"/>
      <c r="AS261" s="222"/>
      <c r="AT261" s="222"/>
      <c r="AU261" s="222"/>
      <c r="AV261" s="222"/>
      <c r="AW261" s="222"/>
      <c r="AX261" s="222"/>
      <c r="AY261" s="222"/>
      <c r="AZ261" s="222"/>
      <c r="BA261" s="222"/>
      <c r="BB261" s="222"/>
      <c r="BC261" s="222"/>
      <c r="BD261" s="222"/>
      <c r="BE261" s="222"/>
      <c r="BF261" s="222"/>
      <c r="BG261" s="222"/>
      <c r="BH261" s="222"/>
      <c r="BI261" s="222"/>
      <c r="BJ261" s="222"/>
      <c r="BK261" s="222"/>
      <c r="BL261" s="222"/>
      <c r="BM261" s="222"/>
      <c r="BN261" s="222"/>
      <c r="BO261" s="222"/>
      <c r="BP261" s="222"/>
      <c r="BQ261" s="222"/>
      <c r="BR261" s="222"/>
      <c r="BS261" s="222"/>
      <c r="BT261" s="222"/>
      <c r="BU261" s="222"/>
      <c r="BV261" s="222"/>
      <c r="BW261" s="222"/>
      <c r="BX261" s="222"/>
      <c r="BY261" s="222"/>
      <c r="BZ261" s="222"/>
      <c r="CA261" s="222"/>
      <c r="CB261" s="222"/>
      <c r="CC261" s="222"/>
      <c r="CD261" s="222"/>
      <c r="CE261" s="222"/>
      <c r="CF261" s="222"/>
      <c r="CG261" s="222"/>
      <c r="CH261" s="222"/>
      <c r="CI261" s="222"/>
      <c r="CJ261" s="222"/>
      <c r="CK261" s="222"/>
      <c r="CL261" s="222"/>
      <c r="CM261" s="222"/>
      <c r="CN261" s="222"/>
      <c r="CO261" s="222"/>
      <c r="CP261" s="222"/>
      <c r="CQ261" s="222"/>
      <c r="CR261" s="222"/>
      <c r="CS261" s="222"/>
    </row>
    <row r="262">
      <c r="A262" s="43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  <c r="AC262" s="222"/>
      <c r="AD262" s="222"/>
      <c r="AE262" s="222"/>
      <c r="AF262" s="222"/>
      <c r="AG262" s="222"/>
      <c r="AH262" s="222"/>
      <c r="AI262" s="222"/>
      <c r="AJ262" s="222"/>
      <c r="AK262" s="222"/>
      <c r="AL262" s="222"/>
      <c r="AM262" s="222"/>
      <c r="AN262" s="222"/>
      <c r="AO262" s="222"/>
      <c r="AP262" s="222"/>
      <c r="AQ262" s="222"/>
      <c r="AR262" s="222"/>
      <c r="AS262" s="222"/>
      <c r="AT262" s="222"/>
      <c r="AU262" s="222"/>
      <c r="AV262" s="222"/>
      <c r="AW262" s="222"/>
      <c r="AX262" s="222"/>
      <c r="AY262" s="222"/>
      <c r="AZ262" s="222"/>
      <c r="BA262" s="222"/>
      <c r="BB262" s="222"/>
      <c r="BC262" s="222"/>
      <c r="BD262" s="222"/>
      <c r="BE262" s="222"/>
      <c r="BF262" s="222"/>
      <c r="BG262" s="222"/>
      <c r="BH262" s="222"/>
      <c r="BI262" s="222"/>
      <c r="BJ262" s="222"/>
      <c r="BK262" s="222"/>
      <c r="BL262" s="222"/>
      <c r="BM262" s="222"/>
      <c r="BN262" s="222"/>
      <c r="BO262" s="222"/>
      <c r="BP262" s="222"/>
      <c r="BQ262" s="222"/>
      <c r="BR262" s="222"/>
      <c r="BS262" s="222"/>
      <c r="BT262" s="222"/>
      <c r="BU262" s="222"/>
      <c r="BV262" s="222"/>
      <c r="BW262" s="222"/>
      <c r="BX262" s="222"/>
      <c r="BY262" s="222"/>
      <c r="BZ262" s="222"/>
      <c r="CA262" s="222"/>
      <c r="CB262" s="222"/>
      <c r="CC262" s="222"/>
      <c r="CD262" s="222"/>
      <c r="CE262" s="222"/>
      <c r="CF262" s="222"/>
      <c r="CG262" s="222"/>
      <c r="CH262" s="222"/>
      <c r="CI262" s="222"/>
      <c r="CJ262" s="222"/>
      <c r="CK262" s="222"/>
      <c r="CL262" s="222"/>
      <c r="CM262" s="222"/>
      <c r="CN262" s="222"/>
      <c r="CO262" s="222"/>
      <c r="CP262" s="222"/>
      <c r="CQ262" s="222"/>
      <c r="CR262" s="222"/>
      <c r="CS262" s="222"/>
    </row>
    <row r="263">
      <c r="A263" s="43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/>
      <c r="AL263" s="222"/>
      <c r="AM263" s="222"/>
      <c r="AN263" s="222"/>
      <c r="AO263" s="222"/>
      <c r="AP263" s="222"/>
      <c r="AQ263" s="222"/>
      <c r="AR263" s="222"/>
      <c r="AS263" s="222"/>
      <c r="AT263" s="222"/>
      <c r="AU263" s="222"/>
      <c r="AV263" s="222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222"/>
      <c r="BL263" s="222"/>
      <c r="BM263" s="222"/>
      <c r="BN263" s="222"/>
      <c r="BO263" s="222"/>
      <c r="BP263" s="222"/>
      <c r="BQ263" s="222"/>
      <c r="BR263" s="222"/>
      <c r="BS263" s="222"/>
      <c r="BT263" s="222"/>
      <c r="BU263" s="222"/>
      <c r="BV263" s="222"/>
      <c r="BW263" s="222"/>
      <c r="BX263" s="222"/>
      <c r="BY263" s="222"/>
      <c r="BZ263" s="222"/>
      <c r="CA263" s="222"/>
      <c r="CB263" s="222"/>
      <c r="CC263" s="222"/>
      <c r="CD263" s="222"/>
      <c r="CE263" s="222"/>
      <c r="CF263" s="222"/>
      <c r="CG263" s="222"/>
      <c r="CH263" s="222"/>
      <c r="CI263" s="222"/>
      <c r="CJ263" s="222"/>
      <c r="CK263" s="222"/>
      <c r="CL263" s="222"/>
      <c r="CM263" s="222"/>
      <c r="CN263" s="222"/>
      <c r="CO263" s="222"/>
      <c r="CP263" s="222"/>
      <c r="CQ263" s="222"/>
      <c r="CR263" s="222"/>
      <c r="CS263" s="222"/>
    </row>
    <row r="264">
      <c r="A264" s="43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  <c r="AC264" s="222"/>
      <c r="AD264" s="222"/>
      <c r="AE264" s="222"/>
      <c r="AF264" s="222"/>
      <c r="AG264" s="222"/>
      <c r="AH264" s="222"/>
      <c r="AI264" s="222"/>
      <c r="AJ264" s="222"/>
      <c r="AK264" s="222"/>
      <c r="AL264" s="222"/>
      <c r="AM264" s="222"/>
      <c r="AN264" s="222"/>
      <c r="AO264" s="222"/>
      <c r="AP264" s="222"/>
      <c r="AQ264" s="222"/>
      <c r="AR264" s="222"/>
      <c r="AS264" s="222"/>
      <c r="AT264" s="222"/>
      <c r="AU264" s="222"/>
      <c r="AV264" s="222"/>
      <c r="AW264" s="222"/>
      <c r="AX264" s="222"/>
      <c r="AY264" s="222"/>
      <c r="AZ264" s="222"/>
      <c r="BA264" s="222"/>
      <c r="BB264" s="222"/>
      <c r="BC264" s="222"/>
      <c r="BD264" s="222"/>
      <c r="BE264" s="222"/>
      <c r="BF264" s="222"/>
      <c r="BG264" s="222"/>
      <c r="BH264" s="222"/>
      <c r="BI264" s="222"/>
      <c r="BJ264" s="222"/>
      <c r="BK264" s="222"/>
      <c r="BL264" s="222"/>
      <c r="BM264" s="222"/>
      <c r="BN264" s="222"/>
      <c r="BO264" s="222"/>
      <c r="BP264" s="222"/>
      <c r="BQ264" s="222"/>
      <c r="BR264" s="222"/>
      <c r="BS264" s="222"/>
      <c r="BT264" s="222"/>
      <c r="BU264" s="222"/>
      <c r="BV264" s="222"/>
      <c r="BW264" s="222"/>
      <c r="BX264" s="222"/>
      <c r="BY264" s="222"/>
      <c r="BZ264" s="222"/>
      <c r="CA264" s="222"/>
      <c r="CB264" s="222"/>
      <c r="CC264" s="222"/>
      <c r="CD264" s="222"/>
      <c r="CE264" s="222"/>
      <c r="CF264" s="222"/>
      <c r="CG264" s="222"/>
      <c r="CH264" s="222"/>
      <c r="CI264" s="222"/>
      <c r="CJ264" s="222"/>
      <c r="CK264" s="222"/>
      <c r="CL264" s="222"/>
      <c r="CM264" s="222"/>
      <c r="CN264" s="222"/>
      <c r="CO264" s="222"/>
      <c r="CP264" s="222"/>
      <c r="CQ264" s="222"/>
      <c r="CR264" s="222"/>
      <c r="CS264" s="222"/>
    </row>
    <row r="265">
      <c r="A265" s="43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2"/>
      <c r="AG265" s="222"/>
      <c r="AH265" s="222"/>
      <c r="AI265" s="222"/>
      <c r="AJ265" s="222"/>
      <c r="AK265" s="222"/>
      <c r="AL265" s="222"/>
      <c r="AM265" s="222"/>
      <c r="AN265" s="222"/>
      <c r="AO265" s="222"/>
      <c r="AP265" s="222"/>
      <c r="AQ265" s="222"/>
      <c r="AR265" s="222"/>
      <c r="AS265" s="222"/>
      <c r="AT265" s="222"/>
      <c r="AU265" s="222"/>
      <c r="AV265" s="222"/>
      <c r="AW265" s="222"/>
      <c r="AX265" s="222"/>
      <c r="AY265" s="222"/>
      <c r="AZ265" s="222"/>
      <c r="BA265" s="222"/>
      <c r="BB265" s="222"/>
      <c r="BC265" s="222"/>
      <c r="BD265" s="222"/>
      <c r="BE265" s="222"/>
      <c r="BF265" s="222"/>
      <c r="BG265" s="222"/>
      <c r="BH265" s="222"/>
      <c r="BI265" s="222"/>
      <c r="BJ265" s="222"/>
      <c r="BK265" s="222"/>
      <c r="BL265" s="222"/>
      <c r="BM265" s="222"/>
      <c r="BN265" s="222"/>
      <c r="BO265" s="222"/>
      <c r="BP265" s="222"/>
      <c r="BQ265" s="222"/>
      <c r="BR265" s="222"/>
      <c r="BS265" s="222"/>
      <c r="BT265" s="222"/>
      <c r="BU265" s="222"/>
      <c r="BV265" s="222"/>
      <c r="BW265" s="222"/>
      <c r="BX265" s="222"/>
      <c r="BY265" s="222"/>
      <c r="BZ265" s="222"/>
      <c r="CA265" s="222"/>
      <c r="CB265" s="222"/>
      <c r="CC265" s="222"/>
      <c r="CD265" s="222"/>
      <c r="CE265" s="222"/>
      <c r="CF265" s="222"/>
      <c r="CG265" s="222"/>
      <c r="CH265" s="222"/>
      <c r="CI265" s="222"/>
      <c r="CJ265" s="222"/>
      <c r="CK265" s="222"/>
      <c r="CL265" s="222"/>
      <c r="CM265" s="222"/>
      <c r="CN265" s="222"/>
      <c r="CO265" s="222"/>
      <c r="CP265" s="222"/>
      <c r="CQ265" s="222"/>
      <c r="CR265" s="222"/>
      <c r="CS265" s="222"/>
    </row>
    <row r="266">
      <c r="A266" s="43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  <c r="AC266" s="222"/>
      <c r="AD266" s="222"/>
      <c r="AE266" s="222"/>
      <c r="AF266" s="222"/>
      <c r="AG266" s="222"/>
      <c r="AH266" s="222"/>
      <c r="AI266" s="222"/>
      <c r="AJ266" s="222"/>
      <c r="AK266" s="222"/>
      <c r="AL266" s="222"/>
      <c r="AM266" s="222"/>
      <c r="AN266" s="222"/>
      <c r="AO266" s="222"/>
      <c r="AP266" s="222"/>
      <c r="AQ266" s="222"/>
      <c r="AR266" s="222"/>
      <c r="AS266" s="222"/>
      <c r="AT266" s="222"/>
      <c r="AU266" s="222"/>
      <c r="AV266" s="222"/>
      <c r="AW266" s="222"/>
      <c r="AX266" s="222"/>
      <c r="AY266" s="222"/>
      <c r="AZ266" s="222"/>
      <c r="BA266" s="222"/>
      <c r="BB266" s="222"/>
      <c r="BC266" s="222"/>
      <c r="BD266" s="222"/>
      <c r="BE266" s="222"/>
      <c r="BF266" s="222"/>
      <c r="BG266" s="222"/>
      <c r="BH266" s="222"/>
      <c r="BI266" s="222"/>
      <c r="BJ266" s="222"/>
      <c r="BK266" s="222"/>
      <c r="BL266" s="222"/>
      <c r="BM266" s="222"/>
      <c r="BN266" s="222"/>
      <c r="BO266" s="222"/>
      <c r="BP266" s="222"/>
      <c r="BQ266" s="222"/>
      <c r="BR266" s="222"/>
      <c r="BS266" s="222"/>
      <c r="BT266" s="222"/>
      <c r="BU266" s="222"/>
      <c r="BV266" s="222"/>
      <c r="BW266" s="222"/>
      <c r="BX266" s="222"/>
      <c r="BY266" s="222"/>
      <c r="BZ266" s="222"/>
      <c r="CA266" s="222"/>
      <c r="CB266" s="222"/>
      <c r="CC266" s="222"/>
      <c r="CD266" s="222"/>
      <c r="CE266" s="222"/>
      <c r="CF266" s="222"/>
      <c r="CG266" s="222"/>
      <c r="CH266" s="222"/>
      <c r="CI266" s="222"/>
      <c r="CJ266" s="222"/>
      <c r="CK266" s="222"/>
      <c r="CL266" s="222"/>
      <c r="CM266" s="222"/>
      <c r="CN266" s="222"/>
      <c r="CO266" s="222"/>
      <c r="CP266" s="222"/>
      <c r="CQ266" s="222"/>
      <c r="CR266" s="222"/>
      <c r="CS266" s="222"/>
    </row>
    <row r="267">
      <c r="A267" s="43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2"/>
      <c r="AL267" s="222"/>
      <c r="AM267" s="222"/>
      <c r="AN267" s="222"/>
      <c r="AO267" s="222"/>
      <c r="AP267" s="222"/>
      <c r="AQ267" s="222"/>
      <c r="AR267" s="222"/>
      <c r="AS267" s="222"/>
      <c r="AT267" s="222"/>
      <c r="AU267" s="222"/>
      <c r="AV267" s="222"/>
      <c r="AW267" s="222"/>
      <c r="AX267" s="222"/>
      <c r="AY267" s="222"/>
      <c r="AZ267" s="222"/>
      <c r="BA267" s="222"/>
      <c r="BB267" s="222"/>
      <c r="BC267" s="222"/>
      <c r="BD267" s="222"/>
      <c r="BE267" s="222"/>
      <c r="BF267" s="222"/>
      <c r="BG267" s="222"/>
      <c r="BH267" s="222"/>
      <c r="BI267" s="222"/>
      <c r="BJ267" s="222"/>
      <c r="BK267" s="222"/>
      <c r="BL267" s="222"/>
      <c r="BM267" s="222"/>
      <c r="BN267" s="222"/>
      <c r="BO267" s="222"/>
      <c r="BP267" s="222"/>
      <c r="BQ267" s="222"/>
      <c r="BR267" s="222"/>
      <c r="BS267" s="222"/>
      <c r="BT267" s="222"/>
      <c r="BU267" s="222"/>
      <c r="BV267" s="222"/>
      <c r="BW267" s="222"/>
      <c r="BX267" s="222"/>
      <c r="BY267" s="222"/>
      <c r="BZ267" s="222"/>
      <c r="CA267" s="222"/>
      <c r="CB267" s="222"/>
      <c r="CC267" s="222"/>
      <c r="CD267" s="222"/>
      <c r="CE267" s="222"/>
      <c r="CF267" s="222"/>
      <c r="CG267" s="222"/>
      <c r="CH267" s="222"/>
      <c r="CI267" s="222"/>
      <c r="CJ267" s="222"/>
      <c r="CK267" s="222"/>
      <c r="CL267" s="222"/>
      <c r="CM267" s="222"/>
      <c r="CN267" s="222"/>
      <c r="CO267" s="222"/>
      <c r="CP267" s="222"/>
      <c r="CQ267" s="222"/>
      <c r="CR267" s="222"/>
      <c r="CS267" s="222"/>
    </row>
    <row r="268">
      <c r="A268" s="43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  <c r="AC268" s="222"/>
      <c r="AD268" s="222"/>
      <c r="AE268" s="222"/>
      <c r="AF268" s="222"/>
      <c r="AG268" s="222"/>
      <c r="AH268" s="222"/>
      <c r="AI268" s="222"/>
      <c r="AJ268" s="222"/>
      <c r="AK268" s="222"/>
      <c r="AL268" s="222"/>
      <c r="AM268" s="222"/>
      <c r="AN268" s="222"/>
      <c r="AO268" s="222"/>
      <c r="AP268" s="222"/>
      <c r="AQ268" s="222"/>
      <c r="AR268" s="222"/>
      <c r="AS268" s="222"/>
      <c r="AT268" s="222"/>
      <c r="AU268" s="222"/>
      <c r="AV268" s="222"/>
      <c r="AW268" s="222"/>
      <c r="AX268" s="222"/>
      <c r="AY268" s="222"/>
      <c r="AZ268" s="222"/>
      <c r="BA268" s="222"/>
      <c r="BB268" s="222"/>
      <c r="BC268" s="222"/>
      <c r="BD268" s="222"/>
      <c r="BE268" s="222"/>
      <c r="BF268" s="222"/>
      <c r="BG268" s="222"/>
      <c r="BH268" s="222"/>
      <c r="BI268" s="222"/>
      <c r="BJ268" s="222"/>
      <c r="BK268" s="222"/>
      <c r="BL268" s="222"/>
      <c r="BM268" s="222"/>
      <c r="BN268" s="222"/>
      <c r="BO268" s="222"/>
      <c r="BP268" s="222"/>
      <c r="BQ268" s="222"/>
      <c r="BR268" s="222"/>
      <c r="BS268" s="222"/>
      <c r="BT268" s="222"/>
      <c r="BU268" s="222"/>
      <c r="BV268" s="222"/>
      <c r="BW268" s="222"/>
      <c r="BX268" s="222"/>
      <c r="BY268" s="222"/>
      <c r="BZ268" s="222"/>
      <c r="CA268" s="222"/>
      <c r="CB268" s="222"/>
      <c r="CC268" s="222"/>
      <c r="CD268" s="222"/>
      <c r="CE268" s="222"/>
      <c r="CF268" s="222"/>
      <c r="CG268" s="222"/>
      <c r="CH268" s="222"/>
      <c r="CI268" s="222"/>
      <c r="CJ268" s="222"/>
      <c r="CK268" s="222"/>
      <c r="CL268" s="222"/>
      <c r="CM268" s="222"/>
      <c r="CN268" s="222"/>
      <c r="CO268" s="222"/>
      <c r="CP268" s="222"/>
      <c r="CQ268" s="222"/>
      <c r="CR268" s="222"/>
      <c r="CS268" s="222"/>
    </row>
    <row r="269">
      <c r="A269" s="43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  <c r="AC269" s="222"/>
      <c r="AD269" s="222"/>
      <c r="AE269" s="222"/>
      <c r="AF269" s="222"/>
      <c r="AG269" s="222"/>
      <c r="AH269" s="222"/>
      <c r="AI269" s="222"/>
      <c r="AJ269" s="222"/>
      <c r="AK269" s="222"/>
      <c r="AL269" s="222"/>
      <c r="AM269" s="222"/>
      <c r="AN269" s="222"/>
      <c r="AO269" s="222"/>
      <c r="AP269" s="222"/>
      <c r="AQ269" s="222"/>
      <c r="AR269" s="222"/>
      <c r="AS269" s="222"/>
      <c r="AT269" s="222"/>
      <c r="AU269" s="222"/>
      <c r="AV269" s="222"/>
      <c r="AW269" s="222"/>
      <c r="AX269" s="222"/>
      <c r="AY269" s="222"/>
      <c r="AZ269" s="222"/>
      <c r="BA269" s="222"/>
      <c r="BB269" s="222"/>
      <c r="BC269" s="222"/>
      <c r="BD269" s="222"/>
      <c r="BE269" s="222"/>
      <c r="BF269" s="222"/>
      <c r="BG269" s="222"/>
      <c r="BH269" s="222"/>
      <c r="BI269" s="222"/>
      <c r="BJ269" s="222"/>
      <c r="BK269" s="222"/>
      <c r="BL269" s="222"/>
      <c r="BM269" s="222"/>
      <c r="BN269" s="222"/>
      <c r="BO269" s="222"/>
      <c r="BP269" s="222"/>
      <c r="BQ269" s="222"/>
      <c r="BR269" s="222"/>
      <c r="BS269" s="222"/>
      <c r="BT269" s="222"/>
      <c r="BU269" s="222"/>
      <c r="BV269" s="222"/>
      <c r="BW269" s="222"/>
      <c r="BX269" s="222"/>
      <c r="BY269" s="222"/>
      <c r="BZ269" s="222"/>
      <c r="CA269" s="222"/>
      <c r="CB269" s="222"/>
      <c r="CC269" s="222"/>
      <c r="CD269" s="222"/>
      <c r="CE269" s="222"/>
      <c r="CF269" s="222"/>
      <c r="CG269" s="222"/>
      <c r="CH269" s="222"/>
      <c r="CI269" s="222"/>
      <c r="CJ269" s="222"/>
      <c r="CK269" s="222"/>
      <c r="CL269" s="222"/>
      <c r="CM269" s="222"/>
      <c r="CN269" s="222"/>
      <c r="CO269" s="222"/>
      <c r="CP269" s="222"/>
      <c r="CQ269" s="222"/>
      <c r="CR269" s="222"/>
      <c r="CS269" s="222"/>
    </row>
    <row r="270">
      <c r="A270" s="43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  <c r="AC270" s="222"/>
      <c r="AD270" s="222"/>
      <c r="AE270" s="222"/>
      <c r="AF270" s="222"/>
      <c r="AG270" s="222"/>
      <c r="AH270" s="222"/>
      <c r="AI270" s="222"/>
      <c r="AJ270" s="222"/>
      <c r="AK270" s="222"/>
      <c r="AL270" s="222"/>
      <c r="AM270" s="222"/>
      <c r="AN270" s="222"/>
      <c r="AO270" s="222"/>
      <c r="AP270" s="222"/>
      <c r="AQ270" s="222"/>
      <c r="AR270" s="222"/>
      <c r="AS270" s="222"/>
      <c r="AT270" s="222"/>
      <c r="AU270" s="222"/>
      <c r="AV270" s="222"/>
      <c r="AW270" s="222"/>
      <c r="AX270" s="222"/>
      <c r="AY270" s="222"/>
      <c r="AZ270" s="222"/>
      <c r="BA270" s="222"/>
      <c r="BB270" s="222"/>
      <c r="BC270" s="222"/>
      <c r="BD270" s="222"/>
      <c r="BE270" s="222"/>
      <c r="BF270" s="222"/>
      <c r="BG270" s="222"/>
      <c r="BH270" s="222"/>
      <c r="BI270" s="222"/>
      <c r="BJ270" s="222"/>
      <c r="BK270" s="222"/>
      <c r="BL270" s="222"/>
      <c r="BM270" s="222"/>
      <c r="BN270" s="222"/>
      <c r="BO270" s="222"/>
      <c r="BP270" s="222"/>
      <c r="BQ270" s="222"/>
      <c r="BR270" s="222"/>
      <c r="BS270" s="222"/>
      <c r="BT270" s="222"/>
      <c r="BU270" s="222"/>
      <c r="BV270" s="222"/>
      <c r="BW270" s="222"/>
      <c r="BX270" s="222"/>
      <c r="BY270" s="222"/>
      <c r="BZ270" s="222"/>
      <c r="CA270" s="222"/>
      <c r="CB270" s="222"/>
      <c r="CC270" s="222"/>
      <c r="CD270" s="222"/>
      <c r="CE270" s="222"/>
      <c r="CF270" s="222"/>
      <c r="CG270" s="222"/>
      <c r="CH270" s="222"/>
      <c r="CI270" s="222"/>
      <c r="CJ270" s="222"/>
      <c r="CK270" s="222"/>
      <c r="CL270" s="222"/>
      <c r="CM270" s="222"/>
      <c r="CN270" s="222"/>
      <c r="CO270" s="222"/>
      <c r="CP270" s="222"/>
      <c r="CQ270" s="222"/>
      <c r="CR270" s="222"/>
      <c r="CS270" s="222"/>
    </row>
    <row r="271">
      <c r="A271" s="43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2"/>
      <c r="AM271" s="222"/>
      <c r="AN271" s="222"/>
      <c r="AO271" s="222"/>
      <c r="AP271" s="222"/>
      <c r="AQ271" s="222"/>
      <c r="AR271" s="222"/>
      <c r="AS271" s="222"/>
      <c r="AT271" s="222"/>
      <c r="AU271" s="222"/>
      <c r="AV271" s="222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222"/>
      <c r="BH271" s="222"/>
      <c r="BI271" s="222"/>
      <c r="BJ271" s="222"/>
      <c r="BK271" s="222"/>
      <c r="BL271" s="222"/>
      <c r="BM271" s="222"/>
      <c r="BN271" s="222"/>
      <c r="BO271" s="222"/>
      <c r="BP271" s="222"/>
      <c r="BQ271" s="222"/>
      <c r="BR271" s="222"/>
      <c r="BS271" s="222"/>
      <c r="BT271" s="222"/>
      <c r="BU271" s="222"/>
      <c r="BV271" s="222"/>
      <c r="BW271" s="222"/>
      <c r="BX271" s="222"/>
      <c r="BY271" s="222"/>
      <c r="BZ271" s="222"/>
      <c r="CA271" s="222"/>
      <c r="CB271" s="222"/>
      <c r="CC271" s="222"/>
      <c r="CD271" s="222"/>
      <c r="CE271" s="222"/>
      <c r="CF271" s="222"/>
      <c r="CG271" s="222"/>
      <c r="CH271" s="222"/>
      <c r="CI271" s="222"/>
      <c r="CJ271" s="222"/>
      <c r="CK271" s="222"/>
      <c r="CL271" s="222"/>
      <c r="CM271" s="222"/>
      <c r="CN271" s="222"/>
      <c r="CO271" s="222"/>
      <c r="CP271" s="222"/>
      <c r="CQ271" s="222"/>
      <c r="CR271" s="222"/>
      <c r="CS271" s="222"/>
    </row>
    <row r="272">
      <c r="A272" s="43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222"/>
      <c r="AP272" s="222"/>
      <c r="AQ272" s="222"/>
      <c r="AR272" s="222"/>
      <c r="AS272" s="222"/>
      <c r="AT272" s="222"/>
      <c r="AU272" s="222"/>
      <c r="AV272" s="222"/>
      <c r="AW272" s="222"/>
      <c r="AX272" s="222"/>
      <c r="AY272" s="222"/>
      <c r="AZ272" s="222"/>
      <c r="BA272" s="222"/>
      <c r="BB272" s="222"/>
      <c r="BC272" s="222"/>
      <c r="BD272" s="222"/>
      <c r="BE272" s="222"/>
      <c r="BF272" s="222"/>
      <c r="BG272" s="222"/>
      <c r="BH272" s="222"/>
      <c r="BI272" s="222"/>
      <c r="BJ272" s="222"/>
      <c r="BK272" s="222"/>
      <c r="BL272" s="222"/>
      <c r="BM272" s="222"/>
      <c r="BN272" s="222"/>
      <c r="BO272" s="222"/>
      <c r="BP272" s="222"/>
      <c r="BQ272" s="222"/>
      <c r="BR272" s="222"/>
      <c r="BS272" s="222"/>
      <c r="BT272" s="222"/>
      <c r="BU272" s="222"/>
      <c r="BV272" s="222"/>
      <c r="BW272" s="222"/>
      <c r="BX272" s="222"/>
      <c r="BY272" s="222"/>
      <c r="BZ272" s="222"/>
      <c r="CA272" s="222"/>
      <c r="CB272" s="222"/>
      <c r="CC272" s="222"/>
      <c r="CD272" s="222"/>
      <c r="CE272" s="222"/>
      <c r="CF272" s="222"/>
      <c r="CG272" s="222"/>
      <c r="CH272" s="222"/>
      <c r="CI272" s="222"/>
      <c r="CJ272" s="222"/>
      <c r="CK272" s="222"/>
      <c r="CL272" s="222"/>
      <c r="CM272" s="222"/>
      <c r="CN272" s="222"/>
      <c r="CO272" s="222"/>
      <c r="CP272" s="222"/>
      <c r="CQ272" s="222"/>
      <c r="CR272" s="222"/>
      <c r="CS272" s="222"/>
    </row>
    <row r="273">
      <c r="A273" s="43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  <c r="AC273" s="222"/>
      <c r="AD273" s="222"/>
      <c r="AE273" s="222"/>
      <c r="AF273" s="222"/>
      <c r="AG273" s="222"/>
      <c r="AH273" s="222"/>
      <c r="AI273" s="222"/>
      <c r="AJ273" s="222"/>
      <c r="AK273" s="222"/>
      <c r="AL273" s="222"/>
      <c r="AM273" s="222"/>
      <c r="AN273" s="222"/>
      <c r="AO273" s="222"/>
      <c r="AP273" s="222"/>
      <c r="AQ273" s="222"/>
      <c r="AR273" s="222"/>
      <c r="AS273" s="222"/>
      <c r="AT273" s="222"/>
      <c r="AU273" s="222"/>
      <c r="AV273" s="222"/>
      <c r="AW273" s="222"/>
      <c r="AX273" s="222"/>
      <c r="AY273" s="222"/>
      <c r="AZ273" s="222"/>
      <c r="BA273" s="222"/>
      <c r="BB273" s="222"/>
      <c r="BC273" s="222"/>
      <c r="BD273" s="222"/>
      <c r="BE273" s="222"/>
      <c r="BF273" s="222"/>
      <c r="BG273" s="222"/>
      <c r="BH273" s="222"/>
      <c r="BI273" s="222"/>
      <c r="BJ273" s="222"/>
      <c r="BK273" s="222"/>
      <c r="BL273" s="222"/>
      <c r="BM273" s="222"/>
      <c r="BN273" s="222"/>
      <c r="BO273" s="222"/>
      <c r="BP273" s="222"/>
      <c r="BQ273" s="222"/>
      <c r="BR273" s="222"/>
      <c r="BS273" s="222"/>
      <c r="BT273" s="222"/>
      <c r="BU273" s="222"/>
      <c r="BV273" s="222"/>
      <c r="BW273" s="222"/>
      <c r="BX273" s="222"/>
      <c r="BY273" s="222"/>
      <c r="BZ273" s="222"/>
      <c r="CA273" s="222"/>
      <c r="CB273" s="222"/>
      <c r="CC273" s="222"/>
      <c r="CD273" s="222"/>
      <c r="CE273" s="222"/>
      <c r="CF273" s="222"/>
      <c r="CG273" s="222"/>
      <c r="CH273" s="222"/>
      <c r="CI273" s="222"/>
      <c r="CJ273" s="222"/>
      <c r="CK273" s="222"/>
      <c r="CL273" s="222"/>
      <c r="CM273" s="222"/>
      <c r="CN273" s="222"/>
      <c r="CO273" s="222"/>
      <c r="CP273" s="222"/>
      <c r="CQ273" s="222"/>
      <c r="CR273" s="222"/>
      <c r="CS273" s="222"/>
    </row>
    <row r="274">
      <c r="A274" s="43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  <c r="AC274" s="222"/>
      <c r="AD274" s="222"/>
      <c r="AE274" s="222"/>
      <c r="AF274" s="222"/>
      <c r="AG274" s="222"/>
      <c r="AH274" s="222"/>
      <c r="AI274" s="222"/>
      <c r="AJ274" s="222"/>
      <c r="AK274" s="222"/>
      <c r="AL274" s="222"/>
      <c r="AM274" s="222"/>
      <c r="AN274" s="222"/>
      <c r="AO274" s="222"/>
      <c r="AP274" s="222"/>
      <c r="AQ274" s="222"/>
      <c r="AR274" s="222"/>
      <c r="AS274" s="222"/>
      <c r="AT274" s="222"/>
      <c r="AU274" s="222"/>
      <c r="AV274" s="222"/>
      <c r="AW274" s="222"/>
      <c r="AX274" s="222"/>
      <c r="AY274" s="222"/>
      <c r="AZ274" s="222"/>
      <c r="BA274" s="222"/>
      <c r="BB274" s="222"/>
      <c r="BC274" s="222"/>
      <c r="BD274" s="222"/>
      <c r="BE274" s="222"/>
      <c r="BF274" s="222"/>
      <c r="BG274" s="222"/>
      <c r="BH274" s="222"/>
      <c r="BI274" s="222"/>
      <c r="BJ274" s="222"/>
      <c r="BK274" s="222"/>
      <c r="BL274" s="222"/>
      <c r="BM274" s="222"/>
      <c r="BN274" s="222"/>
      <c r="BO274" s="222"/>
      <c r="BP274" s="222"/>
      <c r="BQ274" s="222"/>
      <c r="BR274" s="222"/>
      <c r="BS274" s="222"/>
      <c r="BT274" s="222"/>
      <c r="BU274" s="222"/>
      <c r="BV274" s="222"/>
      <c r="BW274" s="222"/>
      <c r="BX274" s="222"/>
      <c r="BY274" s="222"/>
      <c r="BZ274" s="222"/>
      <c r="CA274" s="222"/>
      <c r="CB274" s="222"/>
      <c r="CC274" s="222"/>
      <c r="CD274" s="222"/>
      <c r="CE274" s="222"/>
      <c r="CF274" s="222"/>
      <c r="CG274" s="222"/>
      <c r="CH274" s="222"/>
      <c r="CI274" s="222"/>
      <c r="CJ274" s="222"/>
      <c r="CK274" s="222"/>
      <c r="CL274" s="222"/>
      <c r="CM274" s="222"/>
      <c r="CN274" s="222"/>
      <c r="CO274" s="222"/>
      <c r="CP274" s="222"/>
      <c r="CQ274" s="222"/>
      <c r="CR274" s="222"/>
      <c r="CS274" s="222"/>
    </row>
    <row r="275">
      <c r="A275" s="43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222"/>
      <c r="AP275" s="222"/>
      <c r="AQ275" s="222"/>
      <c r="AR275" s="222"/>
      <c r="AS275" s="222"/>
      <c r="AT275" s="222"/>
      <c r="AU275" s="222"/>
      <c r="AV275" s="222"/>
      <c r="AW275" s="222"/>
      <c r="AX275" s="222"/>
      <c r="AY275" s="222"/>
      <c r="AZ275" s="222"/>
      <c r="BA275" s="222"/>
      <c r="BB275" s="222"/>
      <c r="BC275" s="222"/>
      <c r="BD275" s="222"/>
      <c r="BE275" s="222"/>
      <c r="BF275" s="222"/>
      <c r="BG275" s="222"/>
      <c r="BH275" s="222"/>
      <c r="BI275" s="222"/>
      <c r="BJ275" s="222"/>
      <c r="BK275" s="222"/>
      <c r="BL275" s="222"/>
      <c r="BM275" s="222"/>
      <c r="BN275" s="222"/>
      <c r="BO275" s="222"/>
      <c r="BP275" s="222"/>
      <c r="BQ275" s="222"/>
      <c r="BR275" s="222"/>
      <c r="BS275" s="222"/>
      <c r="BT275" s="222"/>
      <c r="BU275" s="222"/>
      <c r="BV275" s="222"/>
      <c r="BW275" s="222"/>
      <c r="BX275" s="222"/>
      <c r="BY275" s="222"/>
      <c r="BZ275" s="222"/>
      <c r="CA275" s="222"/>
      <c r="CB275" s="222"/>
      <c r="CC275" s="222"/>
      <c r="CD275" s="222"/>
      <c r="CE275" s="222"/>
      <c r="CF275" s="222"/>
      <c r="CG275" s="222"/>
      <c r="CH275" s="222"/>
      <c r="CI275" s="222"/>
      <c r="CJ275" s="222"/>
      <c r="CK275" s="222"/>
      <c r="CL275" s="222"/>
      <c r="CM275" s="222"/>
      <c r="CN275" s="222"/>
      <c r="CO275" s="222"/>
      <c r="CP275" s="222"/>
      <c r="CQ275" s="222"/>
      <c r="CR275" s="222"/>
      <c r="CS275" s="222"/>
    </row>
    <row r="276">
      <c r="A276" s="43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222"/>
      <c r="AP276" s="222"/>
      <c r="AQ276" s="222"/>
      <c r="AR276" s="222"/>
      <c r="AS276" s="222"/>
      <c r="AT276" s="222"/>
      <c r="AU276" s="222"/>
      <c r="AV276" s="222"/>
      <c r="AW276" s="222"/>
      <c r="AX276" s="222"/>
      <c r="AY276" s="222"/>
      <c r="AZ276" s="222"/>
      <c r="BA276" s="222"/>
      <c r="BB276" s="222"/>
      <c r="BC276" s="222"/>
      <c r="BD276" s="222"/>
      <c r="BE276" s="222"/>
      <c r="BF276" s="222"/>
      <c r="BG276" s="222"/>
      <c r="BH276" s="222"/>
      <c r="BI276" s="222"/>
      <c r="BJ276" s="222"/>
      <c r="BK276" s="222"/>
      <c r="BL276" s="222"/>
      <c r="BM276" s="222"/>
      <c r="BN276" s="222"/>
      <c r="BO276" s="222"/>
      <c r="BP276" s="222"/>
      <c r="BQ276" s="222"/>
      <c r="BR276" s="222"/>
      <c r="BS276" s="222"/>
      <c r="BT276" s="222"/>
      <c r="BU276" s="222"/>
      <c r="BV276" s="222"/>
      <c r="BW276" s="222"/>
      <c r="BX276" s="222"/>
      <c r="BY276" s="222"/>
      <c r="BZ276" s="222"/>
      <c r="CA276" s="222"/>
      <c r="CB276" s="222"/>
      <c r="CC276" s="222"/>
      <c r="CD276" s="222"/>
      <c r="CE276" s="222"/>
      <c r="CF276" s="222"/>
      <c r="CG276" s="222"/>
      <c r="CH276" s="222"/>
      <c r="CI276" s="222"/>
      <c r="CJ276" s="222"/>
      <c r="CK276" s="222"/>
      <c r="CL276" s="222"/>
      <c r="CM276" s="222"/>
      <c r="CN276" s="222"/>
      <c r="CO276" s="222"/>
      <c r="CP276" s="222"/>
      <c r="CQ276" s="222"/>
      <c r="CR276" s="222"/>
      <c r="CS276" s="222"/>
    </row>
    <row r="277">
      <c r="A277" s="43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222"/>
      <c r="AP277" s="222"/>
      <c r="AQ277" s="222"/>
      <c r="AR277" s="222"/>
      <c r="AS277" s="222"/>
      <c r="AT277" s="222"/>
      <c r="AU277" s="222"/>
      <c r="AV277" s="222"/>
      <c r="AW277" s="222"/>
      <c r="AX277" s="222"/>
      <c r="AY277" s="222"/>
      <c r="AZ277" s="222"/>
      <c r="BA277" s="222"/>
      <c r="BB277" s="222"/>
      <c r="BC277" s="222"/>
      <c r="BD277" s="222"/>
      <c r="BE277" s="222"/>
      <c r="BF277" s="222"/>
      <c r="BG277" s="222"/>
      <c r="BH277" s="222"/>
      <c r="BI277" s="222"/>
      <c r="BJ277" s="222"/>
      <c r="BK277" s="222"/>
      <c r="BL277" s="222"/>
      <c r="BM277" s="222"/>
      <c r="BN277" s="222"/>
      <c r="BO277" s="222"/>
      <c r="BP277" s="222"/>
      <c r="BQ277" s="222"/>
      <c r="BR277" s="222"/>
      <c r="BS277" s="222"/>
      <c r="BT277" s="222"/>
      <c r="BU277" s="222"/>
      <c r="BV277" s="222"/>
      <c r="BW277" s="222"/>
      <c r="BX277" s="222"/>
      <c r="BY277" s="222"/>
      <c r="BZ277" s="222"/>
      <c r="CA277" s="222"/>
      <c r="CB277" s="222"/>
      <c r="CC277" s="222"/>
      <c r="CD277" s="222"/>
      <c r="CE277" s="222"/>
      <c r="CF277" s="222"/>
      <c r="CG277" s="222"/>
      <c r="CH277" s="222"/>
      <c r="CI277" s="222"/>
      <c r="CJ277" s="222"/>
      <c r="CK277" s="222"/>
      <c r="CL277" s="222"/>
      <c r="CM277" s="222"/>
      <c r="CN277" s="222"/>
      <c r="CO277" s="222"/>
      <c r="CP277" s="222"/>
      <c r="CQ277" s="222"/>
      <c r="CR277" s="222"/>
      <c r="CS277" s="222"/>
    </row>
    <row r="278">
      <c r="A278" s="43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222"/>
      <c r="AP278" s="222"/>
      <c r="AQ278" s="222"/>
      <c r="AR278" s="222"/>
      <c r="AS278" s="222"/>
      <c r="AT278" s="222"/>
      <c r="AU278" s="222"/>
      <c r="AV278" s="222"/>
      <c r="AW278" s="222"/>
      <c r="AX278" s="222"/>
      <c r="AY278" s="222"/>
      <c r="AZ278" s="222"/>
      <c r="BA278" s="222"/>
      <c r="BB278" s="222"/>
      <c r="BC278" s="222"/>
      <c r="BD278" s="222"/>
      <c r="BE278" s="222"/>
      <c r="BF278" s="222"/>
      <c r="BG278" s="222"/>
      <c r="BH278" s="222"/>
      <c r="BI278" s="222"/>
      <c r="BJ278" s="222"/>
      <c r="BK278" s="222"/>
      <c r="BL278" s="222"/>
      <c r="BM278" s="222"/>
      <c r="BN278" s="222"/>
      <c r="BO278" s="222"/>
      <c r="BP278" s="222"/>
      <c r="BQ278" s="222"/>
      <c r="BR278" s="222"/>
      <c r="BS278" s="222"/>
      <c r="BT278" s="222"/>
      <c r="BU278" s="222"/>
      <c r="BV278" s="222"/>
      <c r="BW278" s="222"/>
      <c r="BX278" s="222"/>
      <c r="BY278" s="222"/>
      <c r="BZ278" s="222"/>
      <c r="CA278" s="222"/>
      <c r="CB278" s="222"/>
      <c r="CC278" s="222"/>
      <c r="CD278" s="222"/>
      <c r="CE278" s="222"/>
      <c r="CF278" s="222"/>
      <c r="CG278" s="222"/>
      <c r="CH278" s="222"/>
      <c r="CI278" s="222"/>
      <c r="CJ278" s="222"/>
      <c r="CK278" s="222"/>
      <c r="CL278" s="222"/>
      <c r="CM278" s="222"/>
      <c r="CN278" s="222"/>
      <c r="CO278" s="222"/>
      <c r="CP278" s="222"/>
      <c r="CQ278" s="222"/>
      <c r="CR278" s="222"/>
      <c r="CS278" s="222"/>
    </row>
    <row r="279">
      <c r="A279" s="43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222"/>
      <c r="AP279" s="222"/>
      <c r="AQ279" s="222"/>
      <c r="AR279" s="222"/>
      <c r="AS279" s="222"/>
      <c r="AT279" s="222"/>
      <c r="AU279" s="222"/>
      <c r="AV279" s="222"/>
      <c r="AW279" s="222"/>
      <c r="AX279" s="222"/>
      <c r="AY279" s="222"/>
      <c r="AZ279" s="222"/>
      <c r="BA279" s="222"/>
      <c r="BB279" s="222"/>
      <c r="BC279" s="222"/>
      <c r="BD279" s="222"/>
      <c r="BE279" s="222"/>
      <c r="BF279" s="222"/>
      <c r="BG279" s="222"/>
      <c r="BH279" s="222"/>
      <c r="BI279" s="222"/>
      <c r="BJ279" s="222"/>
      <c r="BK279" s="222"/>
      <c r="BL279" s="222"/>
      <c r="BM279" s="222"/>
      <c r="BN279" s="222"/>
      <c r="BO279" s="222"/>
      <c r="BP279" s="222"/>
      <c r="BQ279" s="222"/>
      <c r="BR279" s="222"/>
      <c r="BS279" s="222"/>
      <c r="BT279" s="222"/>
      <c r="BU279" s="222"/>
      <c r="BV279" s="222"/>
      <c r="BW279" s="222"/>
      <c r="BX279" s="222"/>
      <c r="BY279" s="222"/>
      <c r="BZ279" s="222"/>
      <c r="CA279" s="222"/>
      <c r="CB279" s="222"/>
      <c r="CC279" s="222"/>
      <c r="CD279" s="222"/>
      <c r="CE279" s="222"/>
      <c r="CF279" s="222"/>
      <c r="CG279" s="222"/>
      <c r="CH279" s="222"/>
      <c r="CI279" s="222"/>
      <c r="CJ279" s="222"/>
      <c r="CK279" s="222"/>
      <c r="CL279" s="222"/>
      <c r="CM279" s="222"/>
      <c r="CN279" s="222"/>
      <c r="CO279" s="222"/>
      <c r="CP279" s="222"/>
      <c r="CQ279" s="222"/>
      <c r="CR279" s="222"/>
      <c r="CS279" s="222"/>
    </row>
    <row r="280">
      <c r="A280" s="43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222"/>
      <c r="AP280" s="222"/>
      <c r="AQ280" s="222"/>
      <c r="AR280" s="222"/>
      <c r="AS280" s="222"/>
      <c r="AT280" s="222"/>
      <c r="AU280" s="222"/>
      <c r="AV280" s="222"/>
      <c r="AW280" s="222"/>
      <c r="AX280" s="222"/>
      <c r="AY280" s="222"/>
      <c r="AZ280" s="222"/>
      <c r="BA280" s="222"/>
      <c r="BB280" s="222"/>
      <c r="BC280" s="222"/>
      <c r="BD280" s="222"/>
      <c r="BE280" s="222"/>
      <c r="BF280" s="222"/>
      <c r="BG280" s="222"/>
      <c r="BH280" s="222"/>
      <c r="BI280" s="222"/>
      <c r="BJ280" s="222"/>
      <c r="BK280" s="222"/>
      <c r="BL280" s="222"/>
      <c r="BM280" s="222"/>
      <c r="BN280" s="222"/>
      <c r="BO280" s="222"/>
      <c r="BP280" s="222"/>
      <c r="BQ280" s="222"/>
      <c r="BR280" s="222"/>
      <c r="BS280" s="222"/>
      <c r="BT280" s="222"/>
      <c r="BU280" s="222"/>
      <c r="BV280" s="222"/>
      <c r="BW280" s="222"/>
      <c r="BX280" s="222"/>
      <c r="BY280" s="222"/>
      <c r="BZ280" s="222"/>
      <c r="CA280" s="222"/>
      <c r="CB280" s="222"/>
      <c r="CC280" s="222"/>
      <c r="CD280" s="222"/>
      <c r="CE280" s="222"/>
      <c r="CF280" s="222"/>
      <c r="CG280" s="222"/>
      <c r="CH280" s="222"/>
      <c r="CI280" s="222"/>
      <c r="CJ280" s="222"/>
      <c r="CK280" s="222"/>
      <c r="CL280" s="222"/>
      <c r="CM280" s="222"/>
      <c r="CN280" s="222"/>
      <c r="CO280" s="222"/>
      <c r="CP280" s="222"/>
      <c r="CQ280" s="222"/>
      <c r="CR280" s="222"/>
      <c r="CS280" s="222"/>
    </row>
    <row r="281">
      <c r="A281" s="43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222"/>
      <c r="AP281" s="222"/>
      <c r="AQ281" s="222"/>
      <c r="AR281" s="222"/>
      <c r="AS281" s="222"/>
      <c r="AT281" s="222"/>
      <c r="AU281" s="222"/>
      <c r="AV281" s="222"/>
      <c r="AW281" s="222"/>
      <c r="AX281" s="222"/>
      <c r="AY281" s="222"/>
      <c r="AZ281" s="222"/>
      <c r="BA281" s="222"/>
      <c r="BB281" s="222"/>
      <c r="BC281" s="222"/>
      <c r="BD281" s="222"/>
      <c r="BE281" s="222"/>
      <c r="BF281" s="222"/>
      <c r="BG281" s="222"/>
      <c r="BH281" s="222"/>
      <c r="BI281" s="222"/>
      <c r="BJ281" s="222"/>
      <c r="BK281" s="222"/>
      <c r="BL281" s="222"/>
      <c r="BM281" s="222"/>
      <c r="BN281" s="222"/>
      <c r="BO281" s="222"/>
      <c r="BP281" s="222"/>
      <c r="BQ281" s="222"/>
      <c r="BR281" s="222"/>
      <c r="BS281" s="222"/>
      <c r="BT281" s="222"/>
      <c r="BU281" s="222"/>
      <c r="BV281" s="222"/>
      <c r="BW281" s="222"/>
      <c r="BX281" s="222"/>
      <c r="BY281" s="222"/>
      <c r="BZ281" s="222"/>
      <c r="CA281" s="222"/>
      <c r="CB281" s="222"/>
      <c r="CC281" s="222"/>
      <c r="CD281" s="222"/>
      <c r="CE281" s="222"/>
      <c r="CF281" s="222"/>
      <c r="CG281" s="222"/>
      <c r="CH281" s="222"/>
      <c r="CI281" s="222"/>
      <c r="CJ281" s="222"/>
      <c r="CK281" s="222"/>
      <c r="CL281" s="222"/>
      <c r="CM281" s="222"/>
      <c r="CN281" s="222"/>
      <c r="CO281" s="222"/>
      <c r="CP281" s="222"/>
      <c r="CQ281" s="222"/>
      <c r="CR281" s="222"/>
      <c r="CS281" s="222"/>
    </row>
    <row r="282">
      <c r="A282" s="43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222"/>
      <c r="AP282" s="222"/>
      <c r="AQ282" s="222"/>
      <c r="AR282" s="222"/>
      <c r="AS282" s="222"/>
      <c r="AT282" s="222"/>
      <c r="AU282" s="222"/>
      <c r="AV282" s="222"/>
      <c r="AW282" s="222"/>
      <c r="AX282" s="222"/>
      <c r="AY282" s="222"/>
      <c r="AZ282" s="222"/>
      <c r="BA282" s="222"/>
      <c r="BB282" s="222"/>
      <c r="BC282" s="222"/>
      <c r="BD282" s="222"/>
      <c r="BE282" s="222"/>
      <c r="BF282" s="222"/>
      <c r="BG282" s="222"/>
      <c r="BH282" s="222"/>
      <c r="BI282" s="222"/>
      <c r="BJ282" s="222"/>
      <c r="BK282" s="222"/>
      <c r="BL282" s="222"/>
      <c r="BM282" s="222"/>
      <c r="BN282" s="222"/>
      <c r="BO282" s="222"/>
      <c r="BP282" s="222"/>
      <c r="BQ282" s="222"/>
      <c r="BR282" s="222"/>
      <c r="BS282" s="222"/>
      <c r="BT282" s="222"/>
      <c r="BU282" s="222"/>
      <c r="BV282" s="222"/>
      <c r="BW282" s="222"/>
      <c r="BX282" s="222"/>
      <c r="BY282" s="222"/>
      <c r="BZ282" s="222"/>
      <c r="CA282" s="222"/>
      <c r="CB282" s="222"/>
      <c r="CC282" s="222"/>
      <c r="CD282" s="222"/>
      <c r="CE282" s="222"/>
      <c r="CF282" s="222"/>
      <c r="CG282" s="222"/>
      <c r="CH282" s="222"/>
      <c r="CI282" s="222"/>
      <c r="CJ282" s="222"/>
      <c r="CK282" s="222"/>
      <c r="CL282" s="222"/>
      <c r="CM282" s="222"/>
      <c r="CN282" s="222"/>
      <c r="CO282" s="222"/>
      <c r="CP282" s="222"/>
      <c r="CQ282" s="222"/>
      <c r="CR282" s="222"/>
      <c r="CS282" s="222"/>
    </row>
    <row r="283">
      <c r="A283" s="43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222"/>
      <c r="AP283" s="222"/>
      <c r="AQ283" s="222"/>
      <c r="AR283" s="222"/>
      <c r="AS283" s="222"/>
      <c r="AT283" s="222"/>
      <c r="AU283" s="222"/>
      <c r="AV283" s="222"/>
      <c r="AW283" s="222"/>
      <c r="AX283" s="222"/>
      <c r="AY283" s="222"/>
      <c r="AZ283" s="222"/>
      <c r="BA283" s="222"/>
      <c r="BB283" s="222"/>
      <c r="BC283" s="222"/>
      <c r="BD283" s="222"/>
      <c r="BE283" s="222"/>
      <c r="BF283" s="222"/>
      <c r="BG283" s="222"/>
      <c r="BH283" s="222"/>
      <c r="BI283" s="222"/>
      <c r="BJ283" s="222"/>
      <c r="BK283" s="222"/>
      <c r="BL283" s="222"/>
      <c r="BM283" s="222"/>
      <c r="BN283" s="222"/>
      <c r="BO283" s="222"/>
      <c r="BP283" s="222"/>
      <c r="BQ283" s="222"/>
      <c r="BR283" s="222"/>
      <c r="BS283" s="222"/>
      <c r="BT283" s="222"/>
      <c r="BU283" s="222"/>
      <c r="BV283" s="222"/>
      <c r="BW283" s="222"/>
      <c r="BX283" s="222"/>
      <c r="BY283" s="222"/>
      <c r="BZ283" s="222"/>
      <c r="CA283" s="222"/>
      <c r="CB283" s="222"/>
      <c r="CC283" s="222"/>
      <c r="CD283" s="222"/>
      <c r="CE283" s="222"/>
      <c r="CF283" s="222"/>
      <c r="CG283" s="222"/>
      <c r="CH283" s="222"/>
      <c r="CI283" s="222"/>
      <c r="CJ283" s="222"/>
      <c r="CK283" s="222"/>
      <c r="CL283" s="222"/>
      <c r="CM283" s="222"/>
      <c r="CN283" s="222"/>
      <c r="CO283" s="222"/>
      <c r="CP283" s="222"/>
      <c r="CQ283" s="222"/>
      <c r="CR283" s="222"/>
      <c r="CS283" s="222"/>
    </row>
    <row r="284">
      <c r="A284" s="43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222"/>
      <c r="AP284" s="222"/>
      <c r="AQ284" s="222"/>
      <c r="AR284" s="222"/>
      <c r="AS284" s="222"/>
      <c r="AT284" s="222"/>
      <c r="AU284" s="222"/>
      <c r="AV284" s="222"/>
      <c r="AW284" s="222"/>
      <c r="AX284" s="222"/>
      <c r="AY284" s="222"/>
      <c r="AZ284" s="222"/>
      <c r="BA284" s="222"/>
      <c r="BB284" s="222"/>
      <c r="BC284" s="222"/>
      <c r="BD284" s="222"/>
      <c r="BE284" s="222"/>
      <c r="BF284" s="222"/>
      <c r="BG284" s="222"/>
      <c r="BH284" s="222"/>
      <c r="BI284" s="222"/>
      <c r="BJ284" s="222"/>
      <c r="BK284" s="222"/>
      <c r="BL284" s="222"/>
      <c r="BM284" s="222"/>
      <c r="BN284" s="222"/>
      <c r="BO284" s="222"/>
      <c r="BP284" s="222"/>
      <c r="BQ284" s="222"/>
      <c r="BR284" s="222"/>
      <c r="BS284" s="222"/>
      <c r="BT284" s="222"/>
      <c r="BU284" s="222"/>
      <c r="BV284" s="222"/>
      <c r="BW284" s="222"/>
      <c r="BX284" s="222"/>
      <c r="BY284" s="222"/>
      <c r="BZ284" s="222"/>
      <c r="CA284" s="222"/>
      <c r="CB284" s="222"/>
      <c r="CC284" s="222"/>
      <c r="CD284" s="222"/>
      <c r="CE284" s="222"/>
      <c r="CF284" s="222"/>
      <c r="CG284" s="222"/>
      <c r="CH284" s="222"/>
      <c r="CI284" s="222"/>
      <c r="CJ284" s="222"/>
      <c r="CK284" s="222"/>
      <c r="CL284" s="222"/>
      <c r="CM284" s="222"/>
      <c r="CN284" s="222"/>
      <c r="CO284" s="222"/>
      <c r="CP284" s="222"/>
      <c r="CQ284" s="222"/>
      <c r="CR284" s="222"/>
      <c r="CS284" s="222"/>
    </row>
    <row r="285">
      <c r="A285" s="43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222"/>
      <c r="AP285" s="222"/>
      <c r="AQ285" s="222"/>
      <c r="AR285" s="222"/>
      <c r="AS285" s="222"/>
      <c r="AT285" s="222"/>
      <c r="AU285" s="222"/>
      <c r="AV285" s="222"/>
      <c r="AW285" s="222"/>
      <c r="AX285" s="222"/>
      <c r="AY285" s="222"/>
      <c r="AZ285" s="222"/>
      <c r="BA285" s="222"/>
      <c r="BB285" s="222"/>
      <c r="BC285" s="222"/>
      <c r="BD285" s="222"/>
      <c r="BE285" s="222"/>
      <c r="BF285" s="222"/>
      <c r="BG285" s="222"/>
      <c r="BH285" s="222"/>
      <c r="BI285" s="222"/>
      <c r="BJ285" s="222"/>
      <c r="BK285" s="222"/>
      <c r="BL285" s="222"/>
      <c r="BM285" s="222"/>
      <c r="BN285" s="222"/>
      <c r="BO285" s="222"/>
      <c r="BP285" s="222"/>
      <c r="BQ285" s="222"/>
      <c r="BR285" s="222"/>
      <c r="BS285" s="222"/>
      <c r="BT285" s="222"/>
      <c r="BU285" s="222"/>
      <c r="BV285" s="222"/>
      <c r="BW285" s="222"/>
      <c r="BX285" s="222"/>
      <c r="BY285" s="222"/>
      <c r="BZ285" s="222"/>
      <c r="CA285" s="222"/>
      <c r="CB285" s="222"/>
      <c r="CC285" s="222"/>
      <c r="CD285" s="222"/>
      <c r="CE285" s="222"/>
      <c r="CF285" s="222"/>
      <c r="CG285" s="222"/>
      <c r="CH285" s="222"/>
      <c r="CI285" s="222"/>
      <c r="CJ285" s="222"/>
      <c r="CK285" s="222"/>
      <c r="CL285" s="222"/>
      <c r="CM285" s="222"/>
      <c r="CN285" s="222"/>
      <c r="CO285" s="222"/>
      <c r="CP285" s="222"/>
      <c r="CQ285" s="222"/>
      <c r="CR285" s="222"/>
      <c r="CS285" s="222"/>
    </row>
    <row r="286">
      <c r="A286" s="43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222"/>
      <c r="AP286" s="222"/>
      <c r="AQ286" s="222"/>
      <c r="AR286" s="222"/>
      <c r="AS286" s="222"/>
      <c r="AT286" s="222"/>
      <c r="AU286" s="222"/>
      <c r="AV286" s="222"/>
      <c r="AW286" s="222"/>
      <c r="AX286" s="222"/>
      <c r="AY286" s="222"/>
      <c r="AZ286" s="222"/>
      <c r="BA286" s="222"/>
      <c r="BB286" s="222"/>
      <c r="BC286" s="222"/>
      <c r="BD286" s="222"/>
      <c r="BE286" s="222"/>
      <c r="BF286" s="222"/>
      <c r="BG286" s="222"/>
      <c r="BH286" s="222"/>
      <c r="BI286" s="222"/>
      <c r="BJ286" s="222"/>
      <c r="BK286" s="222"/>
      <c r="BL286" s="222"/>
      <c r="BM286" s="222"/>
      <c r="BN286" s="222"/>
      <c r="BO286" s="222"/>
      <c r="BP286" s="222"/>
      <c r="BQ286" s="222"/>
      <c r="BR286" s="222"/>
      <c r="BS286" s="222"/>
      <c r="BT286" s="222"/>
      <c r="BU286" s="222"/>
      <c r="BV286" s="222"/>
      <c r="BW286" s="222"/>
      <c r="BX286" s="222"/>
      <c r="BY286" s="222"/>
      <c r="BZ286" s="222"/>
      <c r="CA286" s="222"/>
      <c r="CB286" s="222"/>
      <c r="CC286" s="222"/>
      <c r="CD286" s="222"/>
      <c r="CE286" s="222"/>
      <c r="CF286" s="222"/>
      <c r="CG286" s="222"/>
      <c r="CH286" s="222"/>
      <c r="CI286" s="222"/>
      <c r="CJ286" s="222"/>
      <c r="CK286" s="222"/>
      <c r="CL286" s="222"/>
      <c r="CM286" s="222"/>
      <c r="CN286" s="222"/>
      <c r="CO286" s="222"/>
      <c r="CP286" s="222"/>
      <c r="CQ286" s="222"/>
      <c r="CR286" s="222"/>
      <c r="CS286" s="222"/>
    </row>
    <row r="287">
      <c r="A287" s="43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222"/>
      <c r="AP287" s="222"/>
      <c r="AQ287" s="222"/>
      <c r="AR287" s="222"/>
      <c r="AS287" s="222"/>
      <c r="AT287" s="222"/>
      <c r="AU287" s="222"/>
      <c r="AV287" s="222"/>
      <c r="AW287" s="222"/>
      <c r="AX287" s="222"/>
      <c r="AY287" s="222"/>
      <c r="AZ287" s="222"/>
      <c r="BA287" s="222"/>
      <c r="BB287" s="222"/>
      <c r="BC287" s="222"/>
      <c r="BD287" s="222"/>
      <c r="BE287" s="222"/>
      <c r="BF287" s="222"/>
      <c r="BG287" s="222"/>
      <c r="BH287" s="222"/>
      <c r="BI287" s="222"/>
      <c r="BJ287" s="222"/>
      <c r="BK287" s="222"/>
      <c r="BL287" s="222"/>
      <c r="BM287" s="222"/>
      <c r="BN287" s="222"/>
      <c r="BO287" s="222"/>
      <c r="BP287" s="222"/>
      <c r="BQ287" s="222"/>
      <c r="BR287" s="222"/>
      <c r="BS287" s="222"/>
      <c r="BT287" s="222"/>
      <c r="BU287" s="222"/>
      <c r="BV287" s="222"/>
      <c r="BW287" s="222"/>
      <c r="BX287" s="222"/>
      <c r="BY287" s="222"/>
      <c r="BZ287" s="222"/>
      <c r="CA287" s="222"/>
      <c r="CB287" s="222"/>
      <c r="CC287" s="222"/>
      <c r="CD287" s="222"/>
      <c r="CE287" s="222"/>
      <c r="CF287" s="222"/>
      <c r="CG287" s="222"/>
      <c r="CH287" s="222"/>
      <c r="CI287" s="222"/>
      <c r="CJ287" s="222"/>
      <c r="CK287" s="222"/>
      <c r="CL287" s="222"/>
      <c r="CM287" s="222"/>
      <c r="CN287" s="222"/>
      <c r="CO287" s="222"/>
      <c r="CP287" s="222"/>
      <c r="CQ287" s="222"/>
      <c r="CR287" s="222"/>
      <c r="CS287" s="222"/>
    </row>
    <row r="288">
      <c r="A288" s="43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222"/>
      <c r="AP288" s="222"/>
      <c r="AQ288" s="222"/>
      <c r="AR288" s="222"/>
      <c r="AS288" s="222"/>
      <c r="AT288" s="222"/>
      <c r="AU288" s="222"/>
      <c r="AV288" s="222"/>
      <c r="AW288" s="222"/>
      <c r="AX288" s="222"/>
      <c r="AY288" s="222"/>
      <c r="AZ288" s="222"/>
      <c r="BA288" s="222"/>
      <c r="BB288" s="222"/>
      <c r="BC288" s="222"/>
      <c r="BD288" s="222"/>
      <c r="BE288" s="222"/>
      <c r="BF288" s="222"/>
      <c r="BG288" s="222"/>
      <c r="BH288" s="222"/>
      <c r="BI288" s="222"/>
      <c r="BJ288" s="222"/>
      <c r="BK288" s="222"/>
      <c r="BL288" s="222"/>
      <c r="BM288" s="222"/>
      <c r="BN288" s="222"/>
      <c r="BO288" s="222"/>
      <c r="BP288" s="222"/>
      <c r="BQ288" s="222"/>
      <c r="BR288" s="222"/>
      <c r="BS288" s="222"/>
      <c r="BT288" s="222"/>
      <c r="BU288" s="222"/>
      <c r="BV288" s="222"/>
      <c r="BW288" s="222"/>
      <c r="BX288" s="222"/>
      <c r="BY288" s="222"/>
      <c r="BZ288" s="222"/>
      <c r="CA288" s="222"/>
      <c r="CB288" s="222"/>
      <c r="CC288" s="222"/>
      <c r="CD288" s="222"/>
      <c r="CE288" s="222"/>
      <c r="CF288" s="222"/>
      <c r="CG288" s="222"/>
      <c r="CH288" s="222"/>
      <c r="CI288" s="222"/>
      <c r="CJ288" s="222"/>
      <c r="CK288" s="222"/>
      <c r="CL288" s="222"/>
      <c r="CM288" s="222"/>
      <c r="CN288" s="222"/>
      <c r="CO288" s="222"/>
      <c r="CP288" s="222"/>
      <c r="CQ288" s="222"/>
      <c r="CR288" s="222"/>
      <c r="CS288" s="222"/>
    </row>
    <row r="289">
      <c r="A289" s="43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222"/>
      <c r="AP289" s="222"/>
      <c r="AQ289" s="222"/>
      <c r="AR289" s="222"/>
      <c r="AS289" s="222"/>
      <c r="AT289" s="222"/>
      <c r="AU289" s="222"/>
      <c r="AV289" s="222"/>
      <c r="AW289" s="222"/>
      <c r="AX289" s="222"/>
      <c r="AY289" s="222"/>
      <c r="AZ289" s="222"/>
      <c r="BA289" s="222"/>
      <c r="BB289" s="222"/>
      <c r="BC289" s="222"/>
      <c r="BD289" s="222"/>
      <c r="BE289" s="222"/>
      <c r="BF289" s="222"/>
      <c r="BG289" s="222"/>
      <c r="BH289" s="222"/>
      <c r="BI289" s="222"/>
      <c r="BJ289" s="222"/>
      <c r="BK289" s="222"/>
      <c r="BL289" s="222"/>
      <c r="BM289" s="222"/>
      <c r="BN289" s="222"/>
      <c r="BO289" s="222"/>
      <c r="BP289" s="222"/>
      <c r="BQ289" s="222"/>
      <c r="BR289" s="222"/>
      <c r="BS289" s="222"/>
      <c r="BT289" s="222"/>
      <c r="BU289" s="222"/>
      <c r="BV289" s="222"/>
      <c r="BW289" s="222"/>
      <c r="BX289" s="222"/>
      <c r="BY289" s="222"/>
      <c r="BZ289" s="222"/>
      <c r="CA289" s="222"/>
      <c r="CB289" s="222"/>
      <c r="CC289" s="222"/>
      <c r="CD289" s="222"/>
      <c r="CE289" s="222"/>
      <c r="CF289" s="222"/>
      <c r="CG289" s="222"/>
      <c r="CH289" s="222"/>
      <c r="CI289" s="222"/>
      <c r="CJ289" s="222"/>
      <c r="CK289" s="222"/>
      <c r="CL289" s="222"/>
      <c r="CM289" s="222"/>
      <c r="CN289" s="222"/>
      <c r="CO289" s="222"/>
      <c r="CP289" s="222"/>
      <c r="CQ289" s="222"/>
      <c r="CR289" s="222"/>
      <c r="CS289" s="222"/>
    </row>
    <row r="290">
      <c r="A290" s="43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222"/>
      <c r="AP290" s="222"/>
      <c r="AQ290" s="222"/>
      <c r="AR290" s="222"/>
      <c r="AS290" s="222"/>
      <c r="AT290" s="222"/>
      <c r="AU290" s="222"/>
      <c r="AV290" s="222"/>
      <c r="AW290" s="222"/>
      <c r="AX290" s="222"/>
      <c r="AY290" s="222"/>
      <c r="AZ290" s="222"/>
      <c r="BA290" s="222"/>
      <c r="BB290" s="222"/>
      <c r="BC290" s="222"/>
      <c r="BD290" s="222"/>
      <c r="BE290" s="222"/>
      <c r="BF290" s="222"/>
      <c r="BG290" s="222"/>
      <c r="BH290" s="222"/>
      <c r="BI290" s="222"/>
      <c r="BJ290" s="222"/>
      <c r="BK290" s="222"/>
      <c r="BL290" s="222"/>
      <c r="BM290" s="222"/>
      <c r="BN290" s="222"/>
      <c r="BO290" s="222"/>
      <c r="BP290" s="222"/>
      <c r="BQ290" s="222"/>
      <c r="BR290" s="222"/>
      <c r="BS290" s="222"/>
      <c r="BT290" s="222"/>
      <c r="BU290" s="222"/>
      <c r="BV290" s="222"/>
      <c r="BW290" s="222"/>
      <c r="BX290" s="222"/>
      <c r="BY290" s="222"/>
      <c r="BZ290" s="222"/>
      <c r="CA290" s="222"/>
      <c r="CB290" s="222"/>
      <c r="CC290" s="222"/>
      <c r="CD290" s="222"/>
      <c r="CE290" s="222"/>
      <c r="CF290" s="222"/>
      <c r="CG290" s="222"/>
      <c r="CH290" s="222"/>
      <c r="CI290" s="222"/>
      <c r="CJ290" s="222"/>
      <c r="CK290" s="222"/>
      <c r="CL290" s="222"/>
      <c r="CM290" s="222"/>
      <c r="CN290" s="222"/>
      <c r="CO290" s="222"/>
      <c r="CP290" s="222"/>
      <c r="CQ290" s="222"/>
      <c r="CR290" s="222"/>
      <c r="CS290" s="222"/>
    </row>
    <row r="291">
      <c r="A291" s="43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222"/>
      <c r="AP291" s="222"/>
      <c r="AQ291" s="222"/>
      <c r="AR291" s="222"/>
      <c r="AS291" s="222"/>
      <c r="AT291" s="222"/>
      <c r="AU291" s="222"/>
      <c r="AV291" s="222"/>
      <c r="AW291" s="222"/>
      <c r="AX291" s="222"/>
      <c r="AY291" s="222"/>
      <c r="AZ291" s="222"/>
      <c r="BA291" s="222"/>
      <c r="BB291" s="222"/>
      <c r="BC291" s="222"/>
      <c r="BD291" s="222"/>
      <c r="BE291" s="222"/>
      <c r="BF291" s="222"/>
      <c r="BG291" s="222"/>
      <c r="BH291" s="222"/>
      <c r="BI291" s="222"/>
      <c r="BJ291" s="222"/>
      <c r="BK291" s="222"/>
      <c r="BL291" s="222"/>
      <c r="BM291" s="222"/>
      <c r="BN291" s="222"/>
      <c r="BO291" s="222"/>
      <c r="BP291" s="222"/>
      <c r="BQ291" s="222"/>
      <c r="BR291" s="222"/>
      <c r="BS291" s="222"/>
      <c r="BT291" s="222"/>
      <c r="BU291" s="222"/>
      <c r="BV291" s="222"/>
      <c r="BW291" s="222"/>
      <c r="BX291" s="222"/>
      <c r="BY291" s="222"/>
      <c r="BZ291" s="222"/>
      <c r="CA291" s="222"/>
      <c r="CB291" s="222"/>
      <c r="CC291" s="222"/>
      <c r="CD291" s="222"/>
      <c r="CE291" s="222"/>
      <c r="CF291" s="222"/>
      <c r="CG291" s="222"/>
      <c r="CH291" s="222"/>
      <c r="CI291" s="222"/>
      <c r="CJ291" s="222"/>
      <c r="CK291" s="222"/>
      <c r="CL291" s="222"/>
      <c r="CM291" s="222"/>
      <c r="CN291" s="222"/>
      <c r="CO291" s="222"/>
      <c r="CP291" s="222"/>
      <c r="CQ291" s="222"/>
      <c r="CR291" s="222"/>
      <c r="CS291" s="222"/>
    </row>
    <row r="292">
      <c r="A292" s="43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222"/>
      <c r="AP292" s="222"/>
      <c r="AQ292" s="222"/>
      <c r="AR292" s="222"/>
      <c r="AS292" s="222"/>
      <c r="AT292" s="222"/>
      <c r="AU292" s="222"/>
      <c r="AV292" s="222"/>
      <c r="AW292" s="222"/>
      <c r="AX292" s="222"/>
      <c r="AY292" s="222"/>
      <c r="AZ292" s="222"/>
      <c r="BA292" s="222"/>
      <c r="BB292" s="222"/>
      <c r="BC292" s="222"/>
      <c r="BD292" s="222"/>
      <c r="BE292" s="222"/>
      <c r="BF292" s="222"/>
      <c r="BG292" s="222"/>
      <c r="BH292" s="222"/>
      <c r="BI292" s="222"/>
      <c r="BJ292" s="222"/>
      <c r="BK292" s="222"/>
      <c r="BL292" s="222"/>
      <c r="BM292" s="222"/>
      <c r="BN292" s="222"/>
      <c r="BO292" s="222"/>
      <c r="BP292" s="222"/>
      <c r="BQ292" s="222"/>
      <c r="BR292" s="222"/>
      <c r="BS292" s="222"/>
      <c r="BT292" s="222"/>
      <c r="BU292" s="222"/>
      <c r="BV292" s="222"/>
      <c r="BW292" s="222"/>
      <c r="BX292" s="222"/>
      <c r="BY292" s="222"/>
      <c r="BZ292" s="222"/>
      <c r="CA292" s="222"/>
      <c r="CB292" s="222"/>
      <c r="CC292" s="222"/>
      <c r="CD292" s="222"/>
      <c r="CE292" s="222"/>
      <c r="CF292" s="222"/>
      <c r="CG292" s="222"/>
      <c r="CH292" s="222"/>
      <c r="CI292" s="222"/>
      <c r="CJ292" s="222"/>
      <c r="CK292" s="222"/>
      <c r="CL292" s="222"/>
      <c r="CM292" s="222"/>
      <c r="CN292" s="222"/>
      <c r="CO292" s="222"/>
      <c r="CP292" s="222"/>
      <c r="CQ292" s="222"/>
      <c r="CR292" s="222"/>
      <c r="CS292" s="222"/>
    </row>
    <row r="293">
      <c r="A293" s="43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222"/>
      <c r="AP293" s="222"/>
      <c r="AQ293" s="222"/>
      <c r="AR293" s="222"/>
      <c r="AS293" s="222"/>
      <c r="AT293" s="222"/>
      <c r="AU293" s="222"/>
      <c r="AV293" s="222"/>
      <c r="AW293" s="222"/>
      <c r="AX293" s="222"/>
      <c r="AY293" s="222"/>
      <c r="AZ293" s="222"/>
      <c r="BA293" s="222"/>
      <c r="BB293" s="222"/>
      <c r="BC293" s="222"/>
      <c r="BD293" s="222"/>
      <c r="BE293" s="222"/>
      <c r="BF293" s="222"/>
      <c r="BG293" s="222"/>
      <c r="BH293" s="222"/>
      <c r="BI293" s="222"/>
      <c r="BJ293" s="222"/>
      <c r="BK293" s="222"/>
      <c r="BL293" s="222"/>
      <c r="BM293" s="222"/>
      <c r="BN293" s="222"/>
      <c r="BO293" s="222"/>
      <c r="BP293" s="222"/>
      <c r="BQ293" s="222"/>
      <c r="BR293" s="222"/>
      <c r="BS293" s="222"/>
      <c r="BT293" s="222"/>
      <c r="BU293" s="222"/>
      <c r="BV293" s="222"/>
      <c r="BW293" s="222"/>
      <c r="BX293" s="222"/>
      <c r="BY293" s="222"/>
      <c r="BZ293" s="222"/>
      <c r="CA293" s="222"/>
      <c r="CB293" s="222"/>
      <c r="CC293" s="222"/>
      <c r="CD293" s="222"/>
      <c r="CE293" s="222"/>
      <c r="CF293" s="222"/>
      <c r="CG293" s="222"/>
      <c r="CH293" s="222"/>
      <c r="CI293" s="222"/>
      <c r="CJ293" s="222"/>
      <c r="CK293" s="222"/>
      <c r="CL293" s="222"/>
      <c r="CM293" s="222"/>
      <c r="CN293" s="222"/>
      <c r="CO293" s="222"/>
      <c r="CP293" s="222"/>
      <c r="CQ293" s="222"/>
      <c r="CR293" s="222"/>
      <c r="CS293" s="222"/>
    </row>
    <row r="294">
      <c r="A294" s="43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222"/>
      <c r="AP294" s="222"/>
      <c r="AQ294" s="222"/>
      <c r="AR294" s="222"/>
      <c r="AS294" s="222"/>
      <c r="AT294" s="222"/>
      <c r="AU294" s="222"/>
      <c r="AV294" s="222"/>
      <c r="AW294" s="222"/>
      <c r="AX294" s="222"/>
      <c r="AY294" s="222"/>
      <c r="AZ294" s="222"/>
      <c r="BA294" s="222"/>
      <c r="BB294" s="222"/>
      <c r="BC294" s="222"/>
      <c r="BD294" s="222"/>
      <c r="BE294" s="222"/>
      <c r="BF294" s="222"/>
      <c r="BG294" s="222"/>
      <c r="BH294" s="222"/>
      <c r="BI294" s="222"/>
      <c r="BJ294" s="222"/>
      <c r="BK294" s="222"/>
      <c r="BL294" s="222"/>
      <c r="BM294" s="222"/>
      <c r="BN294" s="222"/>
      <c r="BO294" s="222"/>
      <c r="BP294" s="222"/>
      <c r="BQ294" s="222"/>
      <c r="BR294" s="222"/>
      <c r="BS294" s="222"/>
      <c r="BT294" s="222"/>
      <c r="BU294" s="222"/>
      <c r="BV294" s="222"/>
      <c r="BW294" s="222"/>
      <c r="BX294" s="222"/>
      <c r="BY294" s="222"/>
      <c r="BZ294" s="222"/>
      <c r="CA294" s="222"/>
      <c r="CB294" s="222"/>
      <c r="CC294" s="222"/>
      <c r="CD294" s="222"/>
      <c r="CE294" s="222"/>
      <c r="CF294" s="222"/>
      <c r="CG294" s="222"/>
      <c r="CH294" s="222"/>
      <c r="CI294" s="222"/>
      <c r="CJ294" s="222"/>
      <c r="CK294" s="222"/>
      <c r="CL294" s="222"/>
      <c r="CM294" s="222"/>
      <c r="CN294" s="222"/>
      <c r="CO294" s="222"/>
      <c r="CP294" s="222"/>
      <c r="CQ294" s="222"/>
      <c r="CR294" s="222"/>
      <c r="CS294" s="222"/>
    </row>
    <row r="295">
      <c r="A295" s="43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222"/>
      <c r="AP295" s="222"/>
      <c r="AQ295" s="222"/>
      <c r="AR295" s="222"/>
      <c r="AS295" s="222"/>
      <c r="AT295" s="222"/>
      <c r="AU295" s="222"/>
      <c r="AV295" s="222"/>
      <c r="AW295" s="222"/>
      <c r="AX295" s="222"/>
      <c r="AY295" s="222"/>
      <c r="AZ295" s="222"/>
      <c r="BA295" s="222"/>
      <c r="BB295" s="222"/>
      <c r="BC295" s="222"/>
      <c r="BD295" s="222"/>
      <c r="BE295" s="222"/>
      <c r="BF295" s="222"/>
      <c r="BG295" s="222"/>
      <c r="BH295" s="222"/>
      <c r="BI295" s="222"/>
      <c r="BJ295" s="222"/>
      <c r="BK295" s="222"/>
      <c r="BL295" s="222"/>
      <c r="BM295" s="222"/>
      <c r="BN295" s="222"/>
      <c r="BO295" s="222"/>
      <c r="BP295" s="222"/>
      <c r="BQ295" s="222"/>
      <c r="BR295" s="222"/>
      <c r="BS295" s="222"/>
      <c r="BT295" s="222"/>
      <c r="BU295" s="222"/>
      <c r="BV295" s="222"/>
      <c r="BW295" s="222"/>
      <c r="BX295" s="222"/>
      <c r="BY295" s="222"/>
      <c r="BZ295" s="222"/>
      <c r="CA295" s="222"/>
      <c r="CB295" s="222"/>
      <c r="CC295" s="222"/>
      <c r="CD295" s="222"/>
      <c r="CE295" s="222"/>
      <c r="CF295" s="222"/>
      <c r="CG295" s="222"/>
      <c r="CH295" s="222"/>
      <c r="CI295" s="222"/>
      <c r="CJ295" s="222"/>
      <c r="CK295" s="222"/>
      <c r="CL295" s="222"/>
      <c r="CM295" s="222"/>
      <c r="CN295" s="222"/>
      <c r="CO295" s="222"/>
      <c r="CP295" s="222"/>
      <c r="CQ295" s="222"/>
      <c r="CR295" s="222"/>
      <c r="CS295" s="222"/>
    </row>
    <row r="296">
      <c r="A296" s="43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222"/>
      <c r="AP296" s="222"/>
      <c r="AQ296" s="222"/>
      <c r="AR296" s="222"/>
      <c r="AS296" s="222"/>
      <c r="AT296" s="222"/>
      <c r="AU296" s="222"/>
      <c r="AV296" s="222"/>
      <c r="AW296" s="222"/>
      <c r="AX296" s="222"/>
      <c r="AY296" s="222"/>
      <c r="AZ296" s="222"/>
      <c r="BA296" s="222"/>
      <c r="BB296" s="222"/>
      <c r="BC296" s="222"/>
      <c r="BD296" s="222"/>
      <c r="BE296" s="222"/>
      <c r="BF296" s="222"/>
      <c r="BG296" s="222"/>
      <c r="BH296" s="222"/>
      <c r="BI296" s="222"/>
      <c r="BJ296" s="222"/>
      <c r="BK296" s="222"/>
      <c r="BL296" s="222"/>
      <c r="BM296" s="222"/>
      <c r="BN296" s="222"/>
      <c r="BO296" s="222"/>
      <c r="BP296" s="222"/>
      <c r="BQ296" s="222"/>
      <c r="BR296" s="222"/>
      <c r="BS296" s="222"/>
      <c r="BT296" s="222"/>
      <c r="BU296" s="222"/>
      <c r="BV296" s="222"/>
      <c r="BW296" s="222"/>
      <c r="BX296" s="222"/>
      <c r="BY296" s="222"/>
      <c r="BZ296" s="222"/>
      <c r="CA296" s="222"/>
      <c r="CB296" s="222"/>
      <c r="CC296" s="222"/>
      <c r="CD296" s="222"/>
      <c r="CE296" s="222"/>
      <c r="CF296" s="222"/>
      <c r="CG296" s="222"/>
      <c r="CH296" s="222"/>
      <c r="CI296" s="222"/>
      <c r="CJ296" s="222"/>
      <c r="CK296" s="222"/>
      <c r="CL296" s="222"/>
      <c r="CM296" s="222"/>
      <c r="CN296" s="222"/>
      <c r="CO296" s="222"/>
      <c r="CP296" s="222"/>
      <c r="CQ296" s="222"/>
      <c r="CR296" s="222"/>
      <c r="CS296" s="222"/>
    </row>
    <row r="297">
      <c r="A297" s="43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222"/>
      <c r="AP297" s="222"/>
      <c r="AQ297" s="222"/>
      <c r="AR297" s="222"/>
      <c r="AS297" s="222"/>
      <c r="AT297" s="222"/>
      <c r="AU297" s="222"/>
      <c r="AV297" s="222"/>
      <c r="AW297" s="222"/>
      <c r="AX297" s="222"/>
      <c r="AY297" s="222"/>
      <c r="AZ297" s="222"/>
      <c r="BA297" s="222"/>
      <c r="BB297" s="222"/>
      <c r="BC297" s="222"/>
      <c r="BD297" s="222"/>
      <c r="BE297" s="222"/>
      <c r="BF297" s="222"/>
      <c r="BG297" s="222"/>
      <c r="BH297" s="222"/>
      <c r="BI297" s="222"/>
      <c r="BJ297" s="222"/>
      <c r="BK297" s="222"/>
      <c r="BL297" s="222"/>
      <c r="BM297" s="222"/>
      <c r="BN297" s="222"/>
      <c r="BO297" s="222"/>
      <c r="BP297" s="222"/>
      <c r="BQ297" s="222"/>
      <c r="BR297" s="222"/>
      <c r="BS297" s="222"/>
      <c r="BT297" s="222"/>
      <c r="BU297" s="222"/>
      <c r="BV297" s="222"/>
      <c r="BW297" s="222"/>
      <c r="BX297" s="222"/>
      <c r="BY297" s="222"/>
      <c r="BZ297" s="222"/>
      <c r="CA297" s="222"/>
      <c r="CB297" s="222"/>
      <c r="CC297" s="222"/>
      <c r="CD297" s="222"/>
      <c r="CE297" s="222"/>
      <c r="CF297" s="222"/>
      <c r="CG297" s="222"/>
      <c r="CH297" s="222"/>
      <c r="CI297" s="222"/>
      <c r="CJ297" s="222"/>
      <c r="CK297" s="222"/>
      <c r="CL297" s="222"/>
      <c r="CM297" s="222"/>
      <c r="CN297" s="222"/>
      <c r="CO297" s="222"/>
      <c r="CP297" s="222"/>
      <c r="CQ297" s="222"/>
      <c r="CR297" s="222"/>
      <c r="CS297" s="222"/>
    </row>
    <row r="298">
      <c r="A298" s="43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222"/>
      <c r="AP298" s="222"/>
      <c r="AQ298" s="222"/>
      <c r="AR298" s="222"/>
      <c r="AS298" s="222"/>
      <c r="AT298" s="222"/>
      <c r="AU298" s="222"/>
      <c r="AV298" s="222"/>
      <c r="AW298" s="222"/>
      <c r="AX298" s="222"/>
      <c r="AY298" s="222"/>
      <c r="AZ298" s="222"/>
      <c r="BA298" s="222"/>
      <c r="BB298" s="222"/>
      <c r="BC298" s="222"/>
      <c r="BD298" s="222"/>
      <c r="BE298" s="222"/>
      <c r="BF298" s="222"/>
      <c r="BG298" s="222"/>
      <c r="BH298" s="222"/>
      <c r="BI298" s="222"/>
      <c r="BJ298" s="222"/>
      <c r="BK298" s="222"/>
      <c r="BL298" s="222"/>
      <c r="BM298" s="222"/>
      <c r="BN298" s="222"/>
      <c r="BO298" s="222"/>
      <c r="BP298" s="222"/>
      <c r="BQ298" s="222"/>
      <c r="BR298" s="222"/>
      <c r="BS298" s="222"/>
      <c r="BT298" s="222"/>
      <c r="BU298" s="222"/>
      <c r="BV298" s="222"/>
      <c r="BW298" s="222"/>
      <c r="BX298" s="222"/>
      <c r="BY298" s="222"/>
      <c r="BZ298" s="222"/>
      <c r="CA298" s="222"/>
      <c r="CB298" s="222"/>
      <c r="CC298" s="222"/>
      <c r="CD298" s="222"/>
      <c r="CE298" s="222"/>
      <c r="CF298" s="222"/>
      <c r="CG298" s="222"/>
      <c r="CH298" s="222"/>
      <c r="CI298" s="222"/>
      <c r="CJ298" s="222"/>
      <c r="CK298" s="222"/>
      <c r="CL298" s="222"/>
      <c r="CM298" s="222"/>
      <c r="CN298" s="222"/>
      <c r="CO298" s="222"/>
      <c r="CP298" s="222"/>
      <c r="CQ298" s="222"/>
      <c r="CR298" s="222"/>
      <c r="CS298" s="222"/>
    </row>
    <row r="299">
      <c r="A299" s="43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222"/>
      <c r="AP299" s="222"/>
      <c r="AQ299" s="222"/>
      <c r="AR299" s="222"/>
      <c r="AS299" s="222"/>
      <c r="AT299" s="222"/>
      <c r="AU299" s="222"/>
      <c r="AV299" s="222"/>
      <c r="AW299" s="222"/>
      <c r="AX299" s="222"/>
      <c r="AY299" s="222"/>
      <c r="AZ299" s="222"/>
      <c r="BA299" s="222"/>
      <c r="BB299" s="222"/>
      <c r="BC299" s="222"/>
      <c r="BD299" s="222"/>
      <c r="BE299" s="222"/>
      <c r="BF299" s="222"/>
      <c r="BG299" s="222"/>
      <c r="BH299" s="222"/>
      <c r="BI299" s="222"/>
      <c r="BJ299" s="222"/>
      <c r="BK299" s="222"/>
      <c r="BL299" s="222"/>
      <c r="BM299" s="222"/>
      <c r="BN299" s="222"/>
      <c r="BO299" s="222"/>
      <c r="BP299" s="222"/>
      <c r="BQ299" s="222"/>
      <c r="BR299" s="222"/>
      <c r="BS299" s="222"/>
      <c r="BT299" s="222"/>
      <c r="BU299" s="222"/>
      <c r="BV299" s="222"/>
      <c r="BW299" s="222"/>
      <c r="BX299" s="222"/>
      <c r="BY299" s="222"/>
      <c r="BZ299" s="222"/>
      <c r="CA299" s="222"/>
      <c r="CB299" s="222"/>
      <c r="CC299" s="222"/>
      <c r="CD299" s="222"/>
      <c r="CE299" s="222"/>
      <c r="CF299" s="222"/>
      <c r="CG299" s="222"/>
      <c r="CH299" s="222"/>
      <c r="CI299" s="222"/>
      <c r="CJ299" s="222"/>
      <c r="CK299" s="222"/>
      <c r="CL299" s="222"/>
      <c r="CM299" s="222"/>
      <c r="CN299" s="222"/>
      <c r="CO299" s="222"/>
      <c r="CP299" s="222"/>
      <c r="CQ299" s="222"/>
      <c r="CR299" s="222"/>
      <c r="CS299" s="222"/>
    </row>
    <row r="300">
      <c r="A300" s="43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222"/>
      <c r="AP300" s="222"/>
      <c r="AQ300" s="222"/>
      <c r="AR300" s="222"/>
      <c r="AS300" s="222"/>
      <c r="AT300" s="222"/>
      <c r="AU300" s="222"/>
      <c r="AV300" s="222"/>
      <c r="AW300" s="222"/>
      <c r="AX300" s="222"/>
      <c r="AY300" s="222"/>
      <c r="AZ300" s="222"/>
      <c r="BA300" s="222"/>
      <c r="BB300" s="222"/>
      <c r="BC300" s="222"/>
      <c r="BD300" s="222"/>
      <c r="BE300" s="222"/>
      <c r="BF300" s="222"/>
      <c r="BG300" s="222"/>
      <c r="BH300" s="222"/>
      <c r="BI300" s="222"/>
      <c r="BJ300" s="222"/>
      <c r="BK300" s="222"/>
      <c r="BL300" s="222"/>
      <c r="BM300" s="222"/>
      <c r="BN300" s="222"/>
      <c r="BO300" s="222"/>
      <c r="BP300" s="222"/>
      <c r="BQ300" s="222"/>
      <c r="BR300" s="222"/>
      <c r="BS300" s="222"/>
      <c r="BT300" s="222"/>
      <c r="BU300" s="222"/>
      <c r="BV300" s="222"/>
      <c r="BW300" s="222"/>
      <c r="BX300" s="222"/>
      <c r="BY300" s="222"/>
      <c r="BZ300" s="222"/>
      <c r="CA300" s="222"/>
      <c r="CB300" s="222"/>
      <c r="CC300" s="222"/>
      <c r="CD300" s="222"/>
      <c r="CE300" s="222"/>
      <c r="CF300" s="222"/>
      <c r="CG300" s="222"/>
      <c r="CH300" s="222"/>
      <c r="CI300" s="222"/>
      <c r="CJ300" s="222"/>
      <c r="CK300" s="222"/>
      <c r="CL300" s="222"/>
      <c r="CM300" s="222"/>
      <c r="CN300" s="222"/>
      <c r="CO300" s="222"/>
      <c r="CP300" s="222"/>
      <c r="CQ300" s="222"/>
      <c r="CR300" s="222"/>
      <c r="CS300" s="222"/>
    </row>
    <row r="301">
      <c r="A301" s="43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222"/>
      <c r="AP301" s="222"/>
      <c r="AQ301" s="222"/>
      <c r="AR301" s="222"/>
      <c r="AS301" s="222"/>
      <c r="AT301" s="222"/>
      <c r="AU301" s="222"/>
      <c r="AV301" s="222"/>
      <c r="AW301" s="222"/>
      <c r="AX301" s="222"/>
      <c r="AY301" s="222"/>
      <c r="AZ301" s="222"/>
      <c r="BA301" s="222"/>
      <c r="BB301" s="222"/>
      <c r="BC301" s="222"/>
      <c r="BD301" s="222"/>
      <c r="BE301" s="222"/>
      <c r="BF301" s="222"/>
      <c r="BG301" s="222"/>
      <c r="BH301" s="222"/>
      <c r="BI301" s="222"/>
      <c r="BJ301" s="222"/>
      <c r="BK301" s="222"/>
      <c r="BL301" s="222"/>
      <c r="BM301" s="222"/>
      <c r="BN301" s="222"/>
      <c r="BO301" s="222"/>
      <c r="BP301" s="222"/>
      <c r="BQ301" s="222"/>
      <c r="BR301" s="222"/>
      <c r="BS301" s="222"/>
      <c r="BT301" s="222"/>
      <c r="BU301" s="222"/>
      <c r="BV301" s="222"/>
      <c r="BW301" s="222"/>
      <c r="BX301" s="222"/>
      <c r="BY301" s="222"/>
      <c r="BZ301" s="222"/>
      <c r="CA301" s="222"/>
      <c r="CB301" s="222"/>
      <c r="CC301" s="222"/>
      <c r="CD301" s="222"/>
      <c r="CE301" s="222"/>
      <c r="CF301" s="222"/>
      <c r="CG301" s="222"/>
      <c r="CH301" s="222"/>
      <c r="CI301" s="222"/>
      <c r="CJ301" s="222"/>
      <c r="CK301" s="222"/>
      <c r="CL301" s="222"/>
      <c r="CM301" s="222"/>
      <c r="CN301" s="222"/>
      <c r="CO301" s="222"/>
      <c r="CP301" s="222"/>
      <c r="CQ301" s="222"/>
      <c r="CR301" s="222"/>
      <c r="CS301" s="222"/>
    </row>
    <row r="302">
      <c r="A302" s="43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222"/>
      <c r="AP302" s="222"/>
      <c r="AQ302" s="222"/>
      <c r="AR302" s="222"/>
      <c r="AS302" s="222"/>
      <c r="AT302" s="222"/>
      <c r="AU302" s="222"/>
      <c r="AV302" s="222"/>
      <c r="AW302" s="222"/>
      <c r="AX302" s="222"/>
      <c r="AY302" s="222"/>
      <c r="AZ302" s="222"/>
      <c r="BA302" s="222"/>
      <c r="BB302" s="222"/>
      <c r="BC302" s="222"/>
      <c r="BD302" s="222"/>
      <c r="BE302" s="222"/>
      <c r="BF302" s="222"/>
      <c r="BG302" s="222"/>
      <c r="BH302" s="222"/>
      <c r="BI302" s="222"/>
      <c r="BJ302" s="222"/>
      <c r="BK302" s="222"/>
      <c r="BL302" s="222"/>
      <c r="BM302" s="222"/>
      <c r="BN302" s="222"/>
      <c r="BO302" s="222"/>
      <c r="BP302" s="222"/>
      <c r="BQ302" s="222"/>
      <c r="BR302" s="222"/>
      <c r="BS302" s="222"/>
      <c r="BT302" s="222"/>
      <c r="BU302" s="222"/>
      <c r="BV302" s="222"/>
      <c r="BW302" s="222"/>
      <c r="BX302" s="222"/>
      <c r="BY302" s="222"/>
      <c r="BZ302" s="222"/>
      <c r="CA302" s="222"/>
      <c r="CB302" s="222"/>
      <c r="CC302" s="222"/>
      <c r="CD302" s="222"/>
      <c r="CE302" s="222"/>
      <c r="CF302" s="222"/>
      <c r="CG302" s="222"/>
      <c r="CH302" s="222"/>
      <c r="CI302" s="222"/>
      <c r="CJ302" s="222"/>
      <c r="CK302" s="222"/>
      <c r="CL302" s="222"/>
      <c r="CM302" s="222"/>
      <c r="CN302" s="222"/>
      <c r="CO302" s="222"/>
      <c r="CP302" s="222"/>
      <c r="CQ302" s="222"/>
      <c r="CR302" s="222"/>
      <c r="CS302" s="222"/>
    </row>
    <row r="303">
      <c r="A303" s="43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222"/>
      <c r="AP303" s="222"/>
      <c r="AQ303" s="222"/>
      <c r="AR303" s="222"/>
      <c r="AS303" s="222"/>
      <c r="AT303" s="222"/>
      <c r="AU303" s="222"/>
      <c r="AV303" s="222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222"/>
      <c r="BH303" s="222"/>
      <c r="BI303" s="222"/>
      <c r="BJ303" s="222"/>
      <c r="BK303" s="222"/>
      <c r="BL303" s="222"/>
      <c r="BM303" s="222"/>
      <c r="BN303" s="222"/>
      <c r="BO303" s="222"/>
      <c r="BP303" s="222"/>
      <c r="BQ303" s="222"/>
      <c r="BR303" s="222"/>
      <c r="BS303" s="222"/>
      <c r="BT303" s="222"/>
      <c r="BU303" s="222"/>
      <c r="BV303" s="222"/>
      <c r="BW303" s="222"/>
      <c r="BX303" s="222"/>
      <c r="BY303" s="222"/>
      <c r="BZ303" s="222"/>
      <c r="CA303" s="222"/>
      <c r="CB303" s="222"/>
      <c r="CC303" s="222"/>
      <c r="CD303" s="222"/>
      <c r="CE303" s="222"/>
      <c r="CF303" s="222"/>
      <c r="CG303" s="222"/>
      <c r="CH303" s="222"/>
      <c r="CI303" s="222"/>
      <c r="CJ303" s="222"/>
      <c r="CK303" s="222"/>
      <c r="CL303" s="222"/>
      <c r="CM303" s="222"/>
      <c r="CN303" s="222"/>
      <c r="CO303" s="222"/>
      <c r="CP303" s="222"/>
      <c r="CQ303" s="222"/>
      <c r="CR303" s="222"/>
      <c r="CS303" s="222"/>
    </row>
    <row r="304">
      <c r="A304" s="43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222"/>
      <c r="AP304" s="222"/>
      <c r="AQ304" s="222"/>
      <c r="AR304" s="222"/>
      <c r="AS304" s="222"/>
      <c r="AT304" s="222"/>
      <c r="AU304" s="222"/>
      <c r="AV304" s="222"/>
      <c r="AW304" s="222"/>
      <c r="AX304" s="222"/>
      <c r="AY304" s="222"/>
      <c r="AZ304" s="222"/>
      <c r="BA304" s="222"/>
      <c r="BB304" s="222"/>
      <c r="BC304" s="222"/>
      <c r="BD304" s="222"/>
      <c r="BE304" s="222"/>
      <c r="BF304" s="222"/>
      <c r="BG304" s="222"/>
      <c r="BH304" s="222"/>
      <c r="BI304" s="222"/>
      <c r="BJ304" s="222"/>
      <c r="BK304" s="222"/>
      <c r="BL304" s="222"/>
      <c r="BM304" s="222"/>
      <c r="BN304" s="222"/>
      <c r="BO304" s="222"/>
      <c r="BP304" s="222"/>
      <c r="BQ304" s="222"/>
      <c r="BR304" s="222"/>
      <c r="BS304" s="222"/>
      <c r="BT304" s="222"/>
      <c r="BU304" s="222"/>
      <c r="BV304" s="222"/>
      <c r="BW304" s="222"/>
      <c r="BX304" s="222"/>
      <c r="BY304" s="222"/>
      <c r="BZ304" s="222"/>
      <c r="CA304" s="222"/>
      <c r="CB304" s="222"/>
      <c r="CC304" s="222"/>
      <c r="CD304" s="222"/>
      <c r="CE304" s="222"/>
      <c r="CF304" s="222"/>
      <c r="CG304" s="222"/>
      <c r="CH304" s="222"/>
      <c r="CI304" s="222"/>
      <c r="CJ304" s="222"/>
      <c r="CK304" s="222"/>
      <c r="CL304" s="222"/>
      <c r="CM304" s="222"/>
      <c r="CN304" s="222"/>
      <c r="CO304" s="222"/>
      <c r="CP304" s="222"/>
      <c r="CQ304" s="222"/>
      <c r="CR304" s="222"/>
      <c r="CS304" s="222"/>
    </row>
    <row r="305">
      <c r="A305" s="43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222"/>
      <c r="AP305" s="222"/>
      <c r="AQ305" s="222"/>
      <c r="AR305" s="222"/>
      <c r="AS305" s="222"/>
      <c r="AT305" s="222"/>
      <c r="AU305" s="222"/>
      <c r="AV305" s="222"/>
      <c r="AW305" s="222"/>
      <c r="AX305" s="222"/>
      <c r="AY305" s="222"/>
      <c r="AZ305" s="222"/>
      <c r="BA305" s="222"/>
      <c r="BB305" s="222"/>
      <c r="BC305" s="222"/>
      <c r="BD305" s="222"/>
      <c r="BE305" s="222"/>
      <c r="BF305" s="222"/>
      <c r="BG305" s="222"/>
      <c r="BH305" s="222"/>
      <c r="BI305" s="222"/>
      <c r="BJ305" s="222"/>
      <c r="BK305" s="222"/>
      <c r="BL305" s="222"/>
      <c r="BM305" s="222"/>
      <c r="BN305" s="222"/>
      <c r="BO305" s="222"/>
      <c r="BP305" s="222"/>
      <c r="BQ305" s="222"/>
      <c r="BR305" s="222"/>
      <c r="BS305" s="222"/>
      <c r="BT305" s="222"/>
      <c r="BU305" s="222"/>
      <c r="BV305" s="222"/>
      <c r="BW305" s="222"/>
      <c r="BX305" s="222"/>
      <c r="BY305" s="222"/>
      <c r="BZ305" s="222"/>
      <c r="CA305" s="222"/>
      <c r="CB305" s="222"/>
      <c r="CC305" s="222"/>
      <c r="CD305" s="222"/>
      <c r="CE305" s="222"/>
      <c r="CF305" s="222"/>
      <c r="CG305" s="222"/>
      <c r="CH305" s="222"/>
      <c r="CI305" s="222"/>
      <c r="CJ305" s="222"/>
      <c r="CK305" s="222"/>
      <c r="CL305" s="222"/>
      <c r="CM305" s="222"/>
      <c r="CN305" s="222"/>
      <c r="CO305" s="222"/>
      <c r="CP305" s="222"/>
      <c r="CQ305" s="222"/>
      <c r="CR305" s="222"/>
      <c r="CS305" s="222"/>
    </row>
    <row r="306">
      <c r="A306" s="43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222"/>
      <c r="AP306" s="222"/>
      <c r="AQ306" s="222"/>
      <c r="AR306" s="222"/>
      <c r="AS306" s="222"/>
      <c r="AT306" s="222"/>
      <c r="AU306" s="222"/>
      <c r="AV306" s="222"/>
      <c r="AW306" s="222"/>
      <c r="AX306" s="222"/>
      <c r="AY306" s="222"/>
      <c r="AZ306" s="222"/>
      <c r="BA306" s="222"/>
      <c r="BB306" s="222"/>
      <c r="BC306" s="222"/>
      <c r="BD306" s="222"/>
      <c r="BE306" s="222"/>
      <c r="BF306" s="222"/>
      <c r="BG306" s="222"/>
      <c r="BH306" s="222"/>
      <c r="BI306" s="222"/>
      <c r="BJ306" s="222"/>
      <c r="BK306" s="222"/>
      <c r="BL306" s="222"/>
      <c r="BM306" s="222"/>
      <c r="BN306" s="222"/>
      <c r="BO306" s="222"/>
      <c r="BP306" s="222"/>
      <c r="BQ306" s="222"/>
      <c r="BR306" s="222"/>
      <c r="BS306" s="222"/>
      <c r="BT306" s="222"/>
      <c r="BU306" s="222"/>
      <c r="BV306" s="222"/>
      <c r="BW306" s="222"/>
      <c r="BX306" s="222"/>
      <c r="BY306" s="222"/>
      <c r="BZ306" s="222"/>
      <c r="CA306" s="222"/>
      <c r="CB306" s="222"/>
      <c r="CC306" s="222"/>
      <c r="CD306" s="222"/>
      <c r="CE306" s="222"/>
      <c r="CF306" s="222"/>
      <c r="CG306" s="222"/>
      <c r="CH306" s="222"/>
      <c r="CI306" s="222"/>
      <c r="CJ306" s="222"/>
      <c r="CK306" s="222"/>
      <c r="CL306" s="222"/>
      <c r="CM306" s="222"/>
      <c r="CN306" s="222"/>
      <c r="CO306" s="222"/>
      <c r="CP306" s="222"/>
      <c r="CQ306" s="222"/>
      <c r="CR306" s="222"/>
      <c r="CS306" s="222"/>
    </row>
    <row r="307">
      <c r="A307" s="43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222"/>
      <c r="AP307" s="222"/>
      <c r="AQ307" s="222"/>
      <c r="AR307" s="222"/>
      <c r="AS307" s="222"/>
      <c r="AT307" s="222"/>
      <c r="AU307" s="222"/>
      <c r="AV307" s="222"/>
      <c r="AW307" s="222"/>
      <c r="AX307" s="222"/>
      <c r="AY307" s="222"/>
      <c r="AZ307" s="222"/>
      <c r="BA307" s="222"/>
      <c r="BB307" s="222"/>
      <c r="BC307" s="222"/>
      <c r="BD307" s="222"/>
      <c r="BE307" s="222"/>
      <c r="BF307" s="222"/>
      <c r="BG307" s="222"/>
      <c r="BH307" s="222"/>
      <c r="BI307" s="222"/>
      <c r="BJ307" s="222"/>
      <c r="BK307" s="222"/>
      <c r="BL307" s="222"/>
      <c r="BM307" s="222"/>
      <c r="BN307" s="222"/>
      <c r="BO307" s="222"/>
      <c r="BP307" s="222"/>
      <c r="BQ307" s="222"/>
      <c r="BR307" s="222"/>
      <c r="BS307" s="222"/>
      <c r="BT307" s="222"/>
      <c r="BU307" s="222"/>
      <c r="BV307" s="222"/>
      <c r="BW307" s="222"/>
      <c r="BX307" s="222"/>
      <c r="BY307" s="222"/>
      <c r="BZ307" s="222"/>
      <c r="CA307" s="222"/>
      <c r="CB307" s="222"/>
      <c r="CC307" s="222"/>
      <c r="CD307" s="222"/>
      <c r="CE307" s="222"/>
      <c r="CF307" s="222"/>
      <c r="CG307" s="222"/>
      <c r="CH307" s="222"/>
      <c r="CI307" s="222"/>
      <c r="CJ307" s="222"/>
      <c r="CK307" s="222"/>
      <c r="CL307" s="222"/>
      <c r="CM307" s="222"/>
      <c r="CN307" s="222"/>
      <c r="CO307" s="222"/>
      <c r="CP307" s="222"/>
      <c r="CQ307" s="222"/>
      <c r="CR307" s="222"/>
      <c r="CS307" s="222"/>
    </row>
    <row r="308">
      <c r="A308" s="43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222"/>
      <c r="AP308" s="222"/>
      <c r="AQ308" s="222"/>
      <c r="AR308" s="222"/>
      <c r="AS308" s="222"/>
      <c r="AT308" s="222"/>
      <c r="AU308" s="222"/>
      <c r="AV308" s="222"/>
      <c r="AW308" s="222"/>
      <c r="AX308" s="222"/>
      <c r="AY308" s="222"/>
      <c r="AZ308" s="222"/>
      <c r="BA308" s="222"/>
      <c r="BB308" s="222"/>
      <c r="BC308" s="222"/>
      <c r="BD308" s="222"/>
      <c r="BE308" s="222"/>
      <c r="BF308" s="222"/>
      <c r="BG308" s="222"/>
      <c r="BH308" s="222"/>
      <c r="BI308" s="222"/>
      <c r="BJ308" s="222"/>
      <c r="BK308" s="222"/>
      <c r="BL308" s="222"/>
      <c r="BM308" s="222"/>
      <c r="BN308" s="222"/>
      <c r="BO308" s="222"/>
      <c r="BP308" s="222"/>
      <c r="BQ308" s="222"/>
      <c r="BR308" s="222"/>
      <c r="BS308" s="222"/>
      <c r="BT308" s="222"/>
      <c r="BU308" s="222"/>
      <c r="BV308" s="222"/>
      <c r="BW308" s="222"/>
      <c r="BX308" s="222"/>
      <c r="BY308" s="222"/>
      <c r="BZ308" s="222"/>
      <c r="CA308" s="222"/>
      <c r="CB308" s="222"/>
      <c r="CC308" s="222"/>
      <c r="CD308" s="222"/>
      <c r="CE308" s="222"/>
      <c r="CF308" s="222"/>
      <c r="CG308" s="222"/>
      <c r="CH308" s="222"/>
      <c r="CI308" s="222"/>
      <c r="CJ308" s="222"/>
      <c r="CK308" s="222"/>
      <c r="CL308" s="222"/>
      <c r="CM308" s="222"/>
      <c r="CN308" s="222"/>
      <c r="CO308" s="222"/>
      <c r="CP308" s="222"/>
      <c r="CQ308" s="222"/>
      <c r="CR308" s="222"/>
      <c r="CS308" s="222"/>
    </row>
    <row r="309">
      <c r="A309" s="43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222"/>
      <c r="AP309" s="222"/>
      <c r="AQ309" s="222"/>
      <c r="AR309" s="222"/>
      <c r="AS309" s="222"/>
      <c r="AT309" s="222"/>
      <c r="AU309" s="222"/>
      <c r="AV309" s="222"/>
      <c r="AW309" s="222"/>
      <c r="AX309" s="222"/>
      <c r="AY309" s="222"/>
      <c r="AZ309" s="222"/>
      <c r="BA309" s="222"/>
      <c r="BB309" s="222"/>
      <c r="BC309" s="222"/>
      <c r="BD309" s="222"/>
      <c r="BE309" s="222"/>
      <c r="BF309" s="222"/>
      <c r="BG309" s="222"/>
      <c r="BH309" s="222"/>
      <c r="BI309" s="222"/>
      <c r="BJ309" s="222"/>
      <c r="BK309" s="222"/>
      <c r="BL309" s="222"/>
      <c r="BM309" s="222"/>
      <c r="BN309" s="222"/>
      <c r="BO309" s="222"/>
      <c r="BP309" s="222"/>
      <c r="BQ309" s="222"/>
      <c r="BR309" s="222"/>
      <c r="BS309" s="222"/>
      <c r="BT309" s="222"/>
      <c r="BU309" s="222"/>
      <c r="BV309" s="222"/>
      <c r="BW309" s="222"/>
      <c r="BX309" s="222"/>
      <c r="BY309" s="222"/>
      <c r="BZ309" s="222"/>
      <c r="CA309" s="222"/>
      <c r="CB309" s="222"/>
      <c r="CC309" s="222"/>
      <c r="CD309" s="222"/>
      <c r="CE309" s="222"/>
      <c r="CF309" s="222"/>
      <c r="CG309" s="222"/>
      <c r="CH309" s="222"/>
      <c r="CI309" s="222"/>
      <c r="CJ309" s="222"/>
      <c r="CK309" s="222"/>
      <c r="CL309" s="222"/>
      <c r="CM309" s="222"/>
      <c r="CN309" s="222"/>
      <c r="CO309" s="222"/>
      <c r="CP309" s="222"/>
      <c r="CQ309" s="222"/>
      <c r="CR309" s="222"/>
      <c r="CS309" s="222"/>
    </row>
    <row r="310">
      <c r="A310" s="43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222"/>
      <c r="AP310" s="222"/>
      <c r="AQ310" s="222"/>
      <c r="AR310" s="222"/>
      <c r="AS310" s="222"/>
      <c r="AT310" s="222"/>
      <c r="AU310" s="222"/>
      <c r="AV310" s="222"/>
      <c r="AW310" s="222"/>
      <c r="AX310" s="222"/>
      <c r="AY310" s="222"/>
      <c r="AZ310" s="222"/>
      <c r="BA310" s="222"/>
      <c r="BB310" s="222"/>
      <c r="BC310" s="222"/>
      <c r="BD310" s="222"/>
      <c r="BE310" s="222"/>
      <c r="BF310" s="222"/>
      <c r="BG310" s="222"/>
      <c r="BH310" s="222"/>
      <c r="BI310" s="222"/>
      <c r="BJ310" s="222"/>
      <c r="BK310" s="222"/>
      <c r="BL310" s="222"/>
      <c r="BM310" s="222"/>
      <c r="BN310" s="222"/>
      <c r="BO310" s="222"/>
      <c r="BP310" s="222"/>
      <c r="BQ310" s="222"/>
      <c r="BR310" s="222"/>
      <c r="BS310" s="222"/>
      <c r="BT310" s="222"/>
      <c r="BU310" s="222"/>
      <c r="BV310" s="222"/>
      <c r="BW310" s="222"/>
      <c r="BX310" s="222"/>
      <c r="BY310" s="222"/>
      <c r="BZ310" s="222"/>
      <c r="CA310" s="222"/>
      <c r="CB310" s="222"/>
      <c r="CC310" s="222"/>
      <c r="CD310" s="222"/>
      <c r="CE310" s="222"/>
      <c r="CF310" s="222"/>
      <c r="CG310" s="222"/>
      <c r="CH310" s="222"/>
      <c r="CI310" s="222"/>
      <c r="CJ310" s="222"/>
      <c r="CK310" s="222"/>
      <c r="CL310" s="222"/>
      <c r="CM310" s="222"/>
      <c r="CN310" s="222"/>
      <c r="CO310" s="222"/>
      <c r="CP310" s="222"/>
      <c r="CQ310" s="222"/>
      <c r="CR310" s="222"/>
      <c r="CS310" s="222"/>
    </row>
    <row r="311">
      <c r="A311" s="43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222"/>
      <c r="AP311" s="222"/>
      <c r="AQ311" s="222"/>
      <c r="AR311" s="222"/>
      <c r="AS311" s="222"/>
      <c r="AT311" s="222"/>
      <c r="AU311" s="222"/>
      <c r="AV311" s="222"/>
      <c r="AW311" s="222"/>
      <c r="AX311" s="222"/>
      <c r="AY311" s="222"/>
      <c r="AZ311" s="222"/>
      <c r="BA311" s="222"/>
      <c r="BB311" s="222"/>
      <c r="BC311" s="222"/>
      <c r="BD311" s="222"/>
      <c r="BE311" s="222"/>
      <c r="BF311" s="222"/>
      <c r="BG311" s="222"/>
      <c r="BH311" s="222"/>
      <c r="BI311" s="222"/>
      <c r="BJ311" s="222"/>
      <c r="BK311" s="222"/>
      <c r="BL311" s="222"/>
      <c r="BM311" s="222"/>
      <c r="BN311" s="222"/>
      <c r="BO311" s="222"/>
      <c r="BP311" s="222"/>
      <c r="BQ311" s="222"/>
      <c r="BR311" s="222"/>
      <c r="BS311" s="222"/>
      <c r="BT311" s="222"/>
      <c r="BU311" s="222"/>
      <c r="BV311" s="222"/>
      <c r="BW311" s="222"/>
      <c r="BX311" s="222"/>
      <c r="BY311" s="222"/>
      <c r="BZ311" s="222"/>
      <c r="CA311" s="222"/>
      <c r="CB311" s="222"/>
      <c r="CC311" s="222"/>
      <c r="CD311" s="222"/>
      <c r="CE311" s="222"/>
      <c r="CF311" s="222"/>
      <c r="CG311" s="222"/>
      <c r="CH311" s="222"/>
      <c r="CI311" s="222"/>
      <c r="CJ311" s="222"/>
      <c r="CK311" s="222"/>
      <c r="CL311" s="222"/>
      <c r="CM311" s="222"/>
      <c r="CN311" s="222"/>
      <c r="CO311" s="222"/>
      <c r="CP311" s="222"/>
      <c r="CQ311" s="222"/>
      <c r="CR311" s="222"/>
      <c r="CS311" s="222"/>
    </row>
    <row r="312">
      <c r="A312" s="43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222"/>
      <c r="AP312" s="222"/>
      <c r="AQ312" s="222"/>
      <c r="AR312" s="222"/>
      <c r="AS312" s="222"/>
      <c r="AT312" s="222"/>
      <c r="AU312" s="222"/>
      <c r="AV312" s="222"/>
      <c r="AW312" s="222"/>
      <c r="AX312" s="222"/>
      <c r="AY312" s="222"/>
      <c r="AZ312" s="222"/>
      <c r="BA312" s="222"/>
      <c r="BB312" s="222"/>
      <c r="BC312" s="222"/>
      <c r="BD312" s="222"/>
      <c r="BE312" s="222"/>
      <c r="BF312" s="222"/>
      <c r="BG312" s="222"/>
      <c r="BH312" s="222"/>
      <c r="BI312" s="222"/>
      <c r="BJ312" s="222"/>
      <c r="BK312" s="222"/>
      <c r="BL312" s="222"/>
      <c r="BM312" s="222"/>
      <c r="BN312" s="222"/>
      <c r="BO312" s="222"/>
      <c r="BP312" s="222"/>
      <c r="BQ312" s="222"/>
      <c r="BR312" s="222"/>
      <c r="BS312" s="222"/>
      <c r="BT312" s="222"/>
      <c r="BU312" s="222"/>
      <c r="BV312" s="222"/>
      <c r="BW312" s="222"/>
      <c r="BX312" s="222"/>
      <c r="BY312" s="222"/>
      <c r="BZ312" s="222"/>
      <c r="CA312" s="222"/>
      <c r="CB312" s="222"/>
      <c r="CC312" s="222"/>
      <c r="CD312" s="222"/>
      <c r="CE312" s="222"/>
      <c r="CF312" s="222"/>
      <c r="CG312" s="222"/>
      <c r="CH312" s="222"/>
      <c r="CI312" s="222"/>
      <c r="CJ312" s="222"/>
      <c r="CK312" s="222"/>
      <c r="CL312" s="222"/>
      <c r="CM312" s="222"/>
      <c r="CN312" s="222"/>
      <c r="CO312" s="222"/>
      <c r="CP312" s="222"/>
      <c r="CQ312" s="222"/>
      <c r="CR312" s="222"/>
      <c r="CS312" s="222"/>
    </row>
    <row r="313">
      <c r="A313" s="43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222"/>
      <c r="AP313" s="222"/>
      <c r="AQ313" s="222"/>
      <c r="AR313" s="222"/>
      <c r="AS313" s="222"/>
      <c r="AT313" s="222"/>
      <c r="AU313" s="222"/>
      <c r="AV313" s="222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222"/>
      <c r="BH313" s="222"/>
      <c r="BI313" s="222"/>
      <c r="BJ313" s="222"/>
      <c r="BK313" s="222"/>
      <c r="BL313" s="222"/>
      <c r="BM313" s="222"/>
      <c r="BN313" s="222"/>
      <c r="BO313" s="222"/>
      <c r="BP313" s="222"/>
      <c r="BQ313" s="222"/>
      <c r="BR313" s="222"/>
      <c r="BS313" s="222"/>
      <c r="BT313" s="222"/>
      <c r="BU313" s="222"/>
      <c r="BV313" s="222"/>
      <c r="BW313" s="222"/>
      <c r="BX313" s="222"/>
      <c r="BY313" s="222"/>
      <c r="BZ313" s="222"/>
      <c r="CA313" s="222"/>
      <c r="CB313" s="222"/>
      <c r="CC313" s="222"/>
      <c r="CD313" s="222"/>
      <c r="CE313" s="222"/>
      <c r="CF313" s="222"/>
      <c r="CG313" s="222"/>
      <c r="CH313" s="222"/>
      <c r="CI313" s="222"/>
      <c r="CJ313" s="222"/>
      <c r="CK313" s="222"/>
      <c r="CL313" s="222"/>
      <c r="CM313" s="222"/>
      <c r="CN313" s="222"/>
      <c r="CO313" s="222"/>
      <c r="CP313" s="222"/>
      <c r="CQ313" s="222"/>
      <c r="CR313" s="222"/>
      <c r="CS313" s="222"/>
    </row>
    <row r="314">
      <c r="A314" s="43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222"/>
      <c r="BH314" s="222"/>
      <c r="BI314" s="222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22"/>
      <c r="BX314" s="222"/>
      <c r="BY314" s="222"/>
      <c r="BZ314" s="222"/>
      <c r="CA314" s="222"/>
      <c r="CB314" s="222"/>
      <c r="CC314" s="222"/>
      <c r="CD314" s="222"/>
      <c r="CE314" s="222"/>
      <c r="CF314" s="222"/>
      <c r="CG314" s="222"/>
      <c r="CH314" s="222"/>
      <c r="CI314" s="222"/>
      <c r="CJ314" s="222"/>
      <c r="CK314" s="222"/>
      <c r="CL314" s="222"/>
      <c r="CM314" s="222"/>
      <c r="CN314" s="222"/>
      <c r="CO314" s="222"/>
      <c r="CP314" s="222"/>
      <c r="CQ314" s="222"/>
      <c r="CR314" s="222"/>
      <c r="CS314" s="222"/>
    </row>
    <row r="315">
      <c r="A315" s="43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222"/>
      <c r="AP315" s="222"/>
      <c r="AQ315" s="222"/>
      <c r="AR315" s="222"/>
      <c r="AS315" s="222"/>
      <c r="AT315" s="222"/>
      <c r="AU315" s="222"/>
      <c r="AV315" s="222"/>
      <c r="AW315" s="222"/>
      <c r="AX315" s="222"/>
      <c r="AY315" s="222"/>
      <c r="AZ315" s="222"/>
      <c r="BA315" s="222"/>
      <c r="BB315" s="222"/>
      <c r="BC315" s="222"/>
      <c r="BD315" s="222"/>
      <c r="BE315" s="222"/>
      <c r="BF315" s="222"/>
      <c r="BG315" s="222"/>
      <c r="BH315" s="222"/>
      <c r="BI315" s="222"/>
      <c r="BJ315" s="222"/>
      <c r="BK315" s="222"/>
      <c r="BL315" s="222"/>
      <c r="BM315" s="222"/>
      <c r="BN315" s="222"/>
      <c r="BO315" s="222"/>
      <c r="BP315" s="222"/>
      <c r="BQ315" s="222"/>
      <c r="BR315" s="222"/>
      <c r="BS315" s="222"/>
      <c r="BT315" s="222"/>
      <c r="BU315" s="222"/>
      <c r="BV315" s="222"/>
      <c r="BW315" s="222"/>
      <c r="BX315" s="222"/>
      <c r="BY315" s="222"/>
      <c r="BZ315" s="222"/>
      <c r="CA315" s="222"/>
      <c r="CB315" s="222"/>
      <c r="CC315" s="222"/>
      <c r="CD315" s="222"/>
      <c r="CE315" s="222"/>
      <c r="CF315" s="222"/>
      <c r="CG315" s="222"/>
      <c r="CH315" s="222"/>
      <c r="CI315" s="222"/>
      <c r="CJ315" s="222"/>
      <c r="CK315" s="222"/>
      <c r="CL315" s="222"/>
      <c r="CM315" s="222"/>
      <c r="CN315" s="222"/>
      <c r="CO315" s="222"/>
      <c r="CP315" s="222"/>
      <c r="CQ315" s="222"/>
      <c r="CR315" s="222"/>
      <c r="CS315" s="222"/>
    </row>
    <row r="316">
      <c r="A316" s="43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222"/>
      <c r="AP316" s="222"/>
      <c r="AQ316" s="222"/>
      <c r="AR316" s="222"/>
      <c r="AS316" s="222"/>
      <c r="AT316" s="222"/>
      <c r="AU316" s="222"/>
      <c r="AV316" s="222"/>
      <c r="AW316" s="222"/>
      <c r="AX316" s="222"/>
      <c r="AY316" s="222"/>
      <c r="AZ316" s="222"/>
      <c r="BA316" s="222"/>
      <c r="BB316" s="222"/>
      <c r="BC316" s="222"/>
      <c r="BD316" s="222"/>
      <c r="BE316" s="222"/>
      <c r="BF316" s="222"/>
      <c r="BG316" s="222"/>
      <c r="BH316" s="222"/>
      <c r="BI316" s="222"/>
      <c r="BJ316" s="222"/>
      <c r="BK316" s="222"/>
      <c r="BL316" s="222"/>
      <c r="BM316" s="222"/>
      <c r="BN316" s="222"/>
      <c r="BO316" s="222"/>
      <c r="BP316" s="222"/>
      <c r="BQ316" s="222"/>
      <c r="BR316" s="222"/>
      <c r="BS316" s="222"/>
      <c r="BT316" s="222"/>
      <c r="BU316" s="222"/>
      <c r="BV316" s="222"/>
      <c r="BW316" s="222"/>
      <c r="BX316" s="222"/>
      <c r="BY316" s="222"/>
      <c r="BZ316" s="222"/>
      <c r="CA316" s="222"/>
      <c r="CB316" s="222"/>
      <c r="CC316" s="222"/>
      <c r="CD316" s="222"/>
      <c r="CE316" s="222"/>
      <c r="CF316" s="222"/>
      <c r="CG316" s="222"/>
      <c r="CH316" s="222"/>
      <c r="CI316" s="222"/>
      <c r="CJ316" s="222"/>
      <c r="CK316" s="222"/>
      <c r="CL316" s="222"/>
      <c r="CM316" s="222"/>
      <c r="CN316" s="222"/>
      <c r="CO316" s="222"/>
      <c r="CP316" s="222"/>
      <c r="CQ316" s="222"/>
      <c r="CR316" s="222"/>
      <c r="CS316" s="222"/>
    </row>
    <row r="317">
      <c r="A317" s="43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222"/>
      <c r="AP317" s="222"/>
      <c r="AQ317" s="222"/>
      <c r="AR317" s="222"/>
      <c r="AS317" s="222"/>
      <c r="AT317" s="222"/>
      <c r="AU317" s="222"/>
      <c r="AV317" s="222"/>
      <c r="AW317" s="222"/>
      <c r="AX317" s="222"/>
      <c r="AY317" s="222"/>
      <c r="AZ317" s="222"/>
      <c r="BA317" s="222"/>
      <c r="BB317" s="222"/>
      <c r="BC317" s="222"/>
      <c r="BD317" s="222"/>
      <c r="BE317" s="222"/>
      <c r="BF317" s="222"/>
      <c r="BG317" s="222"/>
      <c r="BH317" s="222"/>
      <c r="BI317" s="222"/>
      <c r="BJ317" s="222"/>
      <c r="BK317" s="222"/>
      <c r="BL317" s="222"/>
      <c r="BM317" s="222"/>
      <c r="BN317" s="222"/>
      <c r="BO317" s="222"/>
      <c r="BP317" s="222"/>
      <c r="BQ317" s="222"/>
      <c r="BR317" s="222"/>
      <c r="BS317" s="222"/>
      <c r="BT317" s="222"/>
      <c r="BU317" s="222"/>
      <c r="BV317" s="222"/>
      <c r="BW317" s="222"/>
      <c r="BX317" s="222"/>
      <c r="BY317" s="222"/>
      <c r="BZ317" s="222"/>
      <c r="CA317" s="222"/>
      <c r="CB317" s="222"/>
      <c r="CC317" s="222"/>
      <c r="CD317" s="222"/>
      <c r="CE317" s="222"/>
      <c r="CF317" s="222"/>
      <c r="CG317" s="222"/>
      <c r="CH317" s="222"/>
      <c r="CI317" s="222"/>
      <c r="CJ317" s="222"/>
      <c r="CK317" s="222"/>
      <c r="CL317" s="222"/>
      <c r="CM317" s="222"/>
      <c r="CN317" s="222"/>
      <c r="CO317" s="222"/>
      <c r="CP317" s="222"/>
      <c r="CQ317" s="222"/>
      <c r="CR317" s="222"/>
      <c r="CS317" s="222"/>
    </row>
    <row r="318">
      <c r="A318" s="43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222"/>
      <c r="AP318" s="222"/>
      <c r="AQ318" s="222"/>
      <c r="AR318" s="222"/>
      <c r="AS318" s="222"/>
      <c r="AT318" s="222"/>
      <c r="AU318" s="222"/>
      <c r="AV318" s="222"/>
      <c r="AW318" s="222"/>
      <c r="AX318" s="222"/>
      <c r="AY318" s="222"/>
      <c r="AZ318" s="222"/>
      <c r="BA318" s="222"/>
      <c r="BB318" s="222"/>
      <c r="BC318" s="222"/>
      <c r="BD318" s="222"/>
      <c r="BE318" s="222"/>
      <c r="BF318" s="222"/>
      <c r="BG318" s="222"/>
      <c r="BH318" s="222"/>
      <c r="BI318" s="222"/>
      <c r="BJ318" s="222"/>
      <c r="BK318" s="222"/>
      <c r="BL318" s="222"/>
      <c r="BM318" s="222"/>
      <c r="BN318" s="222"/>
      <c r="BO318" s="222"/>
      <c r="BP318" s="222"/>
      <c r="BQ318" s="222"/>
      <c r="BR318" s="222"/>
      <c r="BS318" s="222"/>
      <c r="BT318" s="222"/>
      <c r="BU318" s="222"/>
      <c r="BV318" s="222"/>
      <c r="BW318" s="222"/>
      <c r="BX318" s="222"/>
      <c r="BY318" s="222"/>
      <c r="BZ318" s="222"/>
      <c r="CA318" s="222"/>
      <c r="CB318" s="222"/>
      <c r="CC318" s="222"/>
      <c r="CD318" s="222"/>
      <c r="CE318" s="222"/>
      <c r="CF318" s="222"/>
      <c r="CG318" s="222"/>
      <c r="CH318" s="222"/>
      <c r="CI318" s="222"/>
      <c r="CJ318" s="222"/>
      <c r="CK318" s="222"/>
      <c r="CL318" s="222"/>
      <c r="CM318" s="222"/>
      <c r="CN318" s="222"/>
      <c r="CO318" s="222"/>
      <c r="CP318" s="222"/>
      <c r="CQ318" s="222"/>
      <c r="CR318" s="222"/>
      <c r="CS318" s="222"/>
    </row>
    <row r="319">
      <c r="A319" s="43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222"/>
      <c r="AP319" s="222"/>
      <c r="AQ319" s="222"/>
      <c r="AR319" s="222"/>
      <c r="AS319" s="222"/>
      <c r="AT319" s="222"/>
      <c r="AU319" s="222"/>
      <c r="AV319" s="222"/>
      <c r="AW319" s="222"/>
      <c r="AX319" s="222"/>
      <c r="AY319" s="222"/>
      <c r="AZ319" s="222"/>
      <c r="BA319" s="222"/>
      <c r="BB319" s="222"/>
      <c r="BC319" s="222"/>
      <c r="BD319" s="222"/>
      <c r="BE319" s="222"/>
      <c r="BF319" s="222"/>
      <c r="BG319" s="222"/>
      <c r="BH319" s="222"/>
      <c r="BI319" s="222"/>
      <c r="BJ319" s="222"/>
      <c r="BK319" s="222"/>
      <c r="BL319" s="222"/>
      <c r="BM319" s="222"/>
      <c r="BN319" s="222"/>
      <c r="BO319" s="222"/>
      <c r="BP319" s="222"/>
      <c r="BQ319" s="222"/>
      <c r="BR319" s="222"/>
      <c r="BS319" s="222"/>
      <c r="BT319" s="222"/>
      <c r="BU319" s="222"/>
      <c r="BV319" s="222"/>
      <c r="BW319" s="222"/>
      <c r="BX319" s="222"/>
      <c r="BY319" s="222"/>
      <c r="BZ319" s="222"/>
      <c r="CA319" s="222"/>
      <c r="CB319" s="222"/>
      <c r="CC319" s="222"/>
      <c r="CD319" s="222"/>
      <c r="CE319" s="222"/>
      <c r="CF319" s="222"/>
      <c r="CG319" s="222"/>
      <c r="CH319" s="222"/>
      <c r="CI319" s="222"/>
      <c r="CJ319" s="222"/>
      <c r="CK319" s="222"/>
      <c r="CL319" s="222"/>
      <c r="CM319" s="222"/>
      <c r="CN319" s="222"/>
      <c r="CO319" s="222"/>
      <c r="CP319" s="222"/>
      <c r="CQ319" s="222"/>
      <c r="CR319" s="222"/>
      <c r="CS319" s="222"/>
    </row>
    <row r="320">
      <c r="A320" s="43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222"/>
      <c r="AP320" s="222"/>
      <c r="AQ320" s="222"/>
      <c r="AR320" s="222"/>
      <c r="AS320" s="222"/>
      <c r="AT320" s="222"/>
      <c r="AU320" s="222"/>
      <c r="AV320" s="222"/>
      <c r="AW320" s="222"/>
      <c r="AX320" s="222"/>
      <c r="AY320" s="222"/>
      <c r="AZ320" s="222"/>
      <c r="BA320" s="222"/>
      <c r="BB320" s="222"/>
      <c r="BC320" s="222"/>
      <c r="BD320" s="222"/>
      <c r="BE320" s="222"/>
      <c r="BF320" s="222"/>
      <c r="BG320" s="222"/>
      <c r="BH320" s="222"/>
      <c r="BI320" s="222"/>
      <c r="BJ320" s="222"/>
      <c r="BK320" s="222"/>
      <c r="BL320" s="222"/>
      <c r="BM320" s="222"/>
      <c r="BN320" s="222"/>
      <c r="BO320" s="222"/>
      <c r="BP320" s="222"/>
      <c r="BQ320" s="222"/>
      <c r="BR320" s="222"/>
      <c r="BS320" s="222"/>
      <c r="BT320" s="222"/>
      <c r="BU320" s="222"/>
      <c r="BV320" s="222"/>
      <c r="BW320" s="222"/>
      <c r="BX320" s="222"/>
      <c r="BY320" s="222"/>
      <c r="BZ320" s="222"/>
      <c r="CA320" s="222"/>
      <c r="CB320" s="222"/>
      <c r="CC320" s="222"/>
      <c r="CD320" s="222"/>
      <c r="CE320" s="222"/>
      <c r="CF320" s="222"/>
      <c r="CG320" s="222"/>
      <c r="CH320" s="222"/>
      <c r="CI320" s="222"/>
      <c r="CJ320" s="222"/>
      <c r="CK320" s="222"/>
      <c r="CL320" s="222"/>
      <c r="CM320" s="222"/>
      <c r="CN320" s="222"/>
      <c r="CO320" s="222"/>
      <c r="CP320" s="222"/>
      <c r="CQ320" s="222"/>
      <c r="CR320" s="222"/>
      <c r="CS320" s="222"/>
    </row>
    <row r="321">
      <c r="A321" s="43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222"/>
      <c r="AP321" s="222"/>
      <c r="AQ321" s="222"/>
      <c r="AR321" s="222"/>
      <c r="AS321" s="222"/>
      <c r="AT321" s="222"/>
      <c r="AU321" s="222"/>
      <c r="AV321" s="222"/>
      <c r="AW321" s="222"/>
      <c r="AX321" s="222"/>
      <c r="AY321" s="222"/>
      <c r="AZ321" s="222"/>
      <c r="BA321" s="222"/>
      <c r="BB321" s="222"/>
      <c r="BC321" s="222"/>
      <c r="BD321" s="222"/>
      <c r="BE321" s="222"/>
      <c r="BF321" s="222"/>
      <c r="BG321" s="222"/>
      <c r="BH321" s="222"/>
      <c r="BI321" s="222"/>
      <c r="BJ321" s="222"/>
      <c r="BK321" s="222"/>
      <c r="BL321" s="222"/>
      <c r="BM321" s="222"/>
      <c r="BN321" s="222"/>
      <c r="BO321" s="222"/>
      <c r="BP321" s="222"/>
      <c r="BQ321" s="222"/>
      <c r="BR321" s="222"/>
      <c r="BS321" s="222"/>
      <c r="BT321" s="222"/>
      <c r="BU321" s="222"/>
      <c r="BV321" s="222"/>
      <c r="BW321" s="222"/>
      <c r="BX321" s="222"/>
      <c r="BY321" s="222"/>
      <c r="BZ321" s="222"/>
      <c r="CA321" s="222"/>
      <c r="CB321" s="222"/>
      <c r="CC321" s="222"/>
      <c r="CD321" s="222"/>
      <c r="CE321" s="222"/>
      <c r="CF321" s="222"/>
      <c r="CG321" s="222"/>
      <c r="CH321" s="222"/>
      <c r="CI321" s="222"/>
      <c r="CJ321" s="222"/>
      <c r="CK321" s="222"/>
      <c r="CL321" s="222"/>
      <c r="CM321" s="222"/>
      <c r="CN321" s="222"/>
      <c r="CO321" s="222"/>
      <c r="CP321" s="222"/>
      <c r="CQ321" s="222"/>
      <c r="CR321" s="222"/>
      <c r="CS321" s="222"/>
    </row>
    <row r="322">
      <c r="A322" s="43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222"/>
      <c r="AP322" s="222"/>
      <c r="AQ322" s="222"/>
      <c r="AR322" s="222"/>
      <c r="AS322" s="222"/>
      <c r="AT322" s="222"/>
      <c r="AU322" s="222"/>
      <c r="AV322" s="222"/>
      <c r="AW322" s="222"/>
      <c r="AX322" s="222"/>
      <c r="AY322" s="222"/>
      <c r="AZ322" s="222"/>
      <c r="BA322" s="222"/>
      <c r="BB322" s="222"/>
      <c r="BC322" s="222"/>
      <c r="BD322" s="222"/>
      <c r="BE322" s="222"/>
      <c r="BF322" s="222"/>
      <c r="BG322" s="222"/>
      <c r="BH322" s="222"/>
      <c r="BI322" s="222"/>
      <c r="BJ322" s="222"/>
      <c r="BK322" s="222"/>
      <c r="BL322" s="222"/>
      <c r="BM322" s="222"/>
      <c r="BN322" s="222"/>
      <c r="BO322" s="222"/>
      <c r="BP322" s="222"/>
      <c r="BQ322" s="222"/>
      <c r="BR322" s="222"/>
      <c r="BS322" s="222"/>
      <c r="BT322" s="222"/>
      <c r="BU322" s="222"/>
      <c r="BV322" s="222"/>
      <c r="BW322" s="222"/>
      <c r="BX322" s="222"/>
      <c r="BY322" s="222"/>
      <c r="BZ322" s="222"/>
      <c r="CA322" s="222"/>
      <c r="CB322" s="222"/>
      <c r="CC322" s="222"/>
      <c r="CD322" s="222"/>
      <c r="CE322" s="222"/>
      <c r="CF322" s="222"/>
      <c r="CG322" s="222"/>
      <c r="CH322" s="222"/>
      <c r="CI322" s="222"/>
      <c r="CJ322" s="222"/>
      <c r="CK322" s="222"/>
      <c r="CL322" s="222"/>
      <c r="CM322" s="222"/>
      <c r="CN322" s="222"/>
      <c r="CO322" s="222"/>
      <c r="CP322" s="222"/>
      <c r="CQ322" s="222"/>
      <c r="CR322" s="222"/>
      <c r="CS322" s="222"/>
    </row>
    <row r="323">
      <c r="A323" s="43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222"/>
      <c r="AP323" s="222"/>
      <c r="AQ323" s="222"/>
      <c r="AR323" s="222"/>
      <c r="AS323" s="222"/>
      <c r="AT323" s="222"/>
      <c r="AU323" s="222"/>
      <c r="AV323" s="222"/>
      <c r="AW323" s="222"/>
      <c r="AX323" s="222"/>
      <c r="AY323" s="222"/>
      <c r="AZ323" s="222"/>
      <c r="BA323" s="222"/>
      <c r="BB323" s="222"/>
      <c r="BC323" s="222"/>
      <c r="BD323" s="222"/>
      <c r="BE323" s="222"/>
      <c r="BF323" s="222"/>
      <c r="BG323" s="222"/>
      <c r="BH323" s="222"/>
      <c r="BI323" s="222"/>
      <c r="BJ323" s="222"/>
      <c r="BK323" s="222"/>
      <c r="BL323" s="222"/>
      <c r="BM323" s="222"/>
      <c r="BN323" s="222"/>
      <c r="BO323" s="222"/>
      <c r="BP323" s="222"/>
      <c r="BQ323" s="222"/>
      <c r="BR323" s="222"/>
      <c r="BS323" s="222"/>
      <c r="BT323" s="222"/>
      <c r="BU323" s="222"/>
      <c r="BV323" s="222"/>
      <c r="BW323" s="222"/>
      <c r="BX323" s="222"/>
      <c r="BY323" s="222"/>
      <c r="BZ323" s="222"/>
      <c r="CA323" s="222"/>
      <c r="CB323" s="222"/>
      <c r="CC323" s="222"/>
      <c r="CD323" s="222"/>
      <c r="CE323" s="222"/>
      <c r="CF323" s="222"/>
      <c r="CG323" s="222"/>
      <c r="CH323" s="222"/>
      <c r="CI323" s="222"/>
      <c r="CJ323" s="222"/>
      <c r="CK323" s="222"/>
      <c r="CL323" s="222"/>
      <c r="CM323" s="222"/>
      <c r="CN323" s="222"/>
      <c r="CO323" s="222"/>
      <c r="CP323" s="222"/>
      <c r="CQ323" s="222"/>
      <c r="CR323" s="222"/>
      <c r="CS323" s="222"/>
    </row>
    <row r="324">
      <c r="A324" s="43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222"/>
      <c r="AP324" s="222"/>
      <c r="AQ324" s="222"/>
      <c r="AR324" s="222"/>
      <c r="AS324" s="222"/>
      <c r="AT324" s="222"/>
      <c r="AU324" s="222"/>
      <c r="AV324" s="222"/>
      <c r="AW324" s="222"/>
      <c r="AX324" s="222"/>
      <c r="AY324" s="222"/>
      <c r="AZ324" s="222"/>
      <c r="BA324" s="222"/>
      <c r="BB324" s="222"/>
      <c r="BC324" s="222"/>
      <c r="BD324" s="222"/>
      <c r="BE324" s="222"/>
      <c r="BF324" s="222"/>
      <c r="BG324" s="222"/>
      <c r="BH324" s="222"/>
      <c r="BI324" s="222"/>
      <c r="BJ324" s="222"/>
      <c r="BK324" s="222"/>
      <c r="BL324" s="222"/>
      <c r="BM324" s="222"/>
      <c r="BN324" s="222"/>
      <c r="BO324" s="222"/>
      <c r="BP324" s="222"/>
      <c r="BQ324" s="222"/>
      <c r="BR324" s="222"/>
      <c r="BS324" s="222"/>
      <c r="BT324" s="222"/>
      <c r="BU324" s="222"/>
      <c r="BV324" s="222"/>
      <c r="BW324" s="222"/>
      <c r="BX324" s="222"/>
      <c r="BY324" s="222"/>
      <c r="BZ324" s="222"/>
      <c r="CA324" s="222"/>
      <c r="CB324" s="222"/>
      <c r="CC324" s="222"/>
      <c r="CD324" s="222"/>
      <c r="CE324" s="222"/>
      <c r="CF324" s="222"/>
      <c r="CG324" s="222"/>
      <c r="CH324" s="222"/>
      <c r="CI324" s="222"/>
      <c r="CJ324" s="222"/>
      <c r="CK324" s="222"/>
      <c r="CL324" s="222"/>
      <c r="CM324" s="222"/>
      <c r="CN324" s="222"/>
      <c r="CO324" s="222"/>
      <c r="CP324" s="222"/>
      <c r="CQ324" s="222"/>
      <c r="CR324" s="222"/>
      <c r="CS324" s="222"/>
    </row>
    <row r="325">
      <c r="A325" s="43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222"/>
      <c r="AP325" s="222"/>
      <c r="AQ325" s="222"/>
      <c r="AR325" s="222"/>
      <c r="AS325" s="222"/>
      <c r="AT325" s="222"/>
      <c r="AU325" s="222"/>
      <c r="AV325" s="222"/>
      <c r="AW325" s="222"/>
      <c r="AX325" s="222"/>
      <c r="AY325" s="222"/>
      <c r="AZ325" s="222"/>
      <c r="BA325" s="222"/>
      <c r="BB325" s="222"/>
      <c r="BC325" s="222"/>
      <c r="BD325" s="222"/>
      <c r="BE325" s="222"/>
      <c r="BF325" s="222"/>
      <c r="BG325" s="222"/>
      <c r="BH325" s="222"/>
      <c r="BI325" s="222"/>
      <c r="BJ325" s="222"/>
      <c r="BK325" s="222"/>
      <c r="BL325" s="222"/>
      <c r="BM325" s="222"/>
      <c r="BN325" s="222"/>
      <c r="BO325" s="222"/>
      <c r="BP325" s="222"/>
      <c r="BQ325" s="222"/>
      <c r="BR325" s="222"/>
      <c r="BS325" s="222"/>
      <c r="BT325" s="222"/>
      <c r="BU325" s="222"/>
      <c r="BV325" s="222"/>
      <c r="BW325" s="222"/>
      <c r="BX325" s="222"/>
      <c r="BY325" s="222"/>
      <c r="BZ325" s="222"/>
      <c r="CA325" s="222"/>
      <c r="CB325" s="222"/>
      <c r="CC325" s="222"/>
      <c r="CD325" s="222"/>
      <c r="CE325" s="222"/>
      <c r="CF325" s="222"/>
      <c r="CG325" s="222"/>
      <c r="CH325" s="222"/>
      <c r="CI325" s="222"/>
      <c r="CJ325" s="222"/>
      <c r="CK325" s="222"/>
      <c r="CL325" s="222"/>
      <c r="CM325" s="222"/>
      <c r="CN325" s="222"/>
      <c r="CO325" s="222"/>
      <c r="CP325" s="222"/>
      <c r="CQ325" s="222"/>
      <c r="CR325" s="222"/>
      <c r="CS325" s="222"/>
    </row>
    <row r="326">
      <c r="A326" s="43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222"/>
      <c r="AP326" s="222"/>
      <c r="AQ326" s="222"/>
      <c r="AR326" s="222"/>
      <c r="AS326" s="222"/>
      <c r="AT326" s="222"/>
      <c r="AU326" s="222"/>
      <c r="AV326" s="222"/>
      <c r="AW326" s="222"/>
      <c r="AX326" s="222"/>
      <c r="AY326" s="222"/>
      <c r="AZ326" s="222"/>
      <c r="BA326" s="222"/>
      <c r="BB326" s="222"/>
      <c r="BC326" s="222"/>
      <c r="BD326" s="222"/>
      <c r="BE326" s="222"/>
      <c r="BF326" s="222"/>
      <c r="BG326" s="222"/>
      <c r="BH326" s="222"/>
      <c r="BI326" s="222"/>
      <c r="BJ326" s="222"/>
      <c r="BK326" s="222"/>
      <c r="BL326" s="222"/>
      <c r="BM326" s="222"/>
      <c r="BN326" s="222"/>
      <c r="BO326" s="222"/>
      <c r="BP326" s="222"/>
      <c r="BQ326" s="222"/>
      <c r="BR326" s="222"/>
      <c r="BS326" s="222"/>
      <c r="BT326" s="222"/>
      <c r="BU326" s="222"/>
      <c r="BV326" s="222"/>
      <c r="BW326" s="222"/>
      <c r="BX326" s="222"/>
      <c r="BY326" s="222"/>
      <c r="BZ326" s="222"/>
      <c r="CA326" s="222"/>
      <c r="CB326" s="222"/>
      <c r="CC326" s="222"/>
      <c r="CD326" s="222"/>
      <c r="CE326" s="222"/>
      <c r="CF326" s="222"/>
      <c r="CG326" s="222"/>
      <c r="CH326" s="222"/>
      <c r="CI326" s="222"/>
      <c r="CJ326" s="222"/>
      <c r="CK326" s="222"/>
      <c r="CL326" s="222"/>
      <c r="CM326" s="222"/>
      <c r="CN326" s="222"/>
      <c r="CO326" s="222"/>
      <c r="CP326" s="222"/>
      <c r="CQ326" s="222"/>
      <c r="CR326" s="222"/>
      <c r="CS326" s="222"/>
    </row>
    <row r="327">
      <c r="A327" s="43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222"/>
      <c r="AP327" s="222"/>
      <c r="AQ327" s="222"/>
      <c r="AR327" s="222"/>
      <c r="AS327" s="222"/>
      <c r="AT327" s="222"/>
      <c r="AU327" s="222"/>
      <c r="AV327" s="222"/>
      <c r="AW327" s="222"/>
      <c r="AX327" s="222"/>
      <c r="AY327" s="222"/>
      <c r="AZ327" s="222"/>
      <c r="BA327" s="222"/>
      <c r="BB327" s="222"/>
      <c r="BC327" s="222"/>
      <c r="BD327" s="222"/>
      <c r="BE327" s="222"/>
      <c r="BF327" s="222"/>
      <c r="BG327" s="222"/>
      <c r="BH327" s="222"/>
      <c r="BI327" s="222"/>
      <c r="BJ327" s="222"/>
      <c r="BK327" s="222"/>
      <c r="BL327" s="222"/>
      <c r="BM327" s="222"/>
      <c r="BN327" s="222"/>
      <c r="BO327" s="222"/>
      <c r="BP327" s="222"/>
      <c r="BQ327" s="222"/>
      <c r="BR327" s="222"/>
      <c r="BS327" s="222"/>
      <c r="BT327" s="222"/>
      <c r="BU327" s="222"/>
      <c r="BV327" s="222"/>
      <c r="BW327" s="222"/>
      <c r="BX327" s="222"/>
      <c r="BY327" s="222"/>
      <c r="BZ327" s="222"/>
      <c r="CA327" s="222"/>
      <c r="CB327" s="222"/>
      <c r="CC327" s="222"/>
      <c r="CD327" s="222"/>
      <c r="CE327" s="222"/>
      <c r="CF327" s="222"/>
      <c r="CG327" s="222"/>
      <c r="CH327" s="222"/>
      <c r="CI327" s="222"/>
      <c r="CJ327" s="222"/>
      <c r="CK327" s="222"/>
      <c r="CL327" s="222"/>
      <c r="CM327" s="222"/>
      <c r="CN327" s="222"/>
      <c r="CO327" s="222"/>
      <c r="CP327" s="222"/>
      <c r="CQ327" s="222"/>
      <c r="CR327" s="222"/>
      <c r="CS327" s="222"/>
    </row>
    <row r="328">
      <c r="A328" s="43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222"/>
      <c r="AP328" s="222"/>
      <c r="AQ328" s="222"/>
      <c r="AR328" s="222"/>
      <c r="AS328" s="222"/>
      <c r="AT328" s="222"/>
      <c r="AU328" s="222"/>
      <c r="AV328" s="222"/>
      <c r="AW328" s="222"/>
      <c r="AX328" s="222"/>
      <c r="AY328" s="222"/>
      <c r="AZ328" s="222"/>
      <c r="BA328" s="222"/>
      <c r="BB328" s="222"/>
      <c r="BC328" s="222"/>
      <c r="BD328" s="222"/>
      <c r="BE328" s="222"/>
      <c r="BF328" s="222"/>
      <c r="BG328" s="222"/>
      <c r="BH328" s="222"/>
      <c r="BI328" s="222"/>
      <c r="BJ328" s="222"/>
      <c r="BK328" s="222"/>
      <c r="BL328" s="222"/>
      <c r="BM328" s="222"/>
      <c r="BN328" s="222"/>
      <c r="BO328" s="222"/>
      <c r="BP328" s="222"/>
      <c r="BQ328" s="222"/>
      <c r="BR328" s="222"/>
      <c r="BS328" s="222"/>
      <c r="BT328" s="222"/>
      <c r="BU328" s="222"/>
      <c r="BV328" s="222"/>
      <c r="BW328" s="222"/>
      <c r="BX328" s="222"/>
      <c r="BY328" s="222"/>
      <c r="BZ328" s="222"/>
      <c r="CA328" s="222"/>
      <c r="CB328" s="222"/>
      <c r="CC328" s="222"/>
      <c r="CD328" s="222"/>
      <c r="CE328" s="222"/>
      <c r="CF328" s="222"/>
      <c r="CG328" s="222"/>
      <c r="CH328" s="222"/>
      <c r="CI328" s="222"/>
      <c r="CJ328" s="222"/>
      <c r="CK328" s="222"/>
      <c r="CL328" s="222"/>
      <c r="CM328" s="222"/>
      <c r="CN328" s="222"/>
      <c r="CO328" s="222"/>
      <c r="CP328" s="222"/>
      <c r="CQ328" s="222"/>
      <c r="CR328" s="222"/>
      <c r="CS328" s="222"/>
    </row>
    <row r="329">
      <c r="A329" s="43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222"/>
      <c r="AP329" s="222"/>
      <c r="AQ329" s="222"/>
      <c r="AR329" s="222"/>
      <c r="AS329" s="222"/>
      <c r="AT329" s="222"/>
      <c r="AU329" s="222"/>
      <c r="AV329" s="222"/>
      <c r="AW329" s="222"/>
      <c r="AX329" s="222"/>
      <c r="AY329" s="222"/>
      <c r="AZ329" s="222"/>
      <c r="BA329" s="222"/>
      <c r="BB329" s="222"/>
      <c r="BC329" s="222"/>
      <c r="BD329" s="222"/>
      <c r="BE329" s="222"/>
      <c r="BF329" s="222"/>
      <c r="BG329" s="222"/>
      <c r="BH329" s="222"/>
      <c r="BI329" s="222"/>
      <c r="BJ329" s="222"/>
      <c r="BK329" s="222"/>
      <c r="BL329" s="222"/>
      <c r="BM329" s="222"/>
      <c r="BN329" s="222"/>
      <c r="BO329" s="222"/>
      <c r="BP329" s="222"/>
      <c r="BQ329" s="222"/>
      <c r="BR329" s="222"/>
      <c r="BS329" s="222"/>
      <c r="BT329" s="222"/>
      <c r="BU329" s="222"/>
      <c r="BV329" s="222"/>
      <c r="BW329" s="222"/>
      <c r="BX329" s="222"/>
      <c r="BY329" s="222"/>
      <c r="BZ329" s="222"/>
      <c r="CA329" s="222"/>
      <c r="CB329" s="222"/>
      <c r="CC329" s="222"/>
      <c r="CD329" s="222"/>
      <c r="CE329" s="222"/>
      <c r="CF329" s="222"/>
      <c r="CG329" s="222"/>
      <c r="CH329" s="222"/>
      <c r="CI329" s="222"/>
      <c r="CJ329" s="222"/>
      <c r="CK329" s="222"/>
      <c r="CL329" s="222"/>
      <c r="CM329" s="222"/>
      <c r="CN329" s="222"/>
      <c r="CO329" s="222"/>
      <c r="CP329" s="222"/>
      <c r="CQ329" s="222"/>
      <c r="CR329" s="222"/>
      <c r="CS329" s="222"/>
    </row>
    <row r="330">
      <c r="A330" s="43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222"/>
      <c r="AP330" s="222"/>
      <c r="AQ330" s="222"/>
      <c r="AR330" s="222"/>
      <c r="AS330" s="222"/>
      <c r="AT330" s="222"/>
      <c r="AU330" s="222"/>
      <c r="AV330" s="222"/>
      <c r="AW330" s="222"/>
      <c r="AX330" s="222"/>
      <c r="AY330" s="222"/>
      <c r="AZ330" s="222"/>
      <c r="BA330" s="222"/>
      <c r="BB330" s="222"/>
      <c r="BC330" s="222"/>
      <c r="BD330" s="222"/>
      <c r="BE330" s="222"/>
      <c r="BF330" s="222"/>
      <c r="BG330" s="222"/>
      <c r="BH330" s="222"/>
      <c r="BI330" s="222"/>
      <c r="BJ330" s="222"/>
      <c r="BK330" s="222"/>
      <c r="BL330" s="222"/>
      <c r="BM330" s="222"/>
      <c r="BN330" s="222"/>
      <c r="BO330" s="222"/>
      <c r="BP330" s="222"/>
      <c r="BQ330" s="222"/>
      <c r="BR330" s="222"/>
      <c r="BS330" s="222"/>
      <c r="BT330" s="222"/>
      <c r="BU330" s="222"/>
      <c r="BV330" s="222"/>
      <c r="BW330" s="222"/>
      <c r="BX330" s="222"/>
      <c r="BY330" s="222"/>
      <c r="BZ330" s="222"/>
      <c r="CA330" s="222"/>
      <c r="CB330" s="222"/>
      <c r="CC330" s="222"/>
      <c r="CD330" s="222"/>
      <c r="CE330" s="222"/>
      <c r="CF330" s="222"/>
      <c r="CG330" s="222"/>
      <c r="CH330" s="222"/>
      <c r="CI330" s="222"/>
      <c r="CJ330" s="222"/>
      <c r="CK330" s="222"/>
      <c r="CL330" s="222"/>
      <c r="CM330" s="222"/>
      <c r="CN330" s="222"/>
      <c r="CO330" s="222"/>
      <c r="CP330" s="222"/>
      <c r="CQ330" s="222"/>
      <c r="CR330" s="222"/>
      <c r="CS330" s="222"/>
    </row>
    <row r="331">
      <c r="A331" s="43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222"/>
      <c r="AP331" s="222"/>
      <c r="AQ331" s="222"/>
      <c r="AR331" s="222"/>
      <c r="AS331" s="222"/>
      <c r="AT331" s="222"/>
      <c r="AU331" s="222"/>
      <c r="AV331" s="222"/>
      <c r="AW331" s="222"/>
      <c r="AX331" s="222"/>
      <c r="AY331" s="222"/>
      <c r="AZ331" s="222"/>
      <c r="BA331" s="222"/>
      <c r="BB331" s="222"/>
      <c r="BC331" s="222"/>
      <c r="BD331" s="222"/>
      <c r="BE331" s="222"/>
      <c r="BF331" s="222"/>
      <c r="BG331" s="222"/>
      <c r="BH331" s="222"/>
      <c r="BI331" s="222"/>
      <c r="BJ331" s="222"/>
      <c r="BK331" s="222"/>
      <c r="BL331" s="222"/>
      <c r="BM331" s="222"/>
      <c r="BN331" s="222"/>
      <c r="BO331" s="222"/>
      <c r="BP331" s="222"/>
      <c r="BQ331" s="222"/>
      <c r="BR331" s="222"/>
      <c r="BS331" s="222"/>
      <c r="BT331" s="222"/>
      <c r="BU331" s="222"/>
      <c r="BV331" s="222"/>
      <c r="BW331" s="222"/>
      <c r="BX331" s="222"/>
      <c r="BY331" s="222"/>
      <c r="BZ331" s="222"/>
      <c r="CA331" s="222"/>
      <c r="CB331" s="222"/>
      <c r="CC331" s="222"/>
      <c r="CD331" s="222"/>
      <c r="CE331" s="222"/>
      <c r="CF331" s="222"/>
      <c r="CG331" s="222"/>
      <c r="CH331" s="222"/>
      <c r="CI331" s="222"/>
      <c r="CJ331" s="222"/>
      <c r="CK331" s="222"/>
      <c r="CL331" s="222"/>
      <c r="CM331" s="222"/>
      <c r="CN331" s="222"/>
      <c r="CO331" s="222"/>
      <c r="CP331" s="222"/>
      <c r="CQ331" s="222"/>
      <c r="CR331" s="222"/>
      <c r="CS331" s="222"/>
    </row>
    <row r="332">
      <c r="A332" s="43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222"/>
      <c r="AP332" s="222"/>
      <c r="AQ332" s="222"/>
      <c r="AR332" s="222"/>
      <c r="AS332" s="222"/>
      <c r="AT332" s="222"/>
      <c r="AU332" s="222"/>
      <c r="AV332" s="222"/>
      <c r="AW332" s="222"/>
      <c r="AX332" s="222"/>
      <c r="AY332" s="222"/>
      <c r="AZ332" s="222"/>
      <c r="BA332" s="222"/>
      <c r="BB332" s="222"/>
      <c r="BC332" s="222"/>
      <c r="BD332" s="222"/>
      <c r="BE332" s="222"/>
      <c r="BF332" s="222"/>
      <c r="BG332" s="222"/>
      <c r="BH332" s="222"/>
      <c r="BI332" s="222"/>
      <c r="BJ332" s="222"/>
      <c r="BK332" s="222"/>
      <c r="BL332" s="222"/>
      <c r="BM332" s="222"/>
      <c r="BN332" s="222"/>
      <c r="BO332" s="222"/>
      <c r="BP332" s="222"/>
      <c r="BQ332" s="222"/>
      <c r="BR332" s="222"/>
      <c r="BS332" s="222"/>
      <c r="BT332" s="222"/>
      <c r="BU332" s="222"/>
      <c r="BV332" s="222"/>
      <c r="BW332" s="222"/>
      <c r="BX332" s="222"/>
      <c r="BY332" s="222"/>
      <c r="BZ332" s="222"/>
      <c r="CA332" s="222"/>
      <c r="CB332" s="222"/>
      <c r="CC332" s="222"/>
      <c r="CD332" s="222"/>
      <c r="CE332" s="222"/>
      <c r="CF332" s="222"/>
      <c r="CG332" s="222"/>
      <c r="CH332" s="222"/>
      <c r="CI332" s="222"/>
      <c r="CJ332" s="222"/>
      <c r="CK332" s="222"/>
      <c r="CL332" s="222"/>
      <c r="CM332" s="222"/>
      <c r="CN332" s="222"/>
      <c r="CO332" s="222"/>
      <c r="CP332" s="222"/>
      <c r="CQ332" s="222"/>
      <c r="CR332" s="222"/>
      <c r="CS332" s="222"/>
    </row>
    <row r="333">
      <c r="A333" s="43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222"/>
      <c r="AP333" s="222"/>
      <c r="AQ333" s="222"/>
      <c r="AR333" s="222"/>
      <c r="AS333" s="222"/>
      <c r="AT333" s="222"/>
      <c r="AU333" s="222"/>
      <c r="AV333" s="222"/>
      <c r="AW333" s="222"/>
      <c r="AX333" s="222"/>
      <c r="AY333" s="222"/>
      <c r="AZ333" s="222"/>
      <c r="BA333" s="222"/>
      <c r="BB333" s="222"/>
      <c r="BC333" s="222"/>
      <c r="BD333" s="222"/>
      <c r="BE333" s="222"/>
      <c r="BF333" s="222"/>
      <c r="BG333" s="222"/>
      <c r="BH333" s="222"/>
      <c r="BI333" s="222"/>
      <c r="BJ333" s="222"/>
      <c r="BK333" s="222"/>
      <c r="BL333" s="222"/>
      <c r="BM333" s="222"/>
      <c r="BN333" s="222"/>
      <c r="BO333" s="222"/>
      <c r="BP333" s="222"/>
      <c r="BQ333" s="222"/>
      <c r="BR333" s="222"/>
      <c r="BS333" s="222"/>
      <c r="BT333" s="222"/>
      <c r="BU333" s="222"/>
      <c r="BV333" s="222"/>
      <c r="BW333" s="222"/>
      <c r="BX333" s="222"/>
      <c r="BY333" s="222"/>
      <c r="BZ333" s="222"/>
      <c r="CA333" s="222"/>
      <c r="CB333" s="222"/>
      <c r="CC333" s="222"/>
      <c r="CD333" s="222"/>
      <c r="CE333" s="222"/>
      <c r="CF333" s="222"/>
      <c r="CG333" s="222"/>
      <c r="CH333" s="222"/>
      <c r="CI333" s="222"/>
      <c r="CJ333" s="222"/>
      <c r="CK333" s="222"/>
      <c r="CL333" s="222"/>
      <c r="CM333" s="222"/>
      <c r="CN333" s="222"/>
      <c r="CO333" s="222"/>
      <c r="CP333" s="222"/>
      <c r="CQ333" s="222"/>
      <c r="CR333" s="222"/>
      <c r="CS333" s="222"/>
    </row>
    <row r="334">
      <c r="A334" s="43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222"/>
      <c r="AP334" s="222"/>
      <c r="AQ334" s="222"/>
      <c r="AR334" s="222"/>
      <c r="AS334" s="222"/>
      <c r="AT334" s="222"/>
      <c r="AU334" s="222"/>
      <c r="AV334" s="222"/>
      <c r="AW334" s="222"/>
      <c r="AX334" s="222"/>
      <c r="AY334" s="222"/>
      <c r="AZ334" s="222"/>
      <c r="BA334" s="222"/>
      <c r="BB334" s="222"/>
      <c r="BC334" s="222"/>
      <c r="BD334" s="222"/>
      <c r="BE334" s="222"/>
      <c r="BF334" s="222"/>
      <c r="BG334" s="222"/>
      <c r="BH334" s="222"/>
      <c r="BI334" s="222"/>
      <c r="BJ334" s="222"/>
      <c r="BK334" s="222"/>
      <c r="BL334" s="222"/>
      <c r="BM334" s="222"/>
      <c r="BN334" s="222"/>
      <c r="BO334" s="222"/>
      <c r="BP334" s="222"/>
      <c r="BQ334" s="222"/>
      <c r="BR334" s="222"/>
      <c r="BS334" s="222"/>
      <c r="BT334" s="222"/>
      <c r="BU334" s="222"/>
      <c r="BV334" s="222"/>
      <c r="BW334" s="222"/>
      <c r="BX334" s="222"/>
      <c r="BY334" s="222"/>
      <c r="BZ334" s="222"/>
      <c r="CA334" s="222"/>
      <c r="CB334" s="222"/>
      <c r="CC334" s="222"/>
      <c r="CD334" s="222"/>
      <c r="CE334" s="222"/>
      <c r="CF334" s="222"/>
      <c r="CG334" s="222"/>
      <c r="CH334" s="222"/>
      <c r="CI334" s="222"/>
      <c r="CJ334" s="222"/>
      <c r="CK334" s="222"/>
      <c r="CL334" s="222"/>
      <c r="CM334" s="222"/>
      <c r="CN334" s="222"/>
      <c r="CO334" s="222"/>
      <c r="CP334" s="222"/>
      <c r="CQ334" s="222"/>
      <c r="CR334" s="222"/>
      <c r="CS334" s="222"/>
    </row>
    <row r="335">
      <c r="A335" s="43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222"/>
      <c r="AP335" s="222"/>
      <c r="AQ335" s="222"/>
      <c r="AR335" s="222"/>
      <c r="AS335" s="222"/>
      <c r="AT335" s="222"/>
      <c r="AU335" s="222"/>
      <c r="AV335" s="222"/>
      <c r="AW335" s="222"/>
      <c r="AX335" s="222"/>
      <c r="AY335" s="222"/>
      <c r="AZ335" s="222"/>
      <c r="BA335" s="222"/>
      <c r="BB335" s="222"/>
      <c r="BC335" s="222"/>
      <c r="BD335" s="222"/>
      <c r="BE335" s="222"/>
      <c r="BF335" s="222"/>
      <c r="BG335" s="222"/>
      <c r="BH335" s="222"/>
      <c r="BI335" s="222"/>
      <c r="BJ335" s="222"/>
      <c r="BK335" s="222"/>
      <c r="BL335" s="222"/>
      <c r="BM335" s="222"/>
      <c r="BN335" s="222"/>
      <c r="BO335" s="222"/>
      <c r="BP335" s="222"/>
      <c r="BQ335" s="222"/>
      <c r="BR335" s="222"/>
      <c r="BS335" s="222"/>
      <c r="BT335" s="222"/>
      <c r="BU335" s="222"/>
      <c r="BV335" s="222"/>
      <c r="BW335" s="222"/>
      <c r="BX335" s="222"/>
      <c r="BY335" s="222"/>
      <c r="BZ335" s="222"/>
      <c r="CA335" s="222"/>
      <c r="CB335" s="222"/>
      <c r="CC335" s="222"/>
      <c r="CD335" s="222"/>
      <c r="CE335" s="222"/>
      <c r="CF335" s="222"/>
      <c r="CG335" s="222"/>
      <c r="CH335" s="222"/>
      <c r="CI335" s="222"/>
      <c r="CJ335" s="222"/>
      <c r="CK335" s="222"/>
      <c r="CL335" s="222"/>
      <c r="CM335" s="222"/>
      <c r="CN335" s="222"/>
      <c r="CO335" s="222"/>
      <c r="CP335" s="222"/>
      <c r="CQ335" s="222"/>
      <c r="CR335" s="222"/>
      <c r="CS335" s="222"/>
    </row>
    <row r="336">
      <c r="A336" s="43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222"/>
      <c r="AP336" s="222"/>
      <c r="AQ336" s="222"/>
      <c r="AR336" s="222"/>
      <c r="AS336" s="222"/>
      <c r="AT336" s="222"/>
      <c r="AU336" s="222"/>
      <c r="AV336" s="222"/>
      <c r="AW336" s="222"/>
      <c r="AX336" s="222"/>
      <c r="AY336" s="222"/>
      <c r="AZ336" s="222"/>
      <c r="BA336" s="222"/>
      <c r="BB336" s="222"/>
      <c r="BC336" s="222"/>
      <c r="BD336" s="222"/>
      <c r="BE336" s="222"/>
      <c r="BF336" s="222"/>
      <c r="BG336" s="222"/>
      <c r="BH336" s="222"/>
      <c r="BI336" s="222"/>
      <c r="BJ336" s="222"/>
      <c r="BK336" s="222"/>
      <c r="BL336" s="222"/>
      <c r="BM336" s="222"/>
      <c r="BN336" s="222"/>
      <c r="BO336" s="222"/>
      <c r="BP336" s="222"/>
      <c r="BQ336" s="222"/>
      <c r="BR336" s="222"/>
      <c r="BS336" s="222"/>
      <c r="BT336" s="222"/>
      <c r="BU336" s="222"/>
      <c r="BV336" s="222"/>
      <c r="BW336" s="222"/>
      <c r="BX336" s="222"/>
      <c r="BY336" s="222"/>
      <c r="BZ336" s="222"/>
      <c r="CA336" s="222"/>
      <c r="CB336" s="222"/>
      <c r="CC336" s="222"/>
      <c r="CD336" s="222"/>
      <c r="CE336" s="222"/>
      <c r="CF336" s="222"/>
      <c r="CG336" s="222"/>
      <c r="CH336" s="222"/>
      <c r="CI336" s="222"/>
      <c r="CJ336" s="222"/>
      <c r="CK336" s="222"/>
      <c r="CL336" s="222"/>
      <c r="CM336" s="222"/>
      <c r="CN336" s="222"/>
      <c r="CO336" s="222"/>
      <c r="CP336" s="222"/>
      <c r="CQ336" s="222"/>
      <c r="CR336" s="222"/>
      <c r="CS336" s="222"/>
    </row>
    <row r="337">
      <c r="A337" s="43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222"/>
      <c r="AP337" s="222"/>
      <c r="AQ337" s="222"/>
      <c r="AR337" s="222"/>
      <c r="AS337" s="222"/>
      <c r="AT337" s="222"/>
      <c r="AU337" s="222"/>
      <c r="AV337" s="222"/>
      <c r="AW337" s="222"/>
      <c r="AX337" s="222"/>
      <c r="AY337" s="222"/>
      <c r="AZ337" s="222"/>
      <c r="BA337" s="222"/>
      <c r="BB337" s="222"/>
      <c r="BC337" s="222"/>
      <c r="BD337" s="222"/>
      <c r="BE337" s="222"/>
      <c r="BF337" s="222"/>
      <c r="BG337" s="222"/>
      <c r="BH337" s="222"/>
      <c r="BI337" s="222"/>
      <c r="BJ337" s="222"/>
      <c r="BK337" s="222"/>
      <c r="BL337" s="222"/>
      <c r="BM337" s="222"/>
      <c r="BN337" s="222"/>
      <c r="BO337" s="222"/>
      <c r="BP337" s="222"/>
      <c r="BQ337" s="222"/>
      <c r="BR337" s="222"/>
      <c r="BS337" s="222"/>
      <c r="BT337" s="222"/>
      <c r="BU337" s="222"/>
      <c r="BV337" s="222"/>
      <c r="BW337" s="222"/>
      <c r="BX337" s="222"/>
      <c r="BY337" s="222"/>
      <c r="BZ337" s="222"/>
      <c r="CA337" s="222"/>
      <c r="CB337" s="222"/>
      <c r="CC337" s="222"/>
      <c r="CD337" s="222"/>
      <c r="CE337" s="222"/>
      <c r="CF337" s="222"/>
      <c r="CG337" s="222"/>
      <c r="CH337" s="222"/>
      <c r="CI337" s="222"/>
      <c r="CJ337" s="222"/>
      <c r="CK337" s="222"/>
      <c r="CL337" s="222"/>
      <c r="CM337" s="222"/>
      <c r="CN337" s="222"/>
      <c r="CO337" s="222"/>
      <c r="CP337" s="222"/>
      <c r="CQ337" s="222"/>
      <c r="CR337" s="222"/>
      <c r="CS337" s="222"/>
    </row>
    <row r="338">
      <c r="A338" s="43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222"/>
      <c r="AP338" s="222"/>
      <c r="AQ338" s="222"/>
      <c r="AR338" s="222"/>
      <c r="AS338" s="222"/>
      <c r="AT338" s="222"/>
      <c r="AU338" s="222"/>
      <c r="AV338" s="222"/>
      <c r="AW338" s="222"/>
      <c r="AX338" s="222"/>
      <c r="AY338" s="222"/>
      <c r="AZ338" s="222"/>
      <c r="BA338" s="222"/>
      <c r="BB338" s="222"/>
      <c r="BC338" s="222"/>
      <c r="BD338" s="222"/>
      <c r="BE338" s="222"/>
      <c r="BF338" s="222"/>
      <c r="BG338" s="222"/>
      <c r="BH338" s="222"/>
      <c r="BI338" s="222"/>
      <c r="BJ338" s="222"/>
      <c r="BK338" s="222"/>
      <c r="BL338" s="222"/>
      <c r="BM338" s="222"/>
      <c r="BN338" s="222"/>
      <c r="BO338" s="222"/>
      <c r="BP338" s="222"/>
      <c r="BQ338" s="222"/>
      <c r="BR338" s="222"/>
      <c r="BS338" s="222"/>
      <c r="BT338" s="222"/>
      <c r="BU338" s="222"/>
      <c r="BV338" s="222"/>
      <c r="BW338" s="222"/>
      <c r="BX338" s="222"/>
      <c r="BY338" s="222"/>
      <c r="BZ338" s="222"/>
      <c r="CA338" s="222"/>
      <c r="CB338" s="222"/>
      <c r="CC338" s="222"/>
      <c r="CD338" s="222"/>
      <c r="CE338" s="222"/>
      <c r="CF338" s="222"/>
      <c r="CG338" s="222"/>
      <c r="CH338" s="222"/>
      <c r="CI338" s="222"/>
      <c r="CJ338" s="222"/>
      <c r="CK338" s="222"/>
      <c r="CL338" s="222"/>
      <c r="CM338" s="222"/>
      <c r="CN338" s="222"/>
      <c r="CO338" s="222"/>
      <c r="CP338" s="222"/>
      <c r="CQ338" s="222"/>
      <c r="CR338" s="222"/>
      <c r="CS338" s="222"/>
    </row>
    <row r="339">
      <c r="A339" s="43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222"/>
      <c r="AP339" s="222"/>
      <c r="AQ339" s="222"/>
      <c r="AR339" s="222"/>
      <c r="AS339" s="222"/>
      <c r="AT339" s="222"/>
      <c r="AU339" s="222"/>
      <c r="AV339" s="222"/>
      <c r="AW339" s="222"/>
      <c r="AX339" s="222"/>
      <c r="AY339" s="222"/>
      <c r="AZ339" s="222"/>
      <c r="BA339" s="222"/>
      <c r="BB339" s="222"/>
      <c r="BC339" s="222"/>
      <c r="BD339" s="222"/>
      <c r="BE339" s="222"/>
      <c r="BF339" s="222"/>
      <c r="BG339" s="222"/>
      <c r="BH339" s="222"/>
      <c r="BI339" s="222"/>
      <c r="BJ339" s="222"/>
      <c r="BK339" s="222"/>
      <c r="BL339" s="222"/>
      <c r="BM339" s="222"/>
      <c r="BN339" s="222"/>
      <c r="BO339" s="222"/>
      <c r="BP339" s="222"/>
      <c r="BQ339" s="222"/>
      <c r="BR339" s="222"/>
      <c r="BS339" s="222"/>
      <c r="BT339" s="222"/>
      <c r="BU339" s="222"/>
      <c r="BV339" s="222"/>
      <c r="BW339" s="222"/>
      <c r="BX339" s="222"/>
      <c r="BY339" s="222"/>
      <c r="BZ339" s="222"/>
      <c r="CA339" s="222"/>
      <c r="CB339" s="222"/>
      <c r="CC339" s="222"/>
      <c r="CD339" s="222"/>
      <c r="CE339" s="222"/>
      <c r="CF339" s="222"/>
      <c r="CG339" s="222"/>
      <c r="CH339" s="222"/>
      <c r="CI339" s="222"/>
      <c r="CJ339" s="222"/>
      <c r="CK339" s="222"/>
      <c r="CL339" s="222"/>
      <c r="CM339" s="222"/>
      <c r="CN339" s="222"/>
      <c r="CO339" s="222"/>
      <c r="CP339" s="222"/>
      <c r="CQ339" s="222"/>
      <c r="CR339" s="222"/>
      <c r="CS339" s="222"/>
    </row>
    <row r="340">
      <c r="A340" s="43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222"/>
      <c r="AP340" s="222"/>
      <c r="AQ340" s="222"/>
      <c r="AR340" s="222"/>
      <c r="AS340" s="222"/>
      <c r="AT340" s="222"/>
      <c r="AU340" s="222"/>
      <c r="AV340" s="222"/>
      <c r="AW340" s="222"/>
      <c r="AX340" s="222"/>
      <c r="AY340" s="222"/>
      <c r="AZ340" s="222"/>
      <c r="BA340" s="222"/>
      <c r="BB340" s="222"/>
      <c r="BC340" s="222"/>
      <c r="BD340" s="222"/>
      <c r="BE340" s="222"/>
      <c r="BF340" s="222"/>
      <c r="BG340" s="222"/>
      <c r="BH340" s="222"/>
      <c r="BI340" s="222"/>
      <c r="BJ340" s="222"/>
      <c r="BK340" s="222"/>
      <c r="BL340" s="222"/>
      <c r="BM340" s="222"/>
      <c r="BN340" s="222"/>
      <c r="BO340" s="222"/>
      <c r="BP340" s="222"/>
      <c r="BQ340" s="222"/>
      <c r="BR340" s="222"/>
      <c r="BS340" s="222"/>
      <c r="BT340" s="222"/>
      <c r="BU340" s="222"/>
      <c r="BV340" s="222"/>
      <c r="BW340" s="222"/>
      <c r="BX340" s="222"/>
      <c r="BY340" s="222"/>
      <c r="BZ340" s="222"/>
      <c r="CA340" s="222"/>
      <c r="CB340" s="222"/>
      <c r="CC340" s="222"/>
      <c r="CD340" s="222"/>
      <c r="CE340" s="222"/>
      <c r="CF340" s="222"/>
      <c r="CG340" s="222"/>
      <c r="CH340" s="222"/>
      <c r="CI340" s="222"/>
      <c r="CJ340" s="222"/>
      <c r="CK340" s="222"/>
      <c r="CL340" s="222"/>
      <c r="CM340" s="222"/>
      <c r="CN340" s="222"/>
      <c r="CO340" s="222"/>
      <c r="CP340" s="222"/>
      <c r="CQ340" s="222"/>
      <c r="CR340" s="222"/>
      <c r="CS340" s="222"/>
    </row>
    <row r="341">
      <c r="A341" s="43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222"/>
      <c r="BH341" s="222"/>
      <c r="BI341" s="222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22"/>
      <c r="BX341" s="222"/>
      <c r="BY341" s="222"/>
      <c r="BZ341" s="222"/>
      <c r="CA341" s="222"/>
      <c r="CB341" s="222"/>
      <c r="CC341" s="222"/>
      <c r="CD341" s="222"/>
      <c r="CE341" s="222"/>
      <c r="CF341" s="222"/>
      <c r="CG341" s="222"/>
      <c r="CH341" s="222"/>
      <c r="CI341" s="222"/>
      <c r="CJ341" s="222"/>
      <c r="CK341" s="222"/>
      <c r="CL341" s="222"/>
      <c r="CM341" s="222"/>
      <c r="CN341" s="222"/>
      <c r="CO341" s="222"/>
      <c r="CP341" s="222"/>
      <c r="CQ341" s="222"/>
      <c r="CR341" s="222"/>
      <c r="CS341" s="222"/>
    </row>
    <row r="342">
      <c r="A342" s="43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222"/>
      <c r="AP342" s="222"/>
      <c r="AQ342" s="222"/>
      <c r="AR342" s="222"/>
      <c r="AS342" s="222"/>
      <c r="AT342" s="222"/>
      <c r="AU342" s="222"/>
      <c r="AV342" s="222"/>
      <c r="AW342" s="222"/>
      <c r="AX342" s="222"/>
      <c r="AY342" s="222"/>
      <c r="AZ342" s="222"/>
      <c r="BA342" s="222"/>
      <c r="BB342" s="222"/>
      <c r="BC342" s="222"/>
      <c r="BD342" s="222"/>
      <c r="BE342" s="222"/>
      <c r="BF342" s="222"/>
      <c r="BG342" s="222"/>
      <c r="BH342" s="222"/>
      <c r="BI342" s="222"/>
      <c r="BJ342" s="222"/>
      <c r="BK342" s="222"/>
      <c r="BL342" s="222"/>
      <c r="BM342" s="222"/>
      <c r="BN342" s="222"/>
      <c r="BO342" s="222"/>
      <c r="BP342" s="222"/>
      <c r="BQ342" s="222"/>
      <c r="BR342" s="222"/>
      <c r="BS342" s="222"/>
      <c r="BT342" s="222"/>
      <c r="BU342" s="222"/>
      <c r="BV342" s="222"/>
      <c r="BW342" s="222"/>
      <c r="BX342" s="222"/>
      <c r="BY342" s="222"/>
      <c r="BZ342" s="222"/>
      <c r="CA342" s="222"/>
      <c r="CB342" s="222"/>
      <c r="CC342" s="222"/>
      <c r="CD342" s="222"/>
      <c r="CE342" s="222"/>
      <c r="CF342" s="222"/>
      <c r="CG342" s="222"/>
      <c r="CH342" s="222"/>
      <c r="CI342" s="222"/>
      <c r="CJ342" s="222"/>
      <c r="CK342" s="222"/>
      <c r="CL342" s="222"/>
      <c r="CM342" s="222"/>
      <c r="CN342" s="222"/>
      <c r="CO342" s="222"/>
      <c r="CP342" s="222"/>
      <c r="CQ342" s="222"/>
      <c r="CR342" s="222"/>
      <c r="CS342" s="222"/>
    </row>
    <row r="343">
      <c r="A343" s="43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222"/>
      <c r="AP343" s="222"/>
      <c r="AQ343" s="222"/>
      <c r="AR343" s="222"/>
      <c r="AS343" s="222"/>
      <c r="AT343" s="222"/>
      <c r="AU343" s="222"/>
      <c r="AV343" s="222"/>
      <c r="AW343" s="222"/>
      <c r="AX343" s="222"/>
      <c r="AY343" s="222"/>
      <c r="AZ343" s="222"/>
      <c r="BA343" s="222"/>
      <c r="BB343" s="222"/>
      <c r="BC343" s="222"/>
      <c r="BD343" s="222"/>
      <c r="BE343" s="222"/>
      <c r="BF343" s="222"/>
      <c r="BG343" s="222"/>
      <c r="BH343" s="222"/>
      <c r="BI343" s="222"/>
      <c r="BJ343" s="222"/>
      <c r="BK343" s="222"/>
      <c r="BL343" s="222"/>
      <c r="BM343" s="222"/>
      <c r="BN343" s="222"/>
      <c r="BO343" s="222"/>
      <c r="BP343" s="222"/>
      <c r="BQ343" s="222"/>
      <c r="BR343" s="222"/>
      <c r="BS343" s="222"/>
      <c r="BT343" s="222"/>
      <c r="BU343" s="222"/>
      <c r="BV343" s="222"/>
      <c r="BW343" s="222"/>
      <c r="BX343" s="222"/>
      <c r="BY343" s="222"/>
      <c r="BZ343" s="222"/>
      <c r="CA343" s="222"/>
      <c r="CB343" s="222"/>
      <c r="CC343" s="222"/>
      <c r="CD343" s="222"/>
      <c r="CE343" s="222"/>
      <c r="CF343" s="222"/>
      <c r="CG343" s="222"/>
      <c r="CH343" s="222"/>
      <c r="CI343" s="222"/>
      <c r="CJ343" s="222"/>
      <c r="CK343" s="222"/>
      <c r="CL343" s="222"/>
      <c r="CM343" s="222"/>
      <c r="CN343" s="222"/>
      <c r="CO343" s="222"/>
      <c r="CP343" s="222"/>
      <c r="CQ343" s="222"/>
      <c r="CR343" s="222"/>
      <c r="CS343" s="222"/>
    </row>
    <row r="344">
      <c r="A344" s="43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222"/>
      <c r="AP344" s="222"/>
      <c r="AQ344" s="222"/>
      <c r="AR344" s="222"/>
      <c r="AS344" s="222"/>
      <c r="AT344" s="222"/>
      <c r="AU344" s="222"/>
      <c r="AV344" s="222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222"/>
      <c r="BH344" s="222"/>
      <c r="BI344" s="222"/>
      <c r="BJ344" s="222"/>
      <c r="BK344" s="222"/>
      <c r="BL344" s="222"/>
      <c r="BM344" s="222"/>
      <c r="BN344" s="222"/>
      <c r="BO344" s="222"/>
      <c r="BP344" s="222"/>
      <c r="BQ344" s="222"/>
      <c r="BR344" s="222"/>
      <c r="BS344" s="222"/>
      <c r="BT344" s="222"/>
      <c r="BU344" s="222"/>
      <c r="BV344" s="222"/>
      <c r="BW344" s="222"/>
      <c r="BX344" s="222"/>
      <c r="BY344" s="222"/>
      <c r="BZ344" s="222"/>
      <c r="CA344" s="222"/>
      <c r="CB344" s="222"/>
      <c r="CC344" s="222"/>
      <c r="CD344" s="222"/>
      <c r="CE344" s="222"/>
      <c r="CF344" s="222"/>
      <c r="CG344" s="222"/>
      <c r="CH344" s="222"/>
      <c r="CI344" s="222"/>
      <c r="CJ344" s="222"/>
      <c r="CK344" s="222"/>
      <c r="CL344" s="222"/>
      <c r="CM344" s="222"/>
      <c r="CN344" s="222"/>
      <c r="CO344" s="222"/>
      <c r="CP344" s="222"/>
      <c r="CQ344" s="222"/>
      <c r="CR344" s="222"/>
      <c r="CS344" s="222"/>
    </row>
    <row r="345">
      <c r="A345" s="43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222"/>
      <c r="AP345" s="222"/>
      <c r="AQ345" s="222"/>
      <c r="AR345" s="222"/>
      <c r="AS345" s="222"/>
      <c r="AT345" s="222"/>
      <c r="AU345" s="222"/>
      <c r="AV345" s="222"/>
      <c r="AW345" s="222"/>
      <c r="AX345" s="222"/>
      <c r="AY345" s="222"/>
      <c r="AZ345" s="222"/>
      <c r="BA345" s="222"/>
      <c r="BB345" s="222"/>
      <c r="BC345" s="222"/>
      <c r="BD345" s="222"/>
      <c r="BE345" s="222"/>
      <c r="BF345" s="222"/>
      <c r="BG345" s="222"/>
      <c r="BH345" s="222"/>
      <c r="BI345" s="222"/>
      <c r="BJ345" s="222"/>
      <c r="BK345" s="222"/>
      <c r="BL345" s="222"/>
      <c r="BM345" s="222"/>
      <c r="BN345" s="222"/>
      <c r="BO345" s="222"/>
      <c r="BP345" s="222"/>
      <c r="BQ345" s="222"/>
      <c r="BR345" s="222"/>
      <c r="BS345" s="222"/>
      <c r="BT345" s="222"/>
      <c r="BU345" s="222"/>
      <c r="BV345" s="222"/>
      <c r="BW345" s="222"/>
      <c r="BX345" s="222"/>
      <c r="BY345" s="222"/>
      <c r="BZ345" s="222"/>
      <c r="CA345" s="222"/>
      <c r="CB345" s="222"/>
      <c r="CC345" s="222"/>
      <c r="CD345" s="222"/>
      <c r="CE345" s="222"/>
      <c r="CF345" s="222"/>
      <c r="CG345" s="222"/>
      <c r="CH345" s="222"/>
      <c r="CI345" s="222"/>
      <c r="CJ345" s="222"/>
      <c r="CK345" s="222"/>
      <c r="CL345" s="222"/>
      <c r="CM345" s="222"/>
      <c r="CN345" s="222"/>
      <c r="CO345" s="222"/>
      <c r="CP345" s="222"/>
      <c r="CQ345" s="222"/>
      <c r="CR345" s="222"/>
      <c r="CS345" s="222"/>
    </row>
    <row r="346">
      <c r="A346" s="43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222"/>
      <c r="AP346" s="222"/>
      <c r="AQ346" s="222"/>
      <c r="AR346" s="222"/>
      <c r="AS346" s="222"/>
      <c r="AT346" s="222"/>
      <c r="AU346" s="222"/>
      <c r="AV346" s="222"/>
      <c r="AW346" s="222"/>
      <c r="AX346" s="222"/>
      <c r="AY346" s="222"/>
      <c r="AZ346" s="222"/>
      <c r="BA346" s="222"/>
      <c r="BB346" s="222"/>
      <c r="BC346" s="222"/>
      <c r="BD346" s="222"/>
      <c r="BE346" s="222"/>
      <c r="BF346" s="222"/>
      <c r="BG346" s="222"/>
      <c r="BH346" s="222"/>
      <c r="BI346" s="222"/>
      <c r="BJ346" s="222"/>
      <c r="BK346" s="222"/>
      <c r="BL346" s="222"/>
      <c r="BM346" s="222"/>
      <c r="BN346" s="222"/>
      <c r="BO346" s="222"/>
      <c r="BP346" s="222"/>
      <c r="BQ346" s="222"/>
      <c r="BR346" s="222"/>
      <c r="BS346" s="222"/>
      <c r="BT346" s="222"/>
      <c r="BU346" s="222"/>
      <c r="BV346" s="222"/>
      <c r="BW346" s="222"/>
      <c r="BX346" s="222"/>
      <c r="BY346" s="222"/>
      <c r="BZ346" s="222"/>
      <c r="CA346" s="222"/>
      <c r="CB346" s="222"/>
      <c r="CC346" s="222"/>
      <c r="CD346" s="222"/>
      <c r="CE346" s="222"/>
      <c r="CF346" s="222"/>
      <c r="CG346" s="222"/>
      <c r="CH346" s="222"/>
      <c r="CI346" s="222"/>
      <c r="CJ346" s="222"/>
      <c r="CK346" s="222"/>
      <c r="CL346" s="222"/>
      <c r="CM346" s="222"/>
      <c r="CN346" s="222"/>
      <c r="CO346" s="222"/>
      <c r="CP346" s="222"/>
      <c r="CQ346" s="222"/>
      <c r="CR346" s="222"/>
      <c r="CS346" s="222"/>
    </row>
    <row r="347">
      <c r="A347" s="43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222"/>
      <c r="AP347" s="222"/>
      <c r="AQ347" s="222"/>
      <c r="AR347" s="222"/>
      <c r="AS347" s="222"/>
      <c r="AT347" s="222"/>
      <c r="AU347" s="222"/>
      <c r="AV347" s="222"/>
      <c r="AW347" s="222"/>
      <c r="AX347" s="222"/>
      <c r="AY347" s="222"/>
      <c r="AZ347" s="222"/>
      <c r="BA347" s="222"/>
      <c r="BB347" s="222"/>
      <c r="BC347" s="222"/>
      <c r="BD347" s="222"/>
      <c r="BE347" s="222"/>
      <c r="BF347" s="222"/>
      <c r="BG347" s="222"/>
      <c r="BH347" s="222"/>
      <c r="BI347" s="222"/>
      <c r="BJ347" s="222"/>
      <c r="BK347" s="222"/>
      <c r="BL347" s="222"/>
      <c r="BM347" s="222"/>
      <c r="BN347" s="222"/>
      <c r="BO347" s="222"/>
      <c r="BP347" s="222"/>
      <c r="BQ347" s="222"/>
      <c r="BR347" s="222"/>
      <c r="BS347" s="222"/>
      <c r="BT347" s="222"/>
      <c r="BU347" s="222"/>
      <c r="BV347" s="222"/>
      <c r="BW347" s="222"/>
      <c r="BX347" s="222"/>
      <c r="BY347" s="222"/>
      <c r="BZ347" s="222"/>
      <c r="CA347" s="222"/>
      <c r="CB347" s="222"/>
      <c r="CC347" s="222"/>
      <c r="CD347" s="222"/>
      <c r="CE347" s="222"/>
      <c r="CF347" s="222"/>
      <c r="CG347" s="222"/>
      <c r="CH347" s="222"/>
      <c r="CI347" s="222"/>
      <c r="CJ347" s="222"/>
      <c r="CK347" s="222"/>
      <c r="CL347" s="222"/>
      <c r="CM347" s="222"/>
      <c r="CN347" s="222"/>
      <c r="CO347" s="222"/>
      <c r="CP347" s="222"/>
      <c r="CQ347" s="222"/>
      <c r="CR347" s="222"/>
      <c r="CS347" s="222"/>
    </row>
    <row r="348">
      <c r="A348" s="43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222"/>
      <c r="AP348" s="222"/>
      <c r="AQ348" s="222"/>
      <c r="AR348" s="222"/>
      <c r="AS348" s="222"/>
      <c r="AT348" s="222"/>
      <c r="AU348" s="222"/>
      <c r="AV348" s="222"/>
      <c r="AW348" s="222"/>
      <c r="AX348" s="222"/>
      <c r="AY348" s="222"/>
      <c r="AZ348" s="222"/>
      <c r="BA348" s="222"/>
      <c r="BB348" s="222"/>
      <c r="BC348" s="222"/>
      <c r="BD348" s="222"/>
      <c r="BE348" s="222"/>
      <c r="BF348" s="222"/>
      <c r="BG348" s="222"/>
      <c r="BH348" s="222"/>
      <c r="BI348" s="222"/>
      <c r="BJ348" s="222"/>
      <c r="BK348" s="222"/>
      <c r="BL348" s="222"/>
      <c r="BM348" s="222"/>
      <c r="BN348" s="222"/>
      <c r="BO348" s="222"/>
      <c r="BP348" s="222"/>
      <c r="BQ348" s="222"/>
      <c r="BR348" s="222"/>
      <c r="BS348" s="222"/>
      <c r="BT348" s="222"/>
      <c r="BU348" s="222"/>
      <c r="BV348" s="222"/>
      <c r="BW348" s="222"/>
      <c r="BX348" s="222"/>
      <c r="BY348" s="222"/>
      <c r="BZ348" s="222"/>
      <c r="CA348" s="222"/>
      <c r="CB348" s="222"/>
      <c r="CC348" s="222"/>
      <c r="CD348" s="222"/>
      <c r="CE348" s="222"/>
      <c r="CF348" s="222"/>
      <c r="CG348" s="222"/>
      <c r="CH348" s="222"/>
      <c r="CI348" s="222"/>
      <c r="CJ348" s="222"/>
      <c r="CK348" s="222"/>
      <c r="CL348" s="222"/>
      <c r="CM348" s="222"/>
      <c r="CN348" s="222"/>
      <c r="CO348" s="222"/>
      <c r="CP348" s="222"/>
      <c r="CQ348" s="222"/>
      <c r="CR348" s="222"/>
      <c r="CS348" s="222"/>
    </row>
    <row r="349">
      <c r="A349" s="43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222"/>
      <c r="AP349" s="222"/>
      <c r="AQ349" s="222"/>
      <c r="AR349" s="222"/>
      <c r="AS349" s="222"/>
      <c r="AT349" s="222"/>
      <c r="AU349" s="222"/>
      <c r="AV349" s="222"/>
      <c r="AW349" s="222"/>
      <c r="AX349" s="222"/>
      <c r="AY349" s="222"/>
      <c r="AZ349" s="222"/>
      <c r="BA349" s="222"/>
      <c r="BB349" s="222"/>
      <c r="BC349" s="222"/>
      <c r="BD349" s="222"/>
      <c r="BE349" s="222"/>
      <c r="BF349" s="222"/>
      <c r="BG349" s="222"/>
      <c r="BH349" s="222"/>
      <c r="BI349" s="222"/>
      <c r="BJ349" s="222"/>
      <c r="BK349" s="222"/>
      <c r="BL349" s="222"/>
      <c r="BM349" s="222"/>
      <c r="BN349" s="222"/>
      <c r="BO349" s="222"/>
      <c r="BP349" s="222"/>
      <c r="BQ349" s="222"/>
      <c r="BR349" s="222"/>
      <c r="BS349" s="222"/>
      <c r="BT349" s="222"/>
      <c r="BU349" s="222"/>
      <c r="BV349" s="222"/>
      <c r="BW349" s="222"/>
      <c r="BX349" s="222"/>
      <c r="BY349" s="222"/>
      <c r="BZ349" s="222"/>
      <c r="CA349" s="222"/>
      <c r="CB349" s="222"/>
      <c r="CC349" s="222"/>
      <c r="CD349" s="222"/>
      <c r="CE349" s="222"/>
      <c r="CF349" s="222"/>
      <c r="CG349" s="222"/>
      <c r="CH349" s="222"/>
      <c r="CI349" s="222"/>
      <c r="CJ349" s="222"/>
      <c r="CK349" s="222"/>
      <c r="CL349" s="222"/>
      <c r="CM349" s="222"/>
      <c r="CN349" s="222"/>
      <c r="CO349" s="222"/>
      <c r="CP349" s="222"/>
      <c r="CQ349" s="222"/>
      <c r="CR349" s="222"/>
      <c r="CS349" s="222"/>
    </row>
    <row r="350">
      <c r="A350" s="43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222"/>
      <c r="AP350" s="222"/>
      <c r="AQ350" s="222"/>
      <c r="AR350" s="222"/>
      <c r="AS350" s="222"/>
      <c r="AT350" s="222"/>
      <c r="AU350" s="222"/>
      <c r="AV350" s="222"/>
      <c r="AW350" s="222"/>
      <c r="AX350" s="222"/>
      <c r="AY350" s="222"/>
      <c r="AZ350" s="222"/>
      <c r="BA350" s="222"/>
      <c r="BB350" s="222"/>
      <c r="BC350" s="222"/>
      <c r="BD350" s="222"/>
      <c r="BE350" s="222"/>
      <c r="BF350" s="222"/>
      <c r="BG350" s="222"/>
      <c r="BH350" s="222"/>
      <c r="BI350" s="222"/>
      <c r="BJ350" s="222"/>
      <c r="BK350" s="222"/>
      <c r="BL350" s="222"/>
      <c r="BM350" s="222"/>
      <c r="BN350" s="222"/>
      <c r="BO350" s="222"/>
      <c r="BP350" s="222"/>
      <c r="BQ350" s="222"/>
      <c r="BR350" s="222"/>
      <c r="BS350" s="222"/>
      <c r="BT350" s="222"/>
      <c r="BU350" s="222"/>
      <c r="BV350" s="222"/>
      <c r="BW350" s="222"/>
      <c r="BX350" s="222"/>
      <c r="BY350" s="222"/>
      <c r="BZ350" s="222"/>
      <c r="CA350" s="222"/>
      <c r="CB350" s="222"/>
      <c r="CC350" s="222"/>
      <c r="CD350" s="222"/>
      <c r="CE350" s="222"/>
      <c r="CF350" s="222"/>
      <c r="CG350" s="222"/>
      <c r="CH350" s="222"/>
      <c r="CI350" s="222"/>
      <c r="CJ350" s="222"/>
      <c r="CK350" s="222"/>
      <c r="CL350" s="222"/>
      <c r="CM350" s="222"/>
      <c r="CN350" s="222"/>
      <c r="CO350" s="222"/>
      <c r="CP350" s="222"/>
      <c r="CQ350" s="222"/>
      <c r="CR350" s="222"/>
      <c r="CS350" s="222"/>
    </row>
    <row r="351">
      <c r="A351" s="43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222"/>
      <c r="AP351" s="222"/>
      <c r="AQ351" s="222"/>
      <c r="AR351" s="222"/>
      <c r="AS351" s="222"/>
      <c r="AT351" s="222"/>
      <c r="AU351" s="222"/>
      <c r="AV351" s="222"/>
      <c r="AW351" s="222"/>
      <c r="AX351" s="222"/>
      <c r="AY351" s="222"/>
      <c r="AZ351" s="222"/>
      <c r="BA351" s="222"/>
      <c r="BB351" s="222"/>
      <c r="BC351" s="222"/>
      <c r="BD351" s="222"/>
      <c r="BE351" s="222"/>
      <c r="BF351" s="222"/>
      <c r="BG351" s="222"/>
      <c r="BH351" s="222"/>
      <c r="BI351" s="222"/>
      <c r="BJ351" s="222"/>
      <c r="BK351" s="222"/>
      <c r="BL351" s="222"/>
      <c r="BM351" s="222"/>
      <c r="BN351" s="222"/>
      <c r="BO351" s="222"/>
      <c r="BP351" s="222"/>
      <c r="BQ351" s="222"/>
      <c r="BR351" s="222"/>
      <c r="BS351" s="222"/>
      <c r="BT351" s="222"/>
      <c r="BU351" s="222"/>
      <c r="BV351" s="222"/>
      <c r="BW351" s="222"/>
      <c r="BX351" s="222"/>
      <c r="BY351" s="222"/>
      <c r="BZ351" s="222"/>
      <c r="CA351" s="222"/>
      <c r="CB351" s="222"/>
      <c r="CC351" s="222"/>
      <c r="CD351" s="222"/>
      <c r="CE351" s="222"/>
      <c r="CF351" s="222"/>
      <c r="CG351" s="222"/>
      <c r="CH351" s="222"/>
      <c r="CI351" s="222"/>
      <c r="CJ351" s="222"/>
      <c r="CK351" s="222"/>
      <c r="CL351" s="222"/>
      <c r="CM351" s="222"/>
      <c r="CN351" s="222"/>
      <c r="CO351" s="222"/>
      <c r="CP351" s="222"/>
      <c r="CQ351" s="222"/>
      <c r="CR351" s="222"/>
      <c r="CS351" s="222"/>
    </row>
    <row r="352">
      <c r="A352" s="43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222"/>
      <c r="AP352" s="222"/>
      <c r="AQ352" s="222"/>
      <c r="AR352" s="222"/>
      <c r="AS352" s="222"/>
      <c r="AT352" s="222"/>
      <c r="AU352" s="222"/>
      <c r="AV352" s="222"/>
      <c r="AW352" s="222"/>
      <c r="AX352" s="222"/>
      <c r="AY352" s="222"/>
      <c r="AZ352" s="222"/>
      <c r="BA352" s="222"/>
      <c r="BB352" s="222"/>
      <c r="BC352" s="222"/>
      <c r="BD352" s="222"/>
      <c r="BE352" s="222"/>
      <c r="BF352" s="222"/>
      <c r="BG352" s="222"/>
      <c r="BH352" s="222"/>
      <c r="BI352" s="222"/>
      <c r="BJ352" s="222"/>
      <c r="BK352" s="222"/>
      <c r="BL352" s="222"/>
      <c r="BM352" s="222"/>
      <c r="BN352" s="222"/>
      <c r="BO352" s="222"/>
      <c r="BP352" s="222"/>
      <c r="BQ352" s="222"/>
      <c r="BR352" s="222"/>
      <c r="BS352" s="222"/>
      <c r="BT352" s="222"/>
      <c r="BU352" s="222"/>
      <c r="BV352" s="222"/>
      <c r="BW352" s="222"/>
      <c r="BX352" s="222"/>
      <c r="BY352" s="222"/>
      <c r="BZ352" s="222"/>
      <c r="CA352" s="222"/>
      <c r="CB352" s="222"/>
      <c r="CC352" s="222"/>
      <c r="CD352" s="222"/>
      <c r="CE352" s="222"/>
      <c r="CF352" s="222"/>
      <c r="CG352" s="222"/>
      <c r="CH352" s="222"/>
      <c r="CI352" s="222"/>
      <c r="CJ352" s="222"/>
      <c r="CK352" s="222"/>
      <c r="CL352" s="222"/>
      <c r="CM352" s="222"/>
      <c r="CN352" s="222"/>
      <c r="CO352" s="222"/>
      <c r="CP352" s="222"/>
      <c r="CQ352" s="222"/>
      <c r="CR352" s="222"/>
      <c r="CS352" s="222"/>
    </row>
    <row r="353">
      <c r="A353" s="43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222"/>
      <c r="AP353" s="222"/>
      <c r="AQ353" s="222"/>
      <c r="AR353" s="222"/>
      <c r="AS353" s="222"/>
      <c r="AT353" s="222"/>
      <c r="AU353" s="222"/>
      <c r="AV353" s="222"/>
      <c r="AW353" s="222"/>
      <c r="AX353" s="222"/>
      <c r="AY353" s="222"/>
      <c r="AZ353" s="222"/>
      <c r="BA353" s="222"/>
      <c r="BB353" s="222"/>
      <c r="BC353" s="222"/>
      <c r="BD353" s="222"/>
      <c r="BE353" s="222"/>
      <c r="BF353" s="222"/>
      <c r="BG353" s="222"/>
      <c r="BH353" s="222"/>
      <c r="BI353" s="222"/>
      <c r="BJ353" s="222"/>
      <c r="BK353" s="222"/>
      <c r="BL353" s="222"/>
      <c r="BM353" s="222"/>
      <c r="BN353" s="222"/>
      <c r="BO353" s="222"/>
      <c r="BP353" s="222"/>
      <c r="BQ353" s="222"/>
      <c r="BR353" s="222"/>
      <c r="BS353" s="222"/>
      <c r="BT353" s="222"/>
      <c r="BU353" s="222"/>
      <c r="BV353" s="222"/>
      <c r="BW353" s="222"/>
      <c r="BX353" s="222"/>
      <c r="BY353" s="222"/>
      <c r="BZ353" s="222"/>
      <c r="CA353" s="222"/>
      <c r="CB353" s="222"/>
      <c r="CC353" s="222"/>
      <c r="CD353" s="222"/>
      <c r="CE353" s="222"/>
      <c r="CF353" s="222"/>
      <c r="CG353" s="222"/>
      <c r="CH353" s="222"/>
      <c r="CI353" s="222"/>
      <c r="CJ353" s="222"/>
      <c r="CK353" s="222"/>
      <c r="CL353" s="222"/>
      <c r="CM353" s="222"/>
      <c r="CN353" s="222"/>
      <c r="CO353" s="222"/>
      <c r="CP353" s="222"/>
      <c r="CQ353" s="222"/>
      <c r="CR353" s="222"/>
      <c r="CS353" s="222"/>
    </row>
    <row r="354">
      <c r="A354" s="43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222"/>
      <c r="AP354" s="222"/>
      <c r="AQ354" s="222"/>
      <c r="AR354" s="222"/>
      <c r="AS354" s="222"/>
      <c r="AT354" s="222"/>
      <c r="AU354" s="222"/>
      <c r="AV354" s="222"/>
      <c r="AW354" s="222"/>
      <c r="AX354" s="222"/>
      <c r="AY354" s="222"/>
      <c r="AZ354" s="222"/>
      <c r="BA354" s="222"/>
      <c r="BB354" s="222"/>
      <c r="BC354" s="222"/>
      <c r="BD354" s="222"/>
      <c r="BE354" s="222"/>
      <c r="BF354" s="222"/>
      <c r="BG354" s="222"/>
      <c r="BH354" s="222"/>
      <c r="BI354" s="222"/>
      <c r="BJ354" s="222"/>
      <c r="BK354" s="222"/>
      <c r="BL354" s="222"/>
      <c r="BM354" s="222"/>
      <c r="BN354" s="222"/>
      <c r="BO354" s="222"/>
      <c r="BP354" s="222"/>
      <c r="BQ354" s="222"/>
      <c r="BR354" s="222"/>
      <c r="BS354" s="222"/>
      <c r="BT354" s="222"/>
      <c r="BU354" s="222"/>
      <c r="BV354" s="222"/>
      <c r="BW354" s="222"/>
      <c r="BX354" s="222"/>
      <c r="BY354" s="222"/>
      <c r="BZ354" s="222"/>
      <c r="CA354" s="222"/>
      <c r="CB354" s="222"/>
      <c r="CC354" s="222"/>
      <c r="CD354" s="222"/>
      <c r="CE354" s="222"/>
      <c r="CF354" s="222"/>
      <c r="CG354" s="222"/>
      <c r="CH354" s="222"/>
      <c r="CI354" s="222"/>
      <c r="CJ354" s="222"/>
      <c r="CK354" s="222"/>
      <c r="CL354" s="222"/>
      <c r="CM354" s="222"/>
      <c r="CN354" s="222"/>
      <c r="CO354" s="222"/>
      <c r="CP354" s="222"/>
      <c r="CQ354" s="222"/>
      <c r="CR354" s="222"/>
      <c r="CS354" s="222"/>
    </row>
    <row r="355">
      <c r="A355" s="43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  <c r="AC355" s="222"/>
      <c r="AD355" s="222"/>
      <c r="AE355" s="222"/>
      <c r="AF355" s="222"/>
      <c r="AG355" s="222"/>
      <c r="AH355" s="222"/>
      <c r="AI355" s="222"/>
      <c r="AJ355" s="222"/>
      <c r="AK355" s="222"/>
      <c r="AL355" s="222"/>
      <c r="AM355" s="222"/>
      <c r="AN355" s="222"/>
      <c r="AO355" s="222"/>
      <c r="AP355" s="222"/>
      <c r="AQ355" s="222"/>
      <c r="AR355" s="222"/>
      <c r="AS355" s="222"/>
      <c r="AT355" s="222"/>
      <c r="AU355" s="222"/>
      <c r="AV355" s="222"/>
      <c r="AW355" s="222"/>
      <c r="AX355" s="222"/>
      <c r="AY355" s="222"/>
      <c r="AZ355" s="222"/>
      <c r="BA355" s="222"/>
      <c r="BB355" s="222"/>
      <c r="BC355" s="222"/>
      <c r="BD355" s="222"/>
      <c r="BE355" s="222"/>
      <c r="BF355" s="222"/>
      <c r="BG355" s="222"/>
      <c r="BH355" s="222"/>
      <c r="BI355" s="222"/>
      <c r="BJ355" s="222"/>
      <c r="BK355" s="222"/>
      <c r="BL355" s="222"/>
      <c r="BM355" s="222"/>
      <c r="BN355" s="222"/>
      <c r="BO355" s="222"/>
      <c r="BP355" s="222"/>
      <c r="BQ355" s="222"/>
      <c r="BR355" s="222"/>
      <c r="BS355" s="222"/>
      <c r="BT355" s="222"/>
      <c r="BU355" s="222"/>
      <c r="BV355" s="222"/>
      <c r="BW355" s="222"/>
      <c r="BX355" s="222"/>
      <c r="BY355" s="222"/>
      <c r="BZ355" s="222"/>
      <c r="CA355" s="222"/>
      <c r="CB355" s="222"/>
      <c r="CC355" s="222"/>
      <c r="CD355" s="222"/>
      <c r="CE355" s="222"/>
      <c r="CF355" s="222"/>
      <c r="CG355" s="222"/>
      <c r="CH355" s="222"/>
      <c r="CI355" s="222"/>
      <c r="CJ355" s="222"/>
      <c r="CK355" s="222"/>
      <c r="CL355" s="222"/>
      <c r="CM355" s="222"/>
      <c r="CN355" s="222"/>
      <c r="CO355" s="222"/>
      <c r="CP355" s="222"/>
      <c r="CQ355" s="222"/>
      <c r="CR355" s="222"/>
      <c r="CS355" s="222"/>
    </row>
    <row r="356">
      <c r="A356" s="43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  <c r="AC356" s="222"/>
      <c r="AD356" s="222"/>
      <c r="AE356" s="222"/>
      <c r="AF356" s="222"/>
      <c r="AG356" s="222"/>
      <c r="AH356" s="222"/>
      <c r="AI356" s="222"/>
      <c r="AJ356" s="222"/>
      <c r="AK356" s="222"/>
      <c r="AL356" s="222"/>
      <c r="AM356" s="222"/>
      <c r="AN356" s="222"/>
      <c r="AO356" s="222"/>
      <c r="AP356" s="222"/>
      <c r="AQ356" s="222"/>
      <c r="AR356" s="222"/>
      <c r="AS356" s="222"/>
      <c r="AT356" s="222"/>
      <c r="AU356" s="222"/>
      <c r="AV356" s="222"/>
      <c r="AW356" s="222"/>
      <c r="AX356" s="222"/>
      <c r="AY356" s="222"/>
      <c r="AZ356" s="222"/>
      <c r="BA356" s="222"/>
      <c r="BB356" s="222"/>
      <c r="BC356" s="222"/>
      <c r="BD356" s="222"/>
      <c r="BE356" s="222"/>
      <c r="BF356" s="222"/>
      <c r="BG356" s="222"/>
      <c r="BH356" s="222"/>
      <c r="BI356" s="222"/>
      <c r="BJ356" s="222"/>
      <c r="BK356" s="222"/>
      <c r="BL356" s="222"/>
      <c r="BM356" s="222"/>
      <c r="BN356" s="222"/>
      <c r="BO356" s="222"/>
      <c r="BP356" s="222"/>
      <c r="BQ356" s="222"/>
      <c r="BR356" s="222"/>
      <c r="BS356" s="222"/>
      <c r="BT356" s="222"/>
      <c r="BU356" s="222"/>
      <c r="BV356" s="222"/>
      <c r="BW356" s="222"/>
      <c r="BX356" s="222"/>
      <c r="BY356" s="222"/>
      <c r="BZ356" s="222"/>
      <c r="CA356" s="222"/>
      <c r="CB356" s="222"/>
      <c r="CC356" s="222"/>
      <c r="CD356" s="222"/>
      <c r="CE356" s="222"/>
      <c r="CF356" s="222"/>
      <c r="CG356" s="222"/>
      <c r="CH356" s="222"/>
      <c r="CI356" s="222"/>
      <c r="CJ356" s="222"/>
      <c r="CK356" s="222"/>
      <c r="CL356" s="222"/>
      <c r="CM356" s="222"/>
      <c r="CN356" s="222"/>
      <c r="CO356" s="222"/>
      <c r="CP356" s="222"/>
      <c r="CQ356" s="222"/>
      <c r="CR356" s="222"/>
      <c r="CS356" s="222"/>
    </row>
    <row r="357">
      <c r="A357" s="43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  <c r="AC357" s="222"/>
      <c r="AD357" s="222"/>
      <c r="AE357" s="222"/>
      <c r="AF357" s="222"/>
      <c r="AG357" s="222"/>
      <c r="AH357" s="222"/>
      <c r="AI357" s="222"/>
      <c r="AJ357" s="222"/>
      <c r="AK357" s="222"/>
      <c r="AL357" s="222"/>
      <c r="AM357" s="222"/>
      <c r="AN357" s="222"/>
      <c r="AO357" s="222"/>
      <c r="AP357" s="222"/>
      <c r="AQ357" s="222"/>
      <c r="AR357" s="222"/>
      <c r="AS357" s="222"/>
      <c r="AT357" s="222"/>
      <c r="AU357" s="222"/>
      <c r="AV357" s="222"/>
      <c r="AW357" s="222"/>
      <c r="AX357" s="222"/>
      <c r="AY357" s="222"/>
      <c r="AZ357" s="222"/>
      <c r="BA357" s="222"/>
      <c r="BB357" s="222"/>
      <c r="BC357" s="222"/>
      <c r="BD357" s="222"/>
      <c r="BE357" s="222"/>
      <c r="BF357" s="222"/>
      <c r="BG357" s="222"/>
      <c r="BH357" s="222"/>
      <c r="BI357" s="222"/>
      <c r="BJ357" s="222"/>
      <c r="BK357" s="222"/>
      <c r="BL357" s="222"/>
      <c r="BM357" s="222"/>
      <c r="BN357" s="222"/>
      <c r="BO357" s="222"/>
      <c r="BP357" s="222"/>
      <c r="BQ357" s="222"/>
      <c r="BR357" s="222"/>
      <c r="BS357" s="222"/>
      <c r="BT357" s="222"/>
      <c r="BU357" s="222"/>
      <c r="BV357" s="222"/>
      <c r="BW357" s="222"/>
      <c r="BX357" s="222"/>
      <c r="BY357" s="222"/>
      <c r="BZ357" s="222"/>
      <c r="CA357" s="222"/>
      <c r="CB357" s="222"/>
      <c r="CC357" s="222"/>
      <c r="CD357" s="222"/>
      <c r="CE357" s="222"/>
      <c r="CF357" s="222"/>
      <c r="CG357" s="222"/>
      <c r="CH357" s="222"/>
      <c r="CI357" s="222"/>
      <c r="CJ357" s="222"/>
      <c r="CK357" s="222"/>
      <c r="CL357" s="222"/>
      <c r="CM357" s="222"/>
      <c r="CN357" s="222"/>
      <c r="CO357" s="222"/>
      <c r="CP357" s="222"/>
      <c r="CQ357" s="222"/>
      <c r="CR357" s="222"/>
      <c r="CS357" s="222"/>
    </row>
    <row r="358">
      <c r="A358" s="43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  <c r="AC358" s="222"/>
      <c r="AD358" s="222"/>
      <c r="AE358" s="222"/>
      <c r="AF358" s="222"/>
      <c r="AG358" s="222"/>
      <c r="AH358" s="222"/>
      <c r="AI358" s="222"/>
      <c r="AJ358" s="222"/>
      <c r="AK358" s="222"/>
      <c r="AL358" s="222"/>
      <c r="AM358" s="222"/>
      <c r="AN358" s="222"/>
      <c r="AO358" s="222"/>
      <c r="AP358" s="222"/>
      <c r="AQ358" s="222"/>
      <c r="AR358" s="222"/>
      <c r="AS358" s="222"/>
      <c r="AT358" s="222"/>
      <c r="AU358" s="222"/>
      <c r="AV358" s="222"/>
      <c r="AW358" s="222"/>
      <c r="AX358" s="222"/>
      <c r="AY358" s="222"/>
      <c r="AZ358" s="222"/>
      <c r="BA358" s="222"/>
      <c r="BB358" s="222"/>
      <c r="BC358" s="222"/>
      <c r="BD358" s="222"/>
      <c r="BE358" s="222"/>
      <c r="BF358" s="222"/>
      <c r="BG358" s="222"/>
      <c r="BH358" s="222"/>
      <c r="BI358" s="222"/>
      <c r="BJ358" s="222"/>
      <c r="BK358" s="222"/>
      <c r="BL358" s="222"/>
      <c r="BM358" s="222"/>
      <c r="BN358" s="222"/>
      <c r="BO358" s="222"/>
      <c r="BP358" s="222"/>
      <c r="BQ358" s="222"/>
      <c r="BR358" s="222"/>
      <c r="BS358" s="222"/>
      <c r="BT358" s="222"/>
      <c r="BU358" s="222"/>
      <c r="BV358" s="222"/>
      <c r="BW358" s="222"/>
      <c r="BX358" s="222"/>
      <c r="BY358" s="222"/>
      <c r="BZ358" s="222"/>
      <c r="CA358" s="222"/>
      <c r="CB358" s="222"/>
      <c r="CC358" s="222"/>
      <c r="CD358" s="222"/>
      <c r="CE358" s="222"/>
      <c r="CF358" s="222"/>
      <c r="CG358" s="222"/>
      <c r="CH358" s="222"/>
      <c r="CI358" s="222"/>
      <c r="CJ358" s="222"/>
      <c r="CK358" s="222"/>
      <c r="CL358" s="222"/>
      <c r="CM358" s="222"/>
      <c r="CN358" s="222"/>
      <c r="CO358" s="222"/>
      <c r="CP358" s="222"/>
      <c r="CQ358" s="222"/>
      <c r="CR358" s="222"/>
      <c r="CS358" s="222"/>
    </row>
    <row r="359">
      <c r="A359" s="43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  <c r="AC359" s="222"/>
      <c r="AD359" s="222"/>
      <c r="AE359" s="222"/>
      <c r="AF359" s="222"/>
      <c r="AG359" s="222"/>
      <c r="AH359" s="222"/>
      <c r="AI359" s="222"/>
      <c r="AJ359" s="222"/>
      <c r="AK359" s="222"/>
      <c r="AL359" s="222"/>
      <c r="AM359" s="222"/>
      <c r="AN359" s="222"/>
      <c r="AO359" s="222"/>
      <c r="AP359" s="222"/>
      <c r="AQ359" s="222"/>
      <c r="AR359" s="222"/>
      <c r="AS359" s="222"/>
      <c r="AT359" s="222"/>
      <c r="AU359" s="222"/>
      <c r="AV359" s="222"/>
      <c r="AW359" s="222"/>
      <c r="AX359" s="222"/>
      <c r="AY359" s="222"/>
      <c r="AZ359" s="222"/>
      <c r="BA359" s="222"/>
      <c r="BB359" s="222"/>
      <c r="BC359" s="222"/>
      <c r="BD359" s="222"/>
      <c r="BE359" s="222"/>
      <c r="BF359" s="222"/>
      <c r="BG359" s="222"/>
      <c r="BH359" s="222"/>
      <c r="BI359" s="222"/>
      <c r="BJ359" s="222"/>
      <c r="BK359" s="222"/>
      <c r="BL359" s="222"/>
      <c r="BM359" s="222"/>
      <c r="BN359" s="222"/>
      <c r="BO359" s="222"/>
      <c r="BP359" s="222"/>
      <c r="BQ359" s="222"/>
      <c r="BR359" s="222"/>
      <c r="BS359" s="222"/>
      <c r="BT359" s="222"/>
      <c r="BU359" s="222"/>
      <c r="BV359" s="222"/>
      <c r="BW359" s="222"/>
      <c r="BX359" s="222"/>
      <c r="BY359" s="222"/>
      <c r="BZ359" s="222"/>
      <c r="CA359" s="222"/>
      <c r="CB359" s="222"/>
      <c r="CC359" s="222"/>
      <c r="CD359" s="222"/>
      <c r="CE359" s="222"/>
      <c r="CF359" s="222"/>
      <c r="CG359" s="222"/>
      <c r="CH359" s="222"/>
      <c r="CI359" s="222"/>
      <c r="CJ359" s="222"/>
      <c r="CK359" s="222"/>
      <c r="CL359" s="222"/>
      <c r="CM359" s="222"/>
      <c r="CN359" s="222"/>
      <c r="CO359" s="222"/>
      <c r="CP359" s="222"/>
      <c r="CQ359" s="222"/>
      <c r="CR359" s="222"/>
      <c r="CS359" s="222"/>
    </row>
    <row r="360">
      <c r="A360" s="43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  <c r="AC360" s="222"/>
      <c r="AD360" s="222"/>
      <c r="AE360" s="222"/>
      <c r="AF360" s="222"/>
      <c r="AG360" s="222"/>
      <c r="AH360" s="222"/>
      <c r="AI360" s="222"/>
      <c r="AJ360" s="222"/>
      <c r="AK360" s="222"/>
      <c r="AL360" s="222"/>
      <c r="AM360" s="222"/>
      <c r="AN360" s="222"/>
      <c r="AO360" s="222"/>
      <c r="AP360" s="222"/>
      <c r="AQ360" s="222"/>
      <c r="AR360" s="222"/>
      <c r="AS360" s="222"/>
      <c r="AT360" s="222"/>
      <c r="AU360" s="222"/>
      <c r="AV360" s="222"/>
      <c r="AW360" s="222"/>
      <c r="AX360" s="222"/>
      <c r="AY360" s="222"/>
      <c r="AZ360" s="222"/>
      <c r="BA360" s="222"/>
      <c r="BB360" s="222"/>
      <c r="BC360" s="222"/>
      <c r="BD360" s="222"/>
      <c r="BE360" s="222"/>
      <c r="BF360" s="222"/>
      <c r="BG360" s="222"/>
      <c r="BH360" s="222"/>
      <c r="BI360" s="222"/>
      <c r="BJ360" s="222"/>
      <c r="BK360" s="222"/>
      <c r="BL360" s="222"/>
      <c r="BM360" s="222"/>
      <c r="BN360" s="222"/>
      <c r="BO360" s="222"/>
      <c r="BP360" s="222"/>
      <c r="BQ360" s="222"/>
      <c r="BR360" s="222"/>
      <c r="BS360" s="222"/>
      <c r="BT360" s="222"/>
      <c r="BU360" s="222"/>
      <c r="BV360" s="222"/>
      <c r="BW360" s="222"/>
      <c r="BX360" s="222"/>
      <c r="BY360" s="222"/>
      <c r="BZ360" s="222"/>
      <c r="CA360" s="222"/>
      <c r="CB360" s="222"/>
      <c r="CC360" s="222"/>
      <c r="CD360" s="222"/>
      <c r="CE360" s="222"/>
      <c r="CF360" s="222"/>
      <c r="CG360" s="222"/>
      <c r="CH360" s="222"/>
      <c r="CI360" s="222"/>
      <c r="CJ360" s="222"/>
      <c r="CK360" s="222"/>
      <c r="CL360" s="222"/>
      <c r="CM360" s="222"/>
      <c r="CN360" s="222"/>
      <c r="CO360" s="222"/>
      <c r="CP360" s="222"/>
      <c r="CQ360" s="222"/>
      <c r="CR360" s="222"/>
      <c r="CS360" s="222"/>
    </row>
    <row r="361">
      <c r="A361" s="43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  <c r="AC361" s="222"/>
      <c r="AD361" s="222"/>
      <c r="AE361" s="222"/>
      <c r="AF361" s="222"/>
      <c r="AG361" s="222"/>
      <c r="AH361" s="222"/>
      <c r="AI361" s="222"/>
      <c r="AJ361" s="222"/>
      <c r="AK361" s="222"/>
      <c r="AL361" s="222"/>
      <c r="AM361" s="222"/>
      <c r="AN361" s="222"/>
      <c r="AO361" s="222"/>
      <c r="AP361" s="222"/>
      <c r="AQ361" s="222"/>
      <c r="AR361" s="222"/>
      <c r="AS361" s="222"/>
      <c r="AT361" s="222"/>
      <c r="AU361" s="222"/>
      <c r="AV361" s="222"/>
      <c r="AW361" s="222"/>
      <c r="AX361" s="222"/>
      <c r="AY361" s="222"/>
      <c r="AZ361" s="222"/>
      <c r="BA361" s="222"/>
      <c r="BB361" s="222"/>
      <c r="BC361" s="222"/>
      <c r="BD361" s="222"/>
      <c r="BE361" s="222"/>
      <c r="BF361" s="222"/>
      <c r="BG361" s="222"/>
      <c r="BH361" s="222"/>
      <c r="BI361" s="222"/>
      <c r="BJ361" s="222"/>
      <c r="BK361" s="222"/>
      <c r="BL361" s="222"/>
      <c r="BM361" s="222"/>
      <c r="BN361" s="222"/>
      <c r="BO361" s="222"/>
      <c r="BP361" s="222"/>
      <c r="BQ361" s="222"/>
      <c r="BR361" s="222"/>
      <c r="BS361" s="222"/>
      <c r="BT361" s="222"/>
      <c r="BU361" s="222"/>
      <c r="BV361" s="222"/>
      <c r="BW361" s="222"/>
      <c r="BX361" s="222"/>
      <c r="BY361" s="222"/>
      <c r="BZ361" s="222"/>
      <c r="CA361" s="222"/>
      <c r="CB361" s="222"/>
      <c r="CC361" s="222"/>
      <c r="CD361" s="222"/>
      <c r="CE361" s="222"/>
      <c r="CF361" s="222"/>
      <c r="CG361" s="222"/>
      <c r="CH361" s="222"/>
      <c r="CI361" s="222"/>
      <c r="CJ361" s="222"/>
      <c r="CK361" s="222"/>
      <c r="CL361" s="222"/>
      <c r="CM361" s="222"/>
      <c r="CN361" s="222"/>
      <c r="CO361" s="222"/>
      <c r="CP361" s="222"/>
      <c r="CQ361" s="222"/>
      <c r="CR361" s="222"/>
      <c r="CS361" s="222"/>
    </row>
    <row r="362">
      <c r="A362" s="43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  <c r="AC362" s="222"/>
      <c r="AD362" s="222"/>
      <c r="AE362" s="222"/>
      <c r="AF362" s="222"/>
      <c r="AG362" s="222"/>
      <c r="AH362" s="222"/>
      <c r="AI362" s="222"/>
      <c r="AJ362" s="222"/>
      <c r="AK362" s="222"/>
      <c r="AL362" s="222"/>
      <c r="AM362" s="222"/>
      <c r="AN362" s="222"/>
      <c r="AO362" s="222"/>
      <c r="AP362" s="222"/>
      <c r="AQ362" s="222"/>
      <c r="AR362" s="222"/>
      <c r="AS362" s="222"/>
      <c r="AT362" s="222"/>
      <c r="AU362" s="222"/>
      <c r="AV362" s="222"/>
      <c r="AW362" s="222"/>
      <c r="AX362" s="222"/>
      <c r="AY362" s="222"/>
      <c r="AZ362" s="222"/>
      <c r="BA362" s="222"/>
      <c r="BB362" s="222"/>
      <c r="BC362" s="222"/>
      <c r="BD362" s="222"/>
      <c r="BE362" s="222"/>
      <c r="BF362" s="222"/>
      <c r="BG362" s="222"/>
      <c r="BH362" s="222"/>
      <c r="BI362" s="222"/>
      <c r="BJ362" s="222"/>
      <c r="BK362" s="222"/>
      <c r="BL362" s="222"/>
      <c r="BM362" s="222"/>
      <c r="BN362" s="222"/>
      <c r="BO362" s="222"/>
      <c r="BP362" s="222"/>
      <c r="BQ362" s="222"/>
      <c r="BR362" s="222"/>
      <c r="BS362" s="222"/>
      <c r="BT362" s="222"/>
      <c r="BU362" s="222"/>
      <c r="BV362" s="222"/>
      <c r="BW362" s="222"/>
      <c r="BX362" s="222"/>
      <c r="BY362" s="222"/>
      <c r="BZ362" s="222"/>
      <c r="CA362" s="222"/>
      <c r="CB362" s="222"/>
      <c r="CC362" s="222"/>
      <c r="CD362" s="222"/>
      <c r="CE362" s="222"/>
      <c r="CF362" s="222"/>
      <c r="CG362" s="222"/>
      <c r="CH362" s="222"/>
      <c r="CI362" s="222"/>
      <c r="CJ362" s="222"/>
      <c r="CK362" s="222"/>
      <c r="CL362" s="222"/>
      <c r="CM362" s="222"/>
      <c r="CN362" s="222"/>
      <c r="CO362" s="222"/>
      <c r="CP362" s="222"/>
      <c r="CQ362" s="222"/>
      <c r="CR362" s="222"/>
      <c r="CS362" s="222"/>
    </row>
    <row r="363">
      <c r="A363" s="43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  <c r="AC363" s="222"/>
      <c r="AD363" s="222"/>
      <c r="AE363" s="222"/>
      <c r="AF363" s="222"/>
      <c r="AG363" s="222"/>
      <c r="AH363" s="222"/>
      <c r="AI363" s="222"/>
      <c r="AJ363" s="222"/>
      <c r="AK363" s="222"/>
      <c r="AL363" s="222"/>
      <c r="AM363" s="222"/>
      <c r="AN363" s="222"/>
      <c r="AO363" s="222"/>
      <c r="AP363" s="222"/>
      <c r="AQ363" s="222"/>
      <c r="AR363" s="222"/>
      <c r="AS363" s="222"/>
      <c r="AT363" s="222"/>
      <c r="AU363" s="222"/>
      <c r="AV363" s="222"/>
      <c r="AW363" s="222"/>
      <c r="AX363" s="222"/>
      <c r="AY363" s="222"/>
      <c r="AZ363" s="222"/>
      <c r="BA363" s="222"/>
      <c r="BB363" s="222"/>
      <c r="BC363" s="222"/>
      <c r="BD363" s="222"/>
      <c r="BE363" s="222"/>
      <c r="BF363" s="222"/>
      <c r="BG363" s="222"/>
      <c r="BH363" s="222"/>
      <c r="BI363" s="222"/>
      <c r="BJ363" s="222"/>
      <c r="BK363" s="222"/>
      <c r="BL363" s="222"/>
      <c r="BM363" s="222"/>
      <c r="BN363" s="222"/>
      <c r="BO363" s="222"/>
      <c r="BP363" s="222"/>
      <c r="BQ363" s="222"/>
      <c r="BR363" s="222"/>
      <c r="BS363" s="222"/>
      <c r="BT363" s="222"/>
      <c r="BU363" s="222"/>
      <c r="BV363" s="222"/>
      <c r="BW363" s="222"/>
      <c r="BX363" s="222"/>
      <c r="BY363" s="222"/>
      <c r="BZ363" s="222"/>
      <c r="CA363" s="222"/>
      <c r="CB363" s="222"/>
      <c r="CC363" s="222"/>
      <c r="CD363" s="222"/>
      <c r="CE363" s="222"/>
      <c r="CF363" s="222"/>
      <c r="CG363" s="222"/>
      <c r="CH363" s="222"/>
      <c r="CI363" s="222"/>
      <c r="CJ363" s="222"/>
      <c r="CK363" s="222"/>
      <c r="CL363" s="222"/>
      <c r="CM363" s="222"/>
      <c r="CN363" s="222"/>
      <c r="CO363" s="222"/>
      <c r="CP363" s="222"/>
      <c r="CQ363" s="222"/>
      <c r="CR363" s="222"/>
      <c r="CS363" s="222"/>
    </row>
    <row r="364">
      <c r="A364" s="43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  <c r="AC364" s="222"/>
      <c r="AD364" s="222"/>
      <c r="AE364" s="222"/>
      <c r="AF364" s="222"/>
      <c r="AG364" s="222"/>
      <c r="AH364" s="222"/>
      <c r="AI364" s="222"/>
      <c r="AJ364" s="222"/>
      <c r="AK364" s="222"/>
      <c r="AL364" s="222"/>
      <c r="AM364" s="222"/>
      <c r="AN364" s="222"/>
      <c r="AO364" s="222"/>
      <c r="AP364" s="222"/>
      <c r="AQ364" s="222"/>
      <c r="AR364" s="222"/>
      <c r="AS364" s="222"/>
      <c r="AT364" s="222"/>
      <c r="AU364" s="222"/>
      <c r="AV364" s="222"/>
      <c r="AW364" s="222"/>
      <c r="AX364" s="222"/>
      <c r="AY364" s="222"/>
      <c r="AZ364" s="222"/>
      <c r="BA364" s="222"/>
      <c r="BB364" s="222"/>
      <c r="BC364" s="222"/>
      <c r="BD364" s="222"/>
      <c r="BE364" s="222"/>
      <c r="BF364" s="222"/>
      <c r="BG364" s="222"/>
      <c r="BH364" s="222"/>
      <c r="BI364" s="222"/>
      <c r="BJ364" s="222"/>
      <c r="BK364" s="222"/>
      <c r="BL364" s="222"/>
      <c r="BM364" s="222"/>
      <c r="BN364" s="222"/>
      <c r="BO364" s="222"/>
      <c r="BP364" s="222"/>
      <c r="BQ364" s="222"/>
      <c r="BR364" s="222"/>
      <c r="BS364" s="222"/>
      <c r="BT364" s="222"/>
      <c r="BU364" s="222"/>
      <c r="BV364" s="222"/>
      <c r="BW364" s="222"/>
      <c r="BX364" s="222"/>
      <c r="BY364" s="222"/>
      <c r="BZ364" s="222"/>
      <c r="CA364" s="222"/>
      <c r="CB364" s="222"/>
      <c r="CC364" s="222"/>
      <c r="CD364" s="222"/>
      <c r="CE364" s="222"/>
      <c r="CF364" s="222"/>
      <c r="CG364" s="222"/>
      <c r="CH364" s="222"/>
      <c r="CI364" s="222"/>
      <c r="CJ364" s="222"/>
      <c r="CK364" s="222"/>
      <c r="CL364" s="222"/>
      <c r="CM364" s="222"/>
      <c r="CN364" s="222"/>
      <c r="CO364" s="222"/>
      <c r="CP364" s="222"/>
      <c r="CQ364" s="222"/>
      <c r="CR364" s="222"/>
      <c r="CS364" s="222"/>
    </row>
    <row r="365">
      <c r="A365" s="43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  <c r="AC365" s="222"/>
      <c r="AD365" s="222"/>
      <c r="AE365" s="222"/>
      <c r="AF365" s="222"/>
      <c r="AG365" s="222"/>
      <c r="AH365" s="222"/>
      <c r="AI365" s="222"/>
      <c r="AJ365" s="222"/>
      <c r="AK365" s="222"/>
      <c r="AL365" s="222"/>
      <c r="AM365" s="222"/>
      <c r="AN365" s="222"/>
      <c r="AO365" s="222"/>
      <c r="AP365" s="222"/>
      <c r="AQ365" s="222"/>
      <c r="AR365" s="222"/>
      <c r="AS365" s="222"/>
      <c r="AT365" s="222"/>
      <c r="AU365" s="222"/>
      <c r="AV365" s="222"/>
      <c r="AW365" s="222"/>
      <c r="AX365" s="222"/>
      <c r="AY365" s="222"/>
      <c r="AZ365" s="222"/>
      <c r="BA365" s="222"/>
      <c r="BB365" s="222"/>
      <c r="BC365" s="222"/>
      <c r="BD365" s="222"/>
      <c r="BE365" s="222"/>
      <c r="BF365" s="222"/>
      <c r="BG365" s="222"/>
      <c r="BH365" s="222"/>
      <c r="BI365" s="222"/>
      <c r="BJ365" s="222"/>
      <c r="BK365" s="222"/>
      <c r="BL365" s="222"/>
      <c r="BM365" s="222"/>
      <c r="BN365" s="222"/>
      <c r="BO365" s="222"/>
      <c r="BP365" s="222"/>
      <c r="BQ365" s="222"/>
      <c r="BR365" s="222"/>
      <c r="BS365" s="222"/>
      <c r="BT365" s="222"/>
      <c r="BU365" s="222"/>
      <c r="BV365" s="222"/>
      <c r="BW365" s="222"/>
      <c r="BX365" s="222"/>
      <c r="BY365" s="222"/>
      <c r="BZ365" s="222"/>
      <c r="CA365" s="222"/>
      <c r="CB365" s="222"/>
      <c r="CC365" s="222"/>
      <c r="CD365" s="222"/>
      <c r="CE365" s="222"/>
      <c r="CF365" s="222"/>
      <c r="CG365" s="222"/>
      <c r="CH365" s="222"/>
      <c r="CI365" s="222"/>
      <c r="CJ365" s="222"/>
      <c r="CK365" s="222"/>
      <c r="CL365" s="222"/>
      <c r="CM365" s="222"/>
      <c r="CN365" s="222"/>
      <c r="CO365" s="222"/>
      <c r="CP365" s="222"/>
      <c r="CQ365" s="222"/>
      <c r="CR365" s="222"/>
      <c r="CS365" s="222"/>
    </row>
    <row r="366">
      <c r="A366" s="43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  <c r="AC366" s="222"/>
      <c r="AD366" s="222"/>
      <c r="AE366" s="222"/>
      <c r="AF366" s="222"/>
      <c r="AG366" s="222"/>
      <c r="AH366" s="222"/>
      <c r="AI366" s="222"/>
      <c r="AJ366" s="222"/>
      <c r="AK366" s="222"/>
      <c r="AL366" s="222"/>
      <c r="AM366" s="222"/>
      <c r="AN366" s="222"/>
      <c r="AO366" s="222"/>
      <c r="AP366" s="222"/>
      <c r="AQ366" s="222"/>
      <c r="AR366" s="222"/>
      <c r="AS366" s="222"/>
      <c r="AT366" s="222"/>
      <c r="AU366" s="222"/>
      <c r="AV366" s="222"/>
      <c r="AW366" s="222"/>
      <c r="AX366" s="222"/>
      <c r="AY366" s="222"/>
      <c r="AZ366" s="222"/>
      <c r="BA366" s="222"/>
      <c r="BB366" s="222"/>
      <c r="BC366" s="222"/>
      <c r="BD366" s="222"/>
      <c r="BE366" s="222"/>
      <c r="BF366" s="222"/>
      <c r="BG366" s="222"/>
      <c r="BH366" s="222"/>
      <c r="BI366" s="222"/>
      <c r="BJ366" s="222"/>
      <c r="BK366" s="222"/>
      <c r="BL366" s="222"/>
      <c r="BM366" s="222"/>
      <c r="BN366" s="222"/>
      <c r="BO366" s="222"/>
      <c r="BP366" s="222"/>
      <c r="BQ366" s="222"/>
      <c r="BR366" s="222"/>
      <c r="BS366" s="222"/>
      <c r="BT366" s="222"/>
      <c r="BU366" s="222"/>
      <c r="BV366" s="222"/>
      <c r="BW366" s="222"/>
      <c r="BX366" s="222"/>
      <c r="BY366" s="222"/>
      <c r="BZ366" s="222"/>
      <c r="CA366" s="222"/>
      <c r="CB366" s="222"/>
      <c r="CC366" s="222"/>
      <c r="CD366" s="222"/>
      <c r="CE366" s="222"/>
      <c r="CF366" s="222"/>
      <c r="CG366" s="222"/>
      <c r="CH366" s="222"/>
      <c r="CI366" s="222"/>
      <c r="CJ366" s="222"/>
      <c r="CK366" s="222"/>
      <c r="CL366" s="222"/>
      <c r="CM366" s="222"/>
      <c r="CN366" s="222"/>
      <c r="CO366" s="222"/>
      <c r="CP366" s="222"/>
      <c r="CQ366" s="222"/>
      <c r="CR366" s="222"/>
      <c r="CS366" s="222"/>
    </row>
    <row r="367">
      <c r="A367" s="43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  <c r="AC367" s="222"/>
      <c r="AD367" s="222"/>
      <c r="AE367" s="222"/>
      <c r="AF367" s="222"/>
      <c r="AG367" s="222"/>
      <c r="AH367" s="222"/>
      <c r="AI367" s="222"/>
      <c r="AJ367" s="222"/>
      <c r="AK367" s="222"/>
      <c r="AL367" s="222"/>
      <c r="AM367" s="222"/>
      <c r="AN367" s="222"/>
      <c r="AO367" s="222"/>
      <c r="AP367" s="222"/>
      <c r="AQ367" s="222"/>
      <c r="AR367" s="222"/>
      <c r="AS367" s="222"/>
      <c r="AT367" s="222"/>
      <c r="AU367" s="222"/>
      <c r="AV367" s="222"/>
      <c r="AW367" s="222"/>
      <c r="AX367" s="222"/>
      <c r="AY367" s="222"/>
      <c r="AZ367" s="222"/>
      <c r="BA367" s="222"/>
      <c r="BB367" s="222"/>
      <c r="BC367" s="222"/>
      <c r="BD367" s="222"/>
      <c r="BE367" s="222"/>
      <c r="BF367" s="222"/>
      <c r="BG367" s="222"/>
      <c r="BH367" s="222"/>
      <c r="BI367" s="222"/>
      <c r="BJ367" s="222"/>
      <c r="BK367" s="222"/>
      <c r="BL367" s="222"/>
      <c r="BM367" s="222"/>
      <c r="BN367" s="222"/>
      <c r="BO367" s="222"/>
      <c r="BP367" s="222"/>
      <c r="BQ367" s="222"/>
      <c r="BR367" s="222"/>
      <c r="BS367" s="222"/>
      <c r="BT367" s="222"/>
      <c r="BU367" s="222"/>
      <c r="BV367" s="222"/>
      <c r="BW367" s="222"/>
      <c r="BX367" s="222"/>
      <c r="BY367" s="222"/>
      <c r="BZ367" s="222"/>
      <c r="CA367" s="222"/>
      <c r="CB367" s="222"/>
      <c r="CC367" s="222"/>
      <c r="CD367" s="222"/>
      <c r="CE367" s="222"/>
      <c r="CF367" s="222"/>
      <c r="CG367" s="222"/>
      <c r="CH367" s="222"/>
      <c r="CI367" s="222"/>
      <c r="CJ367" s="222"/>
      <c r="CK367" s="222"/>
      <c r="CL367" s="222"/>
      <c r="CM367" s="222"/>
      <c r="CN367" s="222"/>
      <c r="CO367" s="222"/>
      <c r="CP367" s="222"/>
      <c r="CQ367" s="222"/>
      <c r="CR367" s="222"/>
      <c r="CS367" s="222"/>
    </row>
    <row r="368">
      <c r="A368" s="43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  <c r="AC368" s="222"/>
      <c r="AD368" s="222"/>
      <c r="AE368" s="222"/>
      <c r="AF368" s="222"/>
      <c r="AG368" s="222"/>
      <c r="AH368" s="222"/>
      <c r="AI368" s="222"/>
      <c r="AJ368" s="222"/>
      <c r="AK368" s="222"/>
      <c r="AL368" s="222"/>
      <c r="AM368" s="222"/>
      <c r="AN368" s="222"/>
      <c r="AO368" s="222"/>
      <c r="AP368" s="222"/>
      <c r="AQ368" s="222"/>
      <c r="AR368" s="222"/>
      <c r="AS368" s="222"/>
      <c r="AT368" s="222"/>
      <c r="AU368" s="222"/>
      <c r="AV368" s="222"/>
      <c r="AW368" s="222"/>
      <c r="AX368" s="222"/>
      <c r="AY368" s="222"/>
      <c r="AZ368" s="222"/>
      <c r="BA368" s="222"/>
      <c r="BB368" s="222"/>
      <c r="BC368" s="222"/>
      <c r="BD368" s="222"/>
      <c r="BE368" s="222"/>
      <c r="BF368" s="222"/>
      <c r="BG368" s="222"/>
      <c r="BH368" s="222"/>
      <c r="BI368" s="222"/>
      <c r="BJ368" s="222"/>
      <c r="BK368" s="222"/>
      <c r="BL368" s="222"/>
      <c r="BM368" s="222"/>
      <c r="BN368" s="222"/>
      <c r="BO368" s="222"/>
      <c r="BP368" s="222"/>
      <c r="BQ368" s="222"/>
      <c r="BR368" s="222"/>
      <c r="BS368" s="222"/>
      <c r="BT368" s="222"/>
      <c r="BU368" s="222"/>
      <c r="BV368" s="222"/>
      <c r="BW368" s="222"/>
      <c r="BX368" s="222"/>
      <c r="BY368" s="222"/>
      <c r="BZ368" s="222"/>
      <c r="CA368" s="222"/>
      <c r="CB368" s="222"/>
      <c r="CC368" s="222"/>
      <c r="CD368" s="222"/>
      <c r="CE368" s="222"/>
      <c r="CF368" s="222"/>
      <c r="CG368" s="222"/>
      <c r="CH368" s="222"/>
      <c r="CI368" s="222"/>
      <c r="CJ368" s="222"/>
      <c r="CK368" s="222"/>
      <c r="CL368" s="222"/>
      <c r="CM368" s="222"/>
      <c r="CN368" s="222"/>
      <c r="CO368" s="222"/>
      <c r="CP368" s="222"/>
      <c r="CQ368" s="222"/>
      <c r="CR368" s="222"/>
      <c r="CS368" s="222"/>
    </row>
    <row r="369">
      <c r="A369" s="43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  <c r="AC369" s="222"/>
      <c r="AD369" s="222"/>
      <c r="AE369" s="222"/>
      <c r="AF369" s="222"/>
      <c r="AG369" s="222"/>
      <c r="AH369" s="222"/>
      <c r="AI369" s="222"/>
      <c r="AJ369" s="222"/>
      <c r="AK369" s="222"/>
      <c r="AL369" s="222"/>
      <c r="AM369" s="222"/>
      <c r="AN369" s="222"/>
      <c r="AO369" s="222"/>
      <c r="AP369" s="222"/>
      <c r="AQ369" s="222"/>
      <c r="AR369" s="222"/>
      <c r="AS369" s="222"/>
      <c r="AT369" s="222"/>
      <c r="AU369" s="222"/>
      <c r="AV369" s="222"/>
      <c r="AW369" s="222"/>
      <c r="AX369" s="222"/>
      <c r="AY369" s="222"/>
      <c r="AZ369" s="222"/>
      <c r="BA369" s="222"/>
      <c r="BB369" s="222"/>
      <c r="BC369" s="222"/>
      <c r="BD369" s="222"/>
      <c r="BE369" s="222"/>
      <c r="BF369" s="222"/>
      <c r="BG369" s="222"/>
      <c r="BH369" s="222"/>
      <c r="BI369" s="222"/>
      <c r="BJ369" s="222"/>
      <c r="BK369" s="222"/>
      <c r="BL369" s="222"/>
      <c r="BM369" s="222"/>
      <c r="BN369" s="222"/>
      <c r="BO369" s="222"/>
      <c r="BP369" s="222"/>
      <c r="BQ369" s="222"/>
      <c r="BR369" s="222"/>
      <c r="BS369" s="222"/>
      <c r="BT369" s="222"/>
      <c r="BU369" s="222"/>
      <c r="BV369" s="222"/>
      <c r="BW369" s="222"/>
      <c r="BX369" s="222"/>
      <c r="BY369" s="222"/>
      <c r="BZ369" s="222"/>
      <c r="CA369" s="222"/>
      <c r="CB369" s="222"/>
      <c r="CC369" s="222"/>
      <c r="CD369" s="222"/>
      <c r="CE369" s="222"/>
      <c r="CF369" s="222"/>
      <c r="CG369" s="222"/>
      <c r="CH369" s="222"/>
      <c r="CI369" s="222"/>
      <c r="CJ369" s="222"/>
      <c r="CK369" s="222"/>
      <c r="CL369" s="222"/>
      <c r="CM369" s="222"/>
      <c r="CN369" s="222"/>
      <c r="CO369" s="222"/>
      <c r="CP369" s="222"/>
      <c r="CQ369" s="222"/>
      <c r="CR369" s="222"/>
      <c r="CS369" s="222"/>
    </row>
    <row r="370">
      <c r="A370" s="43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  <c r="AE370" s="222"/>
      <c r="AF370" s="222"/>
      <c r="AG370" s="222"/>
      <c r="AH370" s="222"/>
      <c r="AI370" s="222"/>
      <c r="AJ370" s="222"/>
      <c r="AK370" s="222"/>
      <c r="AL370" s="222"/>
      <c r="AM370" s="222"/>
      <c r="AN370" s="222"/>
      <c r="AO370" s="222"/>
      <c r="AP370" s="222"/>
      <c r="AQ370" s="222"/>
      <c r="AR370" s="222"/>
      <c r="AS370" s="222"/>
      <c r="AT370" s="222"/>
      <c r="AU370" s="222"/>
      <c r="AV370" s="222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222"/>
      <c r="BH370" s="222"/>
      <c r="BI370" s="222"/>
      <c r="BJ370" s="222"/>
      <c r="BK370" s="222"/>
      <c r="BL370" s="222"/>
      <c r="BM370" s="222"/>
      <c r="BN370" s="222"/>
      <c r="BO370" s="222"/>
      <c r="BP370" s="222"/>
      <c r="BQ370" s="222"/>
      <c r="BR370" s="222"/>
      <c r="BS370" s="222"/>
      <c r="BT370" s="222"/>
      <c r="BU370" s="222"/>
      <c r="BV370" s="222"/>
      <c r="BW370" s="222"/>
      <c r="BX370" s="222"/>
      <c r="BY370" s="222"/>
      <c r="BZ370" s="222"/>
      <c r="CA370" s="222"/>
      <c r="CB370" s="222"/>
      <c r="CC370" s="222"/>
      <c r="CD370" s="222"/>
      <c r="CE370" s="222"/>
      <c r="CF370" s="222"/>
      <c r="CG370" s="222"/>
      <c r="CH370" s="222"/>
      <c r="CI370" s="222"/>
      <c r="CJ370" s="222"/>
      <c r="CK370" s="222"/>
      <c r="CL370" s="222"/>
      <c r="CM370" s="222"/>
      <c r="CN370" s="222"/>
      <c r="CO370" s="222"/>
      <c r="CP370" s="222"/>
      <c r="CQ370" s="222"/>
      <c r="CR370" s="222"/>
      <c r="CS370" s="222"/>
    </row>
    <row r="371">
      <c r="A371" s="43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2"/>
      <c r="AG371" s="222"/>
      <c r="AH371" s="222"/>
      <c r="AI371" s="222"/>
      <c r="AJ371" s="222"/>
      <c r="AK371" s="222"/>
      <c r="AL371" s="222"/>
      <c r="AM371" s="222"/>
      <c r="AN371" s="222"/>
      <c r="AO371" s="222"/>
      <c r="AP371" s="222"/>
      <c r="AQ371" s="222"/>
      <c r="AR371" s="222"/>
      <c r="AS371" s="222"/>
      <c r="AT371" s="222"/>
      <c r="AU371" s="222"/>
      <c r="AV371" s="222"/>
      <c r="AW371" s="222"/>
      <c r="AX371" s="222"/>
      <c r="AY371" s="222"/>
      <c r="AZ371" s="222"/>
      <c r="BA371" s="222"/>
      <c r="BB371" s="222"/>
      <c r="BC371" s="222"/>
      <c r="BD371" s="222"/>
      <c r="BE371" s="222"/>
      <c r="BF371" s="222"/>
      <c r="BG371" s="222"/>
      <c r="BH371" s="222"/>
      <c r="BI371" s="222"/>
      <c r="BJ371" s="222"/>
      <c r="BK371" s="222"/>
      <c r="BL371" s="222"/>
      <c r="BM371" s="222"/>
      <c r="BN371" s="222"/>
      <c r="BO371" s="222"/>
      <c r="BP371" s="222"/>
      <c r="BQ371" s="222"/>
      <c r="BR371" s="222"/>
      <c r="BS371" s="222"/>
      <c r="BT371" s="222"/>
      <c r="BU371" s="222"/>
      <c r="BV371" s="222"/>
      <c r="BW371" s="222"/>
      <c r="BX371" s="222"/>
      <c r="BY371" s="222"/>
      <c r="BZ371" s="222"/>
      <c r="CA371" s="222"/>
      <c r="CB371" s="222"/>
      <c r="CC371" s="222"/>
      <c r="CD371" s="222"/>
      <c r="CE371" s="222"/>
      <c r="CF371" s="222"/>
      <c r="CG371" s="222"/>
      <c r="CH371" s="222"/>
      <c r="CI371" s="222"/>
      <c r="CJ371" s="222"/>
      <c r="CK371" s="222"/>
      <c r="CL371" s="222"/>
      <c r="CM371" s="222"/>
      <c r="CN371" s="222"/>
      <c r="CO371" s="222"/>
      <c r="CP371" s="222"/>
      <c r="CQ371" s="222"/>
      <c r="CR371" s="222"/>
      <c r="CS371" s="222"/>
    </row>
    <row r="372">
      <c r="A372" s="43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  <c r="AC372" s="222"/>
      <c r="AD372" s="222"/>
      <c r="AE372" s="222"/>
      <c r="AF372" s="222"/>
      <c r="AG372" s="222"/>
      <c r="AH372" s="222"/>
      <c r="AI372" s="222"/>
      <c r="AJ372" s="222"/>
      <c r="AK372" s="222"/>
      <c r="AL372" s="222"/>
      <c r="AM372" s="222"/>
      <c r="AN372" s="222"/>
      <c r="AO372" s="222"/>
      <c r="AP372" s="222"/>
      <c r="AQ372" s="222"/>
      <c r="AR372" s="222"/>
      <c r="AS372" s="222"/>
      <c r="AT372" s="222"/>
      <c r="AU372" s="222"/>
      <c r="AV372" s="222"/>
      <c r="AW372" s="222"/>
      <c r="AX372" s="222"/>
      <c r="AY372" s="222"/>
      <c r="AZ372" s="222"/>
      <c r="BA372" s="222"/>
      <c r="BB372" s="222"/>
      <c r="BC372" s="222"/>
      <c r="BD372" s="222"/>
      <c r="BE372" s="222"/>
      <c r="BF372" s="222"/>
      <c r="BG372" s="222"/>
      <c r="BH372" s="222"/>
      <c r="BI372" s="222"/>
      <c r="BJ372" s="222"/>
      <c r="BK372" s="222"/>
      <c r="BL372" s="222"/>
      <c r="BM372" s="222"/>
      <c r="BN372" s="222"/>
      <c r="BO372" s="222"/>
      <c r="BP372" s="222"/>
      <c r="BQ372" s="222"/>
      <c r="BR372" s="222"/>
      <c r="BS372" s="222"/>
      <c r="BT372" s="222"/>
      <c r="BU372" s="222"/>
      <c r="BV372" s="222"/>
      <c r="BW372" s="222"/>
      <c r="BX372" s="222"/>
      <c r="BY372" s="222"/>
      <c r="BZ372" s="222"/>
      <c r="CA372" s="222"/>
      <c r="CB372" s="222"/>
      <c r="CC372" s="222"/>
      <c r="CD372" s="222"/>
      <c r="CE372" s="222"/>
      <c r="CF372" s="222"/>
      <c r="CG372" s="222"/>
      <c r="CH372" s="222"/>
      <c r="CI372" s="222"/>
      <c r="CJ372" s="222"/>
      <c r="CK372" s="222"/>
      <c r="CL372" s="222"/>
      <c r="CM372" s="222"/>
      <c r="CN372" s="222"/>
      <c r="CO372" s="222"/>
      <c r="CP372" s="222"/>
      <c r="CQ372" s="222"/>
      <c r="CR372" s="222"/>
      <c r="CS372" s="222"/>
    </row>
    <row r="373">
      <c r="A373" s="43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  <c r="AC373" s="222"/>
      <c r="AD373" s="222"/>
      <c r="AE373" s="222"/>
      <c r="AF373" s="222"/>
      <c r="AG373" s="222"/>
      <c r="AH373" s="222"/>
      <c r="AI373" s="222"/>
      <c r="AJ373" s="222"/>
      <c r="AK373" s="222"/>
      <c r="AL373" s="222"/>
      <c r="AM373" s="222"/>
      <c r="AN373" s="222"/>
      <c r="AO373" s="222"/>
      <c r="AP373" s="222"/>
      <c r="AQ373" s="222"/>
      <c r="AR373" s="222"/>
      <c r="AS373" s="222"/>
      <c r="AT373" s="222"/>
      <c r="AU373" s="222"/>
      <c r="AV373" s="222"/>
      <c r="AW373" s="222"/>
      <c r="AX373" s="222"/>
      <c r="AY373" s="222"/>
      <c r="AZ373" s="222"/>
      <c r="BA373" s="222"/>
      <c r="BB373" s="222"/>
      <c r="BC373" s="222"/>
      <c r="BD373" s="222"/>
      <c r="BE373" s="222"/>
      <c r="BF373" s="222"/>
      <c r="BG373" s="222"/>
      <c r="BH373" s="222"/>
      <c r="BI373" s="222"/>
      <c r="BJ373" s="222"/>
      <c r="BK373" s="222"/>
      <c r="BL373" s="222"/>
      <c r="BM373" s="222"/>
      <c r="BN373" s="222"/>
      <c r="BO373" s="222"/>
      <c r="BP373" s="222"/>
      <c r="BQ373" s="222"/>
      <c r="BR373" s="222"/>
      <c r="BS373" s="222"/>
      <c r="BT373" s="222"/>
      <c r="BU373" s="222"/>
      <c r="BV373" s="222"/>
      <c r="BW373" s="222"/>
      <c r="BX373" s="222"/>
      <c r="BY373" s="222"/>
      <c r="BZ373" s="222"/>
      <c r="CA373" s="222"/>
      <c r="CB373" s="222"/>
      <c r="CC373" s="222"/>
      <c r="CD373" s="222"/>
      <c r="CE373" s="222"/>
      <c r="CF373" s="222"/>
      <c r="CG373" s="222"/>
      <c r="CH373" s="222"/>
      <c r="CI373" s="222"/>
      <c r="CJ373" s="222"/>
      <c r="CK373" s="222"/>
      <c r="CL373" s="222"/>
      <c r="CM373" s="222"/>
      <c r="CN373" s="222"/>
      <c r="CO373" s="222"/>
      <c r="CP373" s="222"/>
      <c r="CQ373" s="222"/>
      <c r="CR373" s="222"/>
      <c r="CS373" s="222"/>
    </row>
    <row r="374">
      <c r="A374" s="43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  <c r="AC374" s="222"/>
      <c r="AD374" s="222"/>
      <c r="AE374" s="222"/>
      <c r="AF374" s="222"/>
      <c r="AG374" s="222"/>
      <c r="AH374" s="222"/>
      <c r="AI374" s="222"/>
      <c r="AJ374" s="222"/>
      <c r="AK374" s="222"/>
      <c r="AL374" s="222"/>
      <c r="AM374" s="222"/>
      <c r="AN374" s="222"/>
      <c r="AO374" s="222"/>
      <c r="AP374" s="222"/>
      <c r="AQ374" s="222"/>
      <c r="AR374" s="222"/>
      <c r="AS374" s="222"/>
      <c r="AT374" s="222"/>
      <c r="AU374" s="222"/>
      <c r="AV374" s="222"/>
      <c r="AW374" s="222"/>
      <c r="AX374" s="222"/>
      <c r="AY374" s="222"/>
      <c r="AZ374" s="222"/>
      <c r="BA374" s="222"/>
      <c r="BB374" s="222"/>
      <c r="BC374" s="222"/>
      <c r="BD374" s="222"/>
      <c r="BE374" s="222"/>
      <c r="BF374" s="222"/>
      <c r="BG374" s="222"/>
      <c r="BH374" s="222"/>
      <c r="BI374" s="222"/>
      <c r="BJ374" s="222"/>
      <c r="BK374" s="222"/>
      <c r="BL374" s="222"/>
      <c r="BM374" s="222"/>
      <c r="BN374" s="222"/>
      <c r="BO374" s="222"/>
      <c r="BP374" s="222"/>
      <c r="BQ374" s="222"/>
      <c r="BR374" s="222"/>
      <c r="BS374" s="222"/>
      <c r="BT374" s="222"/>
      <c r="BU374" s="222"/>
      <c r="BV374" s="222"/>
      <c r="BW374" s="222"/>
      <c r="BX374" s="222"/>
      <c r="BY374" s="222"/>
      <c r="BZ374" s="222"/>
      <c r="CA374" s="222"/>
      <c r="CB374" s="222"/>
      <c r="CC374" s="222"/>
      <c r="CD374" s="222"/>
      <c r="CE374" s="222"/>
      <c r="CF374" s="222"/>
      <c r="CG374" s="222"/>
      <c r="CH374" s="222"/>
      <c r="CI374" s="222"/>
      <c r="CJ374" s="222"/>
      <c r="CK374" s="222"/>
      <c r="CL374" s="222"/>
      <c r="CM374" s="222"/>
      <c r="CN374" s="222"/>
      <c r="CO374" s="222"/>
      <c r="CP374" s="222"/>
      <c r="CQ374" s="222"/>
      <c r="CR374" s="222"/>
      <c r="CS374" s="222"/>
    </row>
    <row r="375">
      <c r="A375" s="43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  <c r="AC375" s="222"/>
      <c r="AD375" s="222"/>
      <c r="AE375" s="222"/>
      <c r="AF375" s="222"/>
      <c r="AG375" s="222"/>
      <c r="AH375" s="222"/>
      <c r="AI375" s="222"/>
      <c r="AJ375" s="222"/>
      <c r="AK375" s="222"/>
      <c r="AL375" s="222"/>
      <c r="AM375" s="222"/>
      <c r="AN375" s="222"/>
      <c r="AO375" s="222"/>
      <c r="AP375" s="222"/>
      <c r="AQ375" s="222"/>
      <c r="AR375" s="222"/>
      <c r="AS375" s="222"/>
      <c r="AT375" s="222"/>
      <c r="AU375" s="222"/>
      <c r="AV375" s="222"/>
      <c r="AW375" s="222"/>
      <c r="AX375" s="222"/>
      <c r="AY375" s="222"/>
      <c r="AZ375" s="222"/>
      <c r="BA375" s="222"/>
      <c r="BB375" s="222"/>
      <c r="BC375" s="222"/>
      <c r="BD375" s="222"/>
      <c r="BE375" s="222"/>
      <c r="BF375" s="222"/>
      <c r="BG375" s="222"/>
      <c r="BH375" s="222"/>
      <c r="BI375" s="222"/>
      <c r="BJ375" s="222"/>
      <c r="BK375" s="222"/>
      <c r="BL375" s="222"/>
      <c r="BM375" s="222"/>
      <c r="BN375" s="222"/>
      <c r="BO375" s="222"/>
      <c r="BP375" s="222"/>
      <c r="BQ375" s="222"/>
      <c r="BR375" s="222"/>
      <c r="BS375" s="222"/>
      <c r="BT375" s="222"/>
      <c r="BU375" s="222"/>
      <c r="BV375" s="222"/>
      <c r="BW375" s="222"/>
      <c r="BX375" s="222"/>
      <c r="BY375" s="222"/>
      <c r="BZ375" s="222"/>
      <c r="CA375" s="222"/>
      <c r="CB375" s="222"/>
      <c r="CC375" s="222"/>
      <c r="CD375" s="222"/>
      <c r="CE375" s="222"/>
      <c r="CF375" s="222"/>
      <c r="CG375" s="222"/>
      <c r="CH375" s="222"/>
      <c r="CI375" s="222"/>
      <c r="CJ375" s="222"/>
      <c r="CK375" s="222"/>
      <c r="CL375" s="222"/>
      <c r="CM375" s="222"/>
      <c r="CN375" s="222"/>
      <c r="CO375" s="222"/>
      <c r="CP375" s="222"/>
      <c r="CQ375" s="222"/>
      <c r="CR375" s="222"/>
      <c r="CS375" s="222"/>
    </row>
    <row r="376">
      <c r="A376" s="43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  <c r="AC376" s="222"/>
      <c r="AD376" s="222"/>
      <c r="AE376" s="222"/>
      <c r="AF376" s="222"/>
      <c r="AG376" s="222"/>
      <c r="AH376" s="222"/>
      <c r="AI376" s="222"/>
      <c r="AJ376" s="222"/>
      <c r="AK376" s="222"/>
      <c r="AL376" s="222"/>
      <c r="AM376" s="222"/>
      <c r="AN376" s="222"/>
      <c r="AO376" s="222"/>
      <c r="AP376" s="222"/>
      <c r="AQ376" s="222"/>
      <c r="AR376" s="222"/>
      <c r="AS376" s="222"/>
      <c r="AT376" s="222"/>
      <c r="AU376" s="222"/>
      <c r="AV376" s="222"/>
      <c r="AW376" s="222"/>
      <c r="AX376" s="222"/>
      <c r="AY376" s="222"/>
      <c r="AZ376" s="222"/>
      <c r="BA376" s="222"/>
      <c r="BB376" s="222"/>
      <c r="BC376" s="222"/>
      <c r="BD376" s="222"/>
      <c r="BE376" s="222"/>
      <c r="BF376" s="222"/>
      <c r="BG376" s="222"/>
      <c r="BH376" s="222"/>
      <c r="BI376" s="222"/>
      <c r="BJ376" s="222"/>
      <c r="BK376" s="222"/>
      <c r="BL376" s="222"/>
      <c r="BM376" s="222"/>
      <c r="BN376" s="222"/>
      <c r="BO376" s="222"/>
      <c r="BP376" s="222"/>
      <c r="BQ376" s="222"/>
      <c r="BR376" s="222"/>
      <c r="BS376" s="222"/>
      <c r="BT376" s="222"/>
      <c r="BU376" s="222"/>
      <c r="BV376" s="222"/>
      <c r="BW376" s="222"/>
      <c r="BX376" s="222"/>
      <c r="BY376" s="222"/>
      <c r="BZ376" s="222"/>
      <c r="CA376" s="222"/>
      <c r="CB376" s="222"/>
      <c r="CC376" s="222"/>
      <c r="CD376" s="222"/>
      <c r="CE376" s="222"/>
      <c r="CF376" s="222"/>
      <c r="CG376" s="222"/>
      <c r="CH376" s="222"/>
      <c r="CI376" s="222"/>
      <c r="CJ376" s="222"/>
      <c r="CK376" s="222"/>
      <c r="CL376" s="222"/>
      <c r="CM376" s="222"/>
      <c r="CN376" s="222"/>
      <c r="CO376" s="222"/>
      <c r="CP376" s="222"/>
      <c r="CQ376" s="222"/>
      <c r="CR376" s="222"/>
      <c r="CS376" s="222"/>
    </row>
    <row r="377">
      <c r="A377" s="43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  <c r="AC377" s="222"/>
      <c r="AD377" s="222"/>
      <c r="AE377" s="222"/>
      <c r="AF377" s="222"/>
      <c r="AG377" s="222"/>
      <c r="AH377" s="222"/>
      <c r="AI377" s="222"/>
      <c r="AJ377" s="222"/>
      <c r="AK377" s="222"/>
      <c r="AL377" s="222"/>
      <c r="AM377" s="222"/>
      <c r="AN377" s="222"/>
      <c r="AO377" s="222"/>
      <c r="AP377" s="222"/>
      <c r="AQ377" s="222"/>
      <c r="AR377" s="222"/>
      <c r="AS377" s="222"/>
      <c r="AT377" s="222"/>
      <c r="AU377" s="222"/>
      <c r="AV377" s="222"/>
      <c r="AW377" s="222"/>
      <c r="AX377" s="222"/>
      <c r="AY377" s="222"/>
      <c r="AZ377" s="222"/>
      <c r="BA377" s="222"/>
      <c r="BB377" s="222"/>
      <c r="BC377" s="222"/>
      <c r="BD377" s="222"/>
      <c r="BE377" s="222"/>
      <c r="BF377" s="222"/>
      <c r="BG377" s="222"/>
      <c r="BH377" s="222"/>
      <c r="BI377" s="222"/>
      <c r="BJ377" s="222"/>
      <c r="BK377" s="222"/>
      <c r="BL377" s="222"/>
      <c r="BM377" s="222"/>
      <c r="BN377" s="222"/>
      <c r="BO377" s="222"/>
      <c r="BP377" s="222"/>
      <c r="BQ377" s="222"/>
      <c r="BR377" s="222"/>
      <c r="BS377" s="222"/>
      <c r="BT377" s="222"/>
      <c r="BU377" s="222"/>
      <c r="BV377" s="222"/>
      <c r="BW377" s="222"/>
      <c r="BX377" s="222"/>
      <c r="BY377" s="222"/>
      <c r="BZ377" s="222"/>
      <c r="CA377" s="222"/>
      <c r="CB377" s="222"/>
      <c r="CC377" s="222"/>
      <c r="CD377" s="222"/>
      <c r="CE377" s="222"/>
      <c r="CF377" s="222"/>
      <c r="CG377" s="222"/>
      <c r="CH377" s="222"/>
      <c r="CI377" s="222"/>
      <c r="CJ377" s="222"/>
      <c r="CK377" s="222"/>
      <c r="CL377" s="222"/>
      <c r="CM377" s="222"/>
      <c r="CN377" s="222"/>
      <c r="CO377" s="222"/>
      <c r="CP377" s="222"/>
      <c r="CQ377" s="222"/>
      <c r="CR377" s="222"/>
      <c r="CS377" s="222"/>
    </row>
    <row r="378">
      <c r="A378" s="43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  <c r="AC378" s="222"/>
      <c r="AD378" s="222"/>
      <c r="AE378" s="222"/>
      <c r="AF378" s="222"/>
      <c r="AG378" s="222"/>
      <c r="AH378" s="222"/>
      <c r="AI378" s="222"/>
      <c r="AJ378" s="222"/>
      <c r="AK378" s="222"/>
      <c r="AL378" s="222"/>
      <c r="AM378" s="222"/>
      <c r="AN378" s="222"/>
      <c r="AO378" s="222"/>
      <c r="AP378" s="222"/>
      <c r="AQ378" s="222"/>
      <c r="AR378" s="222"/>
      <c r="AS378" s="222"/>
      <c r="AT378" s="222"/>
      <c r="AU378" s="222"/>
      <c r="AV378" s="222"/>
      <c r="AW378" s="222"/>
      <c r="AX378" s="222"/>
      <c r="AY378" s="222"/>
      <c r="AZ378" s="222"/>
      <c r="BA378" s="222"/>
      <c r="BB378" s="222"/>
      <c r="BC378" s="222"/>
      <c r="BD378" s="222"/>
      <c r="BE378" s="222"/>
      <c r="BF378" s="222"/>
      <c r="BG378" s="222"/>
      <c r="BH378" s="222"/>
      <c r="BI378" s="222"/>
      <c r="BJ378" s="222"/>
      <c r="BK378" s="222"/>
      <c r="BL378" s="222"/>
      <c r="BM378" s="222"/>
      <c r="BN378" s="222"/>
      <c r="BO378" s="222"/>
      <c r="BP378" s="222"/>
      <c r="BQ378" s="222"/>
      <c r="BR378" s="222"/>
      <c r="BS378" s="222"/>
      <c r="BT378" s="222"/>
      <c r="BU378" s="222"/>
      <c r="BV378" s="222"/>
      <c r="BW378" s="222"/>
      <c r="BX378" s="222"/>
      <c r="BY378" s="222"/>
      <c r="BZ378" s="222"/>
      <c r="CA378" s="222"/>
      <c r="CB378" s="222"/>
      <c r="CC378" s="222"/>
      <c r="CD378" s="222"/>
      <c r="CE378" s="222"/>
      <c r="CF378" s="222"/>
      <c r="CG378" s="222"/>
      <c r="CH378" s="222"/>
      <c r="CI378" s="222"/>
      <c r="CJ378" s="222"/>
      <c r="CK378" s="222"/>
      <c r="CL378" s="222"/>
      <c r="CM378" s="222"/>
      <c r="CN378" s="222"/>
      <c r="CO378" s="222"/>
      <c r="CP378" s="222"/>
      <c r="CQ378" s="222"/>
      <c r="CR378" s="222"/>
      <c r="CS378" s="222"/>
    </row>
    <row r="379">
      <c r="A379" s="43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  <c r="AC379" s="222"/>
      <c r="AD379" s="222"/>
      <c r="AE379" s="222"/>
      <c r="AF379" s="222"/>
      <c r="AG379" s="222"/>
      <c r="AH379" s="222"/>
      <c r="AI379" s="222"/>
      <c r="AJ379" s="222"/>
      <c r="AK379" s="222"/>
      <c r="AL379" s="222"/>
      <c r="AM379" s="222"/>
      <c r="AN379" s="222"/>
      <c r="AO379" s="222"/>
      <c r="AP379" s="222"/>
      <c r="AQ379" s="222"/>
      <c r="AR379" s="222"/>
      <c r="AS379" s="222"/>
      <c r="AT379" s="222"/>
      <c r="AU379" s="222"/>
      <c r="AV379" s="222"/>
      <c r="AW379" s="222"/>
      <c r="AX379" s="222"/>
      <c r="AY379" s="222"/>
      <c r="AZ379" s="222"/>
      <c r="BA379" s="222"/>
      <c r="BB379" s="222"/>
      <c r="BC379" s="222"/>
      <c r="BD379" s="222"/>
      <c r="BE379" s="222"/>
      <c r="BF379" s="222"/>
      <c r="BG379" s="222"/>
      <c r="BH379" s="222"/>
      <c r="BI379" s="222"/>
      <c r="BJ379" s="222"/>
      <c r="BK379" s="222"/>
      <c r="BL379" s="222"/>
      <c r="BM379" s="222"/>
      <c r="BN379" s="222"/>
      <c r="BO379" s="222"/>
      <c r="BP379" s="222"/>
      <c r="BQ379" s="222"/>
      <c r="BR379" s="222"/>
      <c r="BS379" s="222"/>
      <c r="BT379" s="222"/>
      <c r="BU379" s="222"/>
      <c r="BV379" s="222"/>
      <c r="BW379" s="222"/>
      <c r="BX379" s="222"/>
      <c r="BY379" s="222"/>
      <c r="BZ379" s="222"/>
      <c r="CA379" s="222"/>
      <c r="CB379" s="222"/>
      <c r="CC379" s="222"/>
      <c r="CD379" s="222"/>
      <c r="CE379" s="222"/>
      <c r="CF379" s="222"/>
      <c r="CG379" s="222"/>
      <c r="CH379" s="222"/>
      <c r="CI379" s="222"/>
      <c r="CJ379" s="222"/>
      <c r="CK379" s="222"/>
      <c r="CL379" s="222"/>
      <c r="CM379" s="222"/>
      <c r="CN379" s="222"/>
      <c r="CO379" s="222"/>
      <c r="CP379" s="222"/>
      <c r="CQ379" s="222"/>
      <c r="CR379" s="222"/>
      <c r="CS379" s="222"/>
    </row>
    <row r="380">
      <c r="A380" s="43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  <c r="AC380" s="222"/>
      <c r="AD380" s="222"/>
      <c r="AE380" s="222"/>
      <c r="AF380" s="222"/>
      <c r="AG380" s="222"/>
      <c r="AH380" s="222"/>
      <c r="AI380" s="222"/>
      <c r="AJ380" s="222"/>
      <c r="AK380" s="222"/>
      <c r="AL380" s="222"/>
      <c r="AM380" s="222"/>
      <c r="AN380" s="222"/>
      <c r="AO380" s="222"/>
      <c r="AP380" s="222"/>
      <c r="AQ380" s="222"/>
      <c r="AR380" s="222"/>
      <c r="AS380" s="222"/>
      <c r="AT380" s="222"/>
      <c r="AU380" s="222"/>
      <c r="AV380" s="222"/>
      <c r="AW380" s="222"/>
      <c r="AX380" s="222"/>
      <c r="AY380" s="222"/>
      <c r="AZ380" s="222"/>
      <c r="BA380" s="222"/>
      <c r="BB380" s="222"/>
      <c r="BC380" s="222"/>
      <c r="BD380" s="222"/>
      <c r="BE380" s="222"/>
      <c r="BF380" s="222"/>
      <c r="BG380" s="222"/>
      <c r="BH380" s="222"/>
      <c r="BI380" s="222"/>
      <c r="BJ380" s="222"/>
      <c r="BK380" s="222"/>
      <c r="BL380" s="222"/>
      <c r="BM380" s="222"/>
      <c r="BN380" s="222"/>
      <c r="BO380" s="222"/>
      <c r="BP380" s="222"/>
      <c r="BQ380" s="222"/>
      <c r="BR380" s="222"/>
      <c r="BS380" s="222"/>
      <c r="BT380" s="222"/>
      <c r="BU380" s="222"/>
      <c r="BV380" s="222"/>
      <c r="BW380" s="222"/>
      <c r="BX380" s="222"/>
      <c r="BY380" s="222"/>
      <c r="BZ380" s="222"/>
      <c r="CA380" s="222"/>
      <c r="CB380" s="222"/>
      <c r="CC380" s="222"/>
      <c r="CD380" s="222"/>
      <c r="CE380" s="222"/>
      <c r="CF380" s="222"/>
      <c r="CG380" s="222"/>
      <c r="CH380" s="222"/>
      <c r="CI380" s="222"/>
      <c r="CJ380" s="222"/>
      <c r="CK380" s="222"/>
      <c r="CL380" s="222"/>
      <c r="CM380" s="222"/>
      <c r="CN380" s="222"/>
      <c r="CO380" s="222"/>
      <c r="CP380" s="222"/>
      <c r="CQ380" s="222"/>
      <c r="CR380" s="222"/>
      <c r="CS380" s="222"/>
    </row>
    <row r="381">
      <c r="A381" s="43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  <c r="AC381" s="222"/>
      <c r="AD381" s="222"/>
      <c r="AE381" s="222"/>
      <c r="AF381" s="222"/>
      <c r="AG381" s="222"/>
      <c r="AH381" s="222"/>
      <c r="AI381" s="222"/>
      <c r="AJ381" s="222"/>
      <c r="AK381" s="222"/>
      <c r="AL381" s="222"/>
      <c r="AM381" s="222"/>
      <c r="AN381" s="222"/>
      <c r="AO381" s="222"/>
      <c r="AP381" s="222"/>
      <c r="AQ381" s="222"/>
      <c r="AR381" s="222"/>
      <c r="AS381" s="222"/>
      <c r="AT381" s="222"/>
      <c r="AU381" s="222"/>
      <c r="AV381" s="222"/>
      <c r="AW381" s="222"/>
      <c r="AX381" s="222"/>
      <c r="AY381" s="222"/>
      <c r="AZ381" s="222"/>
      <c r="BA381" s="222"/>
      <c r="BB381" s="222"/>
      <c r="BC381" s="222"/>
      <c r="BD381" s="222"/>
      <c r="BE381" s="222"/>
      <c r="BF381" s="222"/>
      <c r="BG381" s="222"/>
      <c r="BH381" s="222"/>
      <c r="BI381" s="222"/>
      <c r="BJ381" s="222"/>
      <c r="BK381" s="222"/>
      <c r="BL381" s="222"/>
      <c r="BM381" s="222"/>
      <c r="BN381" s="222"/>
      <c r="BO381" s="222"/>
      <c r="BP381" s="222"/>
      <c r="BQ381" s="222"/>
      <c r="BR381" s="222"/>
      <c r="BS381" s="222"/>
      <c r="BT381" s="222"/>
      <c r="BU381" s="222"/>
      <c r="BV381" s="222"/>
      <c r="BW381" s="222"/>
      <c r="BX381" s="222"/>
      <c r="BY381" s="222"/>
      <c r="BZ381" s="222"/>
      <c r="CA381" s="222"/>
      <c r="CB381" s="222"/>
      <c r="CC381" s="222"/>
      <c r="CD381" s="222"/>
      <c r="CE381" s="222"/>
      <c r="CF381" s="222"/>
      <c r="CG381" s="222"/>
      <c r="CH381" s="222"/>
      <c r="CI381" s="222"/>
      <c r="CJ381" s="222"/>
      <c r="CK381" s="222"/>
      <c r="CL381" s="222"/>
      <c r="CM381" s="222"/>
      <c r="CN381" s="222"/>
      <c r="CO381" s="222"/>
      <c r="CP381" s="222"/>
      <c r="CQ381" s="222"/>
      <c r="CR381" s="222"/>
      <c r="CS381" s="222"/>
    </row>
    <row r="382">
      <c r="A382" s="43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  <c r="AC382" s="222"/>
      <c r="AD382" s="222"/>
      <c r="AE382" s="222"/>
      <c r="AF382" s="222"/>
      <c r="AG382" s="222"/>
      <c r="AH382" s="222"/>
      <c r="AI382" s="222"/>
      <c r="AJ382" s="222"/>
      <c r="AK382" s="222"/>
      <c r="AL382" s="222"/>
      <c r="AM382" s="222"/>
      <c r="AN382" s="222"/>
      <c r="AO382" s="222"/>
      <c r="AP382" s="222"/>
      <c r="AQ382" s="222"/>
      <c r="AR382" s="222"/>
      <c r="AS382" s="222"/>
      <c r="AT382" s="222"/>
      <c r="AU382" s="222"/>
      <c r="AV382" s="222"/>
      <c r="AW382" s="222"/>
      <c r="AX382" s="222"/>
      <c r="AY382" s="222"/>
      <c r="AZ382" s="222"/>
      <c r="BA382" s="222"/>
      <c r="BB382" s="222"/>
      <c r="BC382" s="222"/>
      <c r="BD382" s="222"/>
      <c r="BE382" s="222"/>
      <c r="BF382" s="222"/>
      <c r="BG382" s="222"/>
      <c r="BH382" s="222"/>
      <c r="BI382" s="222"/>
      <c r="BJ382" s="222"/>
      <c r="BK382" s="222"/>
      <c r="BL382" s="222"/>
      <c r="BM382" s="222"/>
      <c r="BN382" s="222"/>
      <c r="BO382" s="222"/>
      <c r="BP382" s="222"/>
      <c r="BQ382" s="222"/>
      <c r="BR382" s="222"/>
      <c r="BS382" s="222"/>
      <c r="BT382" s="222"/>
      <c r="BU382" s="222"/>
      <c r="BV382" s="222"/>
      <c r="BW382" s="222"/>
      <c r="BX382" s="222"/>
      <c r="BY382" s="222"/>
      <c r="BZ382" s="222"/>
      <c r="CA382" s="222"/>
      <c r="CB382" s="222"/>
      <c r="CC382" s="222"/>
      <c r="CD382" s="222"/>
      <c r="CE382" s="222"/>
      <c r="CF382" s="222"/>
      <c r="CG382" s="222"/>
      <c r="CH382" s="222"/>
      <c r="CI382" s="222"/>
      <c r="CJ382" s="222"/>
      <c r="CK382" s="222"/>
      <c r="CL382" s="222"/>
      <c r="CM382" s="222"/>
      <c r="CN382" s="222"/>
      <c r="CO382" s="222"/>
      <c r="CP382" s="222"/>
      <c r="CQ382" s="222"/>
      <c r="CR382" s="222"/>
      <c r="CS382" s="222"/>
    </row>
    <row r="383">
      <c r="A383" s="43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  <c r="AC383" s="222"/>
      <c r="AD383" s="222"/>
      <c r="AE383" s="222"/>
      <c r="AF383" s="222"/>
      <c r="AG383" s="222"/>
      <c r="AH383" s="222"/>
      <c r="AI383" s="222"/>
      <c r="AJ383" s="222"/>
      <c r="AK383" s="222"/>
      <c r="AL383" s="222"/>
      <c r="AM383" s="222"/>
      <c r="AN383" s="222"/>
      <c r="AO383" s="222"/>
      <c r="AP383" s="222"/>
      <c r="AQ383" s="222"/>
      <c r="AR383" s="222"/>
      <c r="AS383" s="222"/>
      <c r="AT383" s="222"/>
      <c r="AU383" s="222"/>
      <c r="AV383" s="222"/>
      <c r="AW383" s="222"/>
      <c r="AX383" s="222"/>
      <c r="AY383" s="222"/>
      <c r="AZ383" s="222"/>
      <c r="BA383" s="222"/>
      <c r="BB383" s="222"/>
      <c r="BC383" s="222"/>
      <c r="BD383" s="222"/>
      <c r="BE383" s="222"/>
      <c r="BF383" s="222"/>
      <c r="BG383" s="222"/>
      <c r="BH383" s="222"/>
      <c r="BI383" s="222"/>
      <c r="BJ383" s="222"/>
      <c r="BK383" s="222"/>
      <c r="BL383" s="222"/>
      <c r="BM383" s="222"/>
      <c r="BN383" s="222"/>
      <c r="BO383" s="222"/>
      <c r="BP383" s="222"/>
      <c r="BQ383" s="222"/>
      <c r="BR383" s="222"/>
      <c r="BS383" s="222"/>
      <c r="BT383" s="222"/>
      <c r="BU383" s="222"/>
      <c r="BV383" s="222"/>
      <c r="BW383" s="222"/>
      <c r="BX383" s="222"/>
      <c r="BY383" s="222"/>
      <c r="BZ383" s="222"/>
      <c r="CA383" s="222"/>
      <c r="CB383" s="222"/>
      <c r="CC383" s="222"/>
      <c r="CD383" s="222"/>
      <c r="CE383" s="222"/>
      <c r="CF383" s="222"/>
      <c r="CG383" s="222"/>
      <c r="CH383" s="222"/>
      <c r="CI383" s="222"/>
      <c r="CJ383" s="222"/>
      <c r="CK383" s="222"/>
      <c r="CL383" s="222"/>
      <c r="CM383" s="222"/>
      <c r="CN383" s="222"/>
      <c r="CO383" s="222"/>
      <c r="CP383" s="222"/>
      <c r="CQ383" s="222"/>
      <c r="CR383" s="222"/>
      <c r="CS383" s="222"/>
    </row>
    <row r="384">
      <c r="A384" s="43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  <c r="AC384" s="222"/>
      <c r="AD384" s="222"/>
      <c r="AE384" s="222"/>
      <c r="AF384" s="222"/>
      <c r="AG384" s="222"/>
      <c r="AH384" s="222"/>
      <c r="AI384" s="222"/>
      <c r="AJ384" s="222"/>
      <c r="AK384" s="222"/>
      <c r="AL384" s="222"/>
      <c r="AM384" s="222"/>
      <c r="AN384" s="222"/>
      <c r="AO384" s="222"/>
      <c r="AP384" s="222"/>
      <c r="AQ384" s="222"/>
      <c r="AR384" s="222"/>
      <c r="AS384" s="222"/>
      <c r="AT384" s="222"/>
      <c r="AU384" s="222"/>
      <c r="AV384" s="222"/>
      <c r="AW384" s="222"/>
      <c r="AX384" s="222"/>
      <c r="AY384" s="222"/>
      <c r="AZ384" s="222"/>
      <c r="BA384" s="222"/>
      <c r="BB384" s="222"/>
      <c r="BC384" s="222"/>
      <c r="BD384" s="222"/>
      <c r="BE384" s="222"/>
      <c r="BF384" s="222"/>
      <c r="BG384" s="222"/>
      <c r="BH384" s="222"/>
      <c r="BI384" s="222"/>
      <c r="BJ384" s="222"/>
      <c r="BK384" s="222"/>
      <c r="BL384" s="222"/>
      <c r="BM384" s="222"/>
      <c r="BN384" s="222"/>
      <c r="BO384" s="222"/>
      <c r="BP384" s="222"/>
      <c r="BQ384" s="222"/>
      <c r="BR384" s="222"/>
      <c r="BS384" s="222"/>
      <c r="BT384" s="222"/>
      <c r="BU384" s="222"/>
      <c r="BV384" s="222"/>
      <c r="BW384" s="222"/>
      <c r="BX384" s="222"/>
      <c r="BY384" s="222"/>
      <c r="BZ384" s="222"/>
      <c r="CA384" s="222"/>
      <c r="CB384" s="222"/>
      <c r="CC384" s="222"/>
      <c r="CD384" s="222"/>
      <c r="CE384" s="222"/>
      <c r="CF384" s="222"/>
      <c r="CG384" s="222"/>
      <c r="CH384" s="222"/>
      <c r="CI384" s="222"/>
      <c r="CJ384" s="222"/>
      <c r="CK384" s="222"/>
      <c r="CL384" s="222"/>
      <c r="CM384" s="222"/>
      <c r="CN384" s="222"/>
      <c r="CO384" s="222"/>
      <c r="CP384" s="222"/>
      <c r="CQ384" s="222"/>
      <c r="CR384" s="222"/>
      <c r="CS384" s="222"/>
    </row>
    <row r="385">
      <c r="A385" s="43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  <c r="AC385" s="222"/>
      <c r="AD385" s="222"/>
      <c r="AE385" s="222"/>
      <c r="AF385" s="222"/>
      <c r="AG385" s="222"/>
      <c r="AH385" s="222"/>
      <c r="AI385" s="222"/>
      <c r="AJ385" s="222"/>
      <c r="AK385" s="222"/>
      <c r="AL385" s="222"/>
      <c r="AM385" s="222"/>
      <c r="AN385" s="222"/>
      <c r="AO385" s="222"/>
      <c r="AP385" s="222"/>
      <c r="AQ385" s="222"/>
      <c r="AR385" s="222"/>
      <c r="AS385" s="222"/>
      <c r="AT385" s="222"/>
      <c r="AU385" s="222"/>
      <c r="AV385" s="222"/>
      <c r="AW385" s="222"/>
      <c r="AX385" s="222"/>
      <c r="AY385" s="222"/>
      <c r="AZ385" s="222"/>
      <c r="BA385" s="222"/>
      <c r="BB385" s="222"/>
      <c r="BC385" s="222"/>
      <c r="BD385" s="222"/>
      <c r="BE385" s="222"/>
      <c r="BF385" s="222"/>
      <c r="BG385" s="222"/>
      <c r="BH385" s="222"/>
      <c r="BI385" s="222"/>
      <c r="BJ385" s="222"/>
      <c r="BK385" s="222"/>
      <c r="BL385" s="222"/>
      <c r="BM385" s="222"/>
      <c r="BN385" s="222"/>
      <c r="BO385" s="222"/>
      <c r="BP385" s="222"/>
      <c r="BQ385" s="222"/>
      <c r="BR385" s="222"/>
      <c r="BS385" s="222"/>
      <c r="BT385" s="222"/>
      <c r="BU385" s="222"/>
      <c r="BV385" s="222"/>
      <c r="BW385" s="222"/>
      <c r="BX385" s="222"/>
      <c r="BY385" s="222"/>
      <c r="BZ385" s="222"/>
      <c r="CA385" s="222"/>
      <c r="CB385" s="222"/>
      <c r="CC385" s="222"/>
      <c r="CD385" s="222"/>
      <c r="CE385" s="222"/>
      <c r="CF385" s="222"/>
      <c r="CG385" s="222"/>
      <c r="CH385" s="222"/>
      <c r="CI385" s="222"/>
      <c r="CJ385" s="222"/>
      <c r="CK385" s="222"/>
      <c r="CL385" s="222"/>
      <c r="CM385" s="222"/>
      <c r="CN385" s="222"/>
      <c r="CO385" s="222"/>
      <c r="CP385" s="222"/>
      <c r="CQ385" s="222"/>
      <c r="CR385" s="222"/>
      <c r="CS385" s="222"/>
    </row>
    <row r="386">
      <c r="A386" s="43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  <c r="AC386" s="222"/>
      <c r="AD386" s="222"/>
      <c r="AE386" s="222"/>
      <c r="AF386" s="222"/>
      <c r="AG386" s="222"/>
      <c r="AH386" s="222"/>
      <c r="AI386" s="222"/>
      <c r="AJ386" s="222"/>
      <c r="AK386" s="222"/>
      <c r="AL386" s="222"/>
      <c r="AM386" s="222"/>
      <c r="AN386" s="222"/>
      <c r="AO386" s="222"/>
      <c r="AP386" s="222"/>
      <c r="AQ386" s="222"/>
      <c r="AR386" s="222"/>
      <c r="AS386" s="222"/>
      <c r="AT386" s="222"/>
      <c r="AU386" s="222"/>
      <c r="AV386" s="222"/>
      <c r="AW386" s="222"/>
      <c r="AX386" s="222"/>
      <c r="AY386" s="222"/>
      <c r="AZ386" s="222"/>
      <c r="BA386" s="222"/>
      <c r="BB386" s="222"/>
      <c r="BC386" s="222"/>
      <c r="BD386" s="222"/>
      <c r="BE386" s="222"/>
      <c r="BF386" s="222"/>
      <c r="BG386" s="222"/>
      <c r="BH386" s="222"/>
      <c r="BI386" s="222"/>
      <c r="BJ386" s="222"/>
      <c r="BK386" s="222"/>
      <c r="BL386" s="222"/>
      <c r="BM386" s="222"/>
      <c r="BN386" s="222"/>
      <c r="BO386" s="222"/>
      <c r="BP386" s="222"/>
      <c r="BQ386" s="222"/>
      <c r="BR386" s="222"/>
      <c r="BS386" s="222"/>
      <c r="BT386" s="222"/>
      <c r="BU386" s="222"/>
      <c r="BV386" s="222"/>
      <c r="BW386" s="222"/>
      <c r="BX386" s="222"/>
      <c r="BY386" s="222"/>
      <c r="BZ386" s="222"/>
      <c r="CA386" s="222"/>
      <c r="CB386" s="222"/>
      <c r="CC386" s="222"/>
      <c r="CD386" s="222"/>
      <c r="CE386" s="222"/>
      <c r="CF386" s="222"/>
      <c r="CG386" s="222"/>
      <c r="CH386" s="222"/>
      <c r="CI386" s="222"/>
      <c r="CJ386" s="222"/>
      <c r="CK386" s="222"/>
      <c r="CL386" s="222"/>
      <c r="CM386" s="222"/>
      <c r="CN386" s="222"/>
      <c r="CO386" s="222"/>
      <c r="CP386" s="222"/>
      <c r="CQ386" s="222"/>
      <c r="CR386" s="222"/>
      <c r="CS386" s="222"/>
    </row>
    <row r="387">
      <c r="A387" s="43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  <c r="AC387" s="222"/>
      <c r="AD387" s="222"/>
      <c r="AE387" s="222"/>
      <c r="AF387" s="222"/>
      <c r="AG387" s="222"/>
      <c r="AH387" s="222"/>
      <c r="AI387" s="222"/>
      <c r="AJ387" s="222"/>
      <c r="AK387" s="222"/>
      <c r="AL387" s="222"/>
      <c r="AM387" s="222"/>
      <c r="AN387" s="222"/>
      <c r="AO387" s="222"/>
      <c r="AP387" s="222"/>
      <c r="AQ387" s="222"/>
      <c r="AR387" s="222"/>
      <c r="AS387" s="222"/>
      <c r="AT387" s="222"/>
      <c r="AU387" s="222"/>
      <c r="AV387" s="222"/>
      <c r="AW387" s="222"/>
      <c r="AX387" s="222"/>
      <c r="AY387" s="222"/>
      <c r="AZ387" s="222"/>
      <c r="BA387" s="222"/>
      <c r="BB387" s="222"/>
      <c r="BC387" s="222"/>
      <c r="BD387" s="222"/>
      <c r="BE387" s="222"/>
      <c r="BF387" s="222"/>
      <c r="BG387" s="222"/>
      <c r="BH387" s="222"/>
      <c r="BI387" s="222"/>
      <c r="BJ387" s="222"/>
      <c r="BK387" s="222"/>
      <c r="BL387" s="222"/>
      <c r="BM387" s="222"/>
      <c r="BN387" s="222"/>
      <c r="BO387" s="222"/>
      <c r="BP387" s="222"/>
      <c r="BQ387" s="222"/>
      <c r="BR387" s="222"/>
      <c r="BS387" s="222"/>
      <c r="BT387" s="222"/>
      <c r="BU387" s="222"/>
      <c r="BV387" s="222"/>
      <c r="BW387" s="222"/>
      <c r="BX387" s="222"/>
      <c r="BY387" s="222"/>
      <c r="BZ387" s="222"/>
      <c r="CA387" s="222"/>
      <c r="CB387" s="222"/>
      <c r="CC387" s="222"/>
      <c r="CD387" s="222"/>
      <c r="CE387" s="222"/>
      <c r="CF387" s="222"/>
      <c r="CG387" s="222"/>
      <c r="CH387" s="222"/>
      <c r="CI387" s="222"/>
      <c r="CJ387" s="222"/>
      <c r="CK387" s="222"/>
      <c r="CL387" s="222"/>
      <c r="CM387" s="222"/>
      <c r="CN387" s="222"/>
      <c r="CO387" s="222"/>
      <c r="CP387" s="222"/>
      <c r="CQ387" s="222"/>
      <c r="CR387" s="222"/>
      <c r="CS387" s="222"/>
    </row>
    <row r="388">
      <c r="A388" s="43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  <c r="AC388" s="222"/>
      <c r="AD388" s="222"/>
      <c r="AE388" s="222"/>
      <c r="AF388" s="222"/>
      <c r="AG388" s="222"/>
      <c r="AH388" s="222"/>
      <c r="AI388" s="222"/>
      <c r="AJ388" s="222"/>
      <c r="AK388" s="222"/>
      <c r="AL388" s="222"/>
      <c r="AM388" s="222"/>
      <c r="AN388" s="222"/>
      <c r="AO388" s="222"/>
      <c r="AP388" s="222"/>
      <c r="AQ388" s="222"/>
      <c r="AR388" s="222"/>
      <c r="AS388" s="222"/>
      <c r="AT388" s="222"/>
      <c r="AU388" s="222"/>
      <c r="AV388" s="222"/>
      <c r="AW388" s="222"/>
      <c r="AX388" s="222"/>
      <c r="AY388" s="222"/>
      <c r="AZ388" s="222"/>
      <c r="BA388" s="222"/>
      <c r="BB388" s="222"/>
      <c r="BC388" s="222"/>
      <c r="BD388" s="222"/>
      <c r="BE388" s="222"/>
      <c r="BF388" s="222"/>
      <c r="BG388" s="222"/>
      <c r="BH388" s="222"/>
      <c r="BI388" s="222"/>
      <c r="BJ388" s="222"/>
      <c r="BK388" s="222"/>
      <c r="BL388" s="222"/>
      <c r="BM388" s="222"/>
      <c r="BN388" s="222"/>
      <c r="BO388" s="222"/>
      <c r="BP388" s="222"/>
      <c r="BQ388" s="222"/>
      <c r="BR388" s="222"/>
      <c r="BS388" s="222"/>
      <c r="BT388" s="222"/>
      <c r="BU388" s="222"/>
      <c r="BV388" s="222"/>
      <c r="BW388" s="222"/>
      <c r="BX388" s="222"/>
      <c r="BY388" s="222"/>
      <c r="BZ388" s="222"/>
      <c r="CA388" s="222"/>
      <c r="CB388" s="222"/>
      <c r="CC388" s="222"/>
      <c r="CD388" s="222"/>
      <c r="CE388" s="222"/>
      <c r="CF388" s="222"/>
      <c r="CG388" s="222"/>
      <c r="CH388" s="222"/>
      <c r="CI388" s="222"/>
      <c r="CJ388" s="222"/>
      <c r="CK388" s="222"/>
      <c r="CL388" s="222"/>
      <c r="CM388" s="222"/>
      <c r="CN388" s="222"/>
      <c r="CO388" s="222"/>
      <c r="CP388" s="222"/>
      <c r="CQ388" s="222"/>
      <c r="CR388" s="222"/>
      <c r="CS388" s="222"/>
    </row>
    <row r="389">
      <c r="A389" s="43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  <c r="AC389" s="222"/>
      <c r="AD389" s="222"/>
      <c r="AE389" s="222"/>
      <c r="AF389" s="222"/>
      <c r="AG389" s="222"/>
      <c r="AH389" s="222"/>
      <c r="AI389" s="222"/>
      <c r="AJ389" s="222"/>
      <c r="AK389" s="222"/>
      <c r="AL389" s="222"/>
      <c r="AM389" s="222"/>
      <c r="AN389" s="222"/>
      <c r="AO389" s="222"/>
      <c r="AP389" s="222"/>
      <c r="AQ389" s="222"/>
      <c r="AR389" s="222"/>
      <c r="AS389" s="222"/>
      <c r="AT389" s="222"/>
      <c r="AU389" s="222"/>
      <c r="AV389" s="222"/>
      <c r="AW389" s="222"/>
      <c r="AX389" s="222"/>
      <c r="AY389" s="222"/>
      <c r="AZ389" s="222"/>
      <c r="BA389" s="222"/>
      <c r="BB389" s="222"/>
      <c r="BC389" s="222"/>
      <c r="BD389" s="222"/>
      <c r="BE389" s="222"/>
      <c r="BF389" s="222"/>
      <c r="BG389" s="222"/>
      <c r="BH389" s="222"/>
      <c r="BI389" s="222"/>
      <c r="BJ389" s="222"/>
      <c r="BK389" s="222"/>
      <c r="BL389" s="222"/>
      <c r="BM389" s="222"/>
      <c r="BN389" s="222"/>
      <c r="BO389" s="222"/>
      <c r="BP389" s="222"/>
      <c r="BQ389" s="222"/>
      <c r="BR389" s="222"/>
      <c r="BS389" s="222"/>
      <c r="BT389" s="222"/>
      <c r="BU389" s="222"/>
      <c r="BV389" s="222"/>
      <c r="BW389" s="222"/>
      <c r="BX389" s="222"/>
      <c r="BY389" s="222"/>
      <c r="BZ389" s="222"/>
      <c r="CA389" s="222"/>
      <c r="CB389" s="222"/>
      <c r="CC389" s="222"/>
      <c r="CD389" s="222"/>
      <c r="CE389" s="222"/>
      <c r="CF389" s="222"/>
      <c r="CG389" s="222"/>
      <c r="CH389" s="222"/>
      <c r="CI389" s="222"/>
      <c r="CJ389" s="222"/>
      <c r="CK389" s="222"/>
      <c r="CL389" s="222"/>
      <c r="CM389" s="222"/>
      <c r="CN389" s="222"/>
      <c r="CO389" s="222"/>
      <c r="CP389" s="222"/>
      <c r="CQ389" s="222"/>
      <c r="CR389" s="222"/>
      <c r="CS389" s="222"/>
    </row>
    <row r="390">
      <c r="A390" s="43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  <c r="AC390" s="222"/>
      <c r="AD390" s="222"/>
      <c r="AE390" s="222"/>
      <c r="AF390" s="222"/>
      <c r="AG390" s="222"/>
      <c r="AH390" s="222"/>
      <c r="AI390" s="222"/>
      <c r="AJ390" s="222"/>
      <c r="AK390" s="222"/>
      <c r="AL390" s="222"/>
      <c r="AM390" s="222"/>
      <c r="AN390" s="222"/>
      <c r="AO390" s="222"/>
      <c r="AP390" s="222"/>
      <c r="AQ390" s="222"/>
      <c r="AR390" s="222"/>
      <c r="AS390" s="222"/>
      <c r="AT390" s="222"/>
      <c r="AU390" s="222"/>
      <c r="AV390" s="222"/>
      <c r="AW390" s="222"/>
      <c r="AX390" s="222"/>
      <c r="AY390" s="222"/>
      <c r="AZ390" s="222"/>
      <c r="BA390" s="222"/>
      <c r="BB390" s="222"/>
      <c r="BC390" s="222"/>
      <c r="BD390" s="222"/>
      <c r="BE390" s="222"/>
      <c r="BF390" s="222"/>
      <c r="BG390" s="222"/>
      <c r="BH390" s="222"/>
      <c r="BI390" s="222"/>
      <c r="BJ390" s="222"/>
      <c r="BK390" s="222"/>
      <c r="BL390" s="222"/>
      <c r="BM390" s="222"/>
      <c r="BN390" s="222"/>
      <c r="BO390" s="222"/>
      <c r="BP390" s="222"/>
      <c r="BQ390" s="222"/>
      <c r="BR390" s="222"/>
      <c r="BS390" s="222"/>
      <c r="BT390" s="222"/>
      <c r="BU390" s="222"/>
      <c r="BV390" s="222"/>
      <c r="BW390" s="222"/>
      <c r="BX390" s="222"/>
      <c r="BY390" s="222"/>
      <c r="BZ390" s="222"/>
      <c r="CA390" s="222"/>
      <c r="CB390" s="222"/>
      <c r="CC390" s="222"/>
      <c r="CD390" s="222"/>
      <c r="CE390" s="222"/>
      <c r="CF390" s="222"/>
      <c r="CG390" s="222"/>
      <c r="CH390" s="222"/>
      <c r="CI390" s="222"/>
      <c r="CJ390" s="222"/>
      <c r="CK390" s="222"/>
      <c r="CL390" s="222"/>
      <c r="CM390" s="222"/>
      <c r="CN390" s="222"/>
      <c r="CO390" s="222"/>
      <c r="CP390" s="222"/>
      <c r="CQ390" s="222"/>
      <c r="CR390" s="222"/>
      <c r="CS390" s="222"/>
    </row>
    <row r="391">
      <c r="A391" s="43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  <c r="AC391" s="222"/>
      <c r="AD391" s="222"/>
      <c r="AE391" s="222"/>
      <c r="AF391" s="222"/>
      <c r="AG391" s="222"/>
      <c r="AH391" s="222"/>
      <c r="AI391" s="222"/>
      <c r="AJ391" s="222"/>
      <c r="AK391" s="222"/>
      <c r="AL391" s="222"/>
      <c r="AM391" s="222"/>
      <c r="AN391" s="222"/>
      <c r="AO391" s="222"/>
      <c r="AP391" s="222"/>
      <c r="AQ391" s="222"/>
      <c r="AR391" s="222"/>
      <c r="AS391" s="222"/>
      <c r="AT391" s="222"/>
      <c r="AU391" s="222"/>
      <c r="AV391" s="222"/>
      <c r="AW391" s="222"/>
      <c r="AX391" s="222"/>
      <c r="AY391" s="222"/>
      <c r="AZ391" s="222"/>
      <c r="BA391" s="222"/>
      <c r="BB391" s="222"/>
      <c r="BC391" s="222"/>
      <c r="BD391" s="222"/>
      <c r="BE391" s="222"/>
      <c r="BF391" s="222"/>
      <c r="BG391" s="222"/>
      <c r="BH391" s="222"/>
      <c r="BI391" s="222"/>
      <c r="BJ391" s="222"/>
      <c r="BK391" s="222"/>
      <c r="BL391" s="222"/>
      <c r="BM391" s="222"/>
      <c r="BN391" s="222"/>
      <c r="BO391" s="222"/>
      <c r="BP391" s="222"/>
      <c r="BQ391" s="222"/>
      <c r="BR391" s="222"/>
      <c r="BS391" s="222"/>
      <c r="BT391" s="222"/>
      <c r="BU391" s="222"/>
      <c r="BV391" s="222"/>
      <c r="BW391" s="222"/>
      <c r="BX391" s="222"/>
      <c r="BY391" s="222"/>
      <c r="BZ391" s="222"/>
      <c r="CA391" s="222"/>
      <c r="CB391" s="222"/>
      <c r="CC391" s="222"/>
      <c r="CD391" s="222"/>
      <c r="CE391" s="222"/>
      <c r="CF391" s="222"/>
      <c r="CG391" s="222"/>
      <c r="CH391" s="222"/>
      <c r="CI391" s="222"/>
      <c r="CJ391" s="222"/>
      <c r="CK391" s="222"/>
      <c r="CL391" s="222"/>
      <c r="CM391" s="222"/>
      <c r="CN391" s="222"/>
      <c r="CO391" s="222"/>
      <c r="CP391" s="222"/>
      <c r="CQ391" s="222"/>
      <c r="CR391" s="222"/>
      <c r="CS391" s="222"/>
    </row>
    <row r="392">
      <c r="A392" s="43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  <c r="AC392" s="222"/>
      <c r="AD392" s="222"/>
      <c r="AE392" s="222"/>
      <c r="AF392" s="222"/>
      <c r="AG392" s="222"/>
      <c r="AH392" s="222"/>
      <c r="AI392" s="222"/>
      <c r="AJ392" s="222"/>
      <c r="AK392" s="222"/>
      <c r="AL392" s="222"/>
      <c r="AM392" s="222"/>
      <c r="AN392" s="222"/>
      <c r="AO392" s="222"/>
      <c r="AP392" s="222"/>
      <c r="AQ392" s="222"/>
      <c r="AR392" s="222"/>
      <c r="AS392" s="222"/>
      <c r="AT392" s="222"/>
      <c r="AU392" s="222"/>
      <c r="AV392" s="222"/>
      <c r="AW392" s="222"/>
      <c r="AX392" s="222"/>
      <c r="AY392" s="222"/>
      <c r="AZ392" s="222"/>
      <c r="BA392" s="222"/>
      <c r="BB392" s="222"/>
      <c r="BC392" s="222"/>
      <c r="BD392" s="222"/>
      <c r="BE392" s="222"/>
      <c r="BF392" s="222"/>
      <c r="BG392" s="222"/>
      <c r="BH392" s="222"/>
      <c r="BI392" s="222"/>
      <c r="BJ392" s="222"/>
      <c r="BK392" s="222"/>
      <c r="BL392" s="222"/>
      <c r="BM392" s="222"/>
      <c r="BN392" s="222"/>
      <c r="BO392" s="222"/>
      <c r="BP392" s="222"/>
      <c r="BQ392" s="222"/>
      <c r="BR392" s="222"/>
      <c r="BS392" s="222"/>
      <c r="BT392" s="222"/>
      <c r="BU392" s="222"/>
      <c r="BV392" s="222"/>
      <c r="BW392" s="222"/>
      <c r="BX392" s="222"/>
      <c r="BY392" s="222"/>
      <c r="BZ392" s="222"/>
      <c r="CA392" s="222"/>
      <c r="CB392" s="222"/>
      <c r="CC392" s="222"/>
      <c r="CD392" s="222"/>
      <c r="CE392" s="222"/>
      <c r="CF392" s="222"/>
      <c r="CG392" s="222"/>
      <c r="CH392" s="222"/>
      <c r="CI392" s="222"/>
      <c r="CJ392" s="222"/>
      <c r="CK392" s="222"/>
      <c r="CL392" s="222"/>
      <c r="CM392" s="222"/>
      <c r="CN392" s="222"/>
      <c r="CO392" s="222"/>
      <c r="CP392" s="222"/>
      <c r="CQ392" s="222"/>
      <c r="CR392" s="222"/>
      <c r="CS392" s="222"/>
    </row>
    <row r="393">
      <c r="A393" s="43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  <c r="AC393" s="222"/>
      <c r="AD393" s="222"/>
      <c r="AE393" s="222"/>
      <c r="AF393" s="222"/>
      <c r="AG393" s="222"/>
      <c r="AH393" s="222"/>
      <c r="AI393" s="222"/>
      <c r="AJ393" s="222"/>
      <c r="AK393" s="222"/>
      <c r="AL393" s="222"/>
      <c r="AM393" s="222"/>
      <c r="AN393" s="222"/>
      <c r="AO393" s="222"/>
      <c r="AP393" s="222"/>
      <c r="AQ393" s="222"/>
      <c r="AR393" s="222"/>
      <c r="AS393" s="222"/>
      <c r="AT393" s="222"/>
      <c r="AU393" s="222"/>
      <c r="AV393" s="222"/>
      <c r="AW393" s="222"/>
      <c r="AX393" s="222"/>
      <c r="AY393" s="222"/>
      <c r="AZ393" s="222"/>
      <c r="BA393" s="222"/>
      <c r="BB393" s="222"/>
      <c r="BC393" s="222"/>
      <c r="BD393" s="222"/>
      <c r="BE393" s="222"/>
      <c r="BF393" s="222"/>
      <c r="BG393" s="222"/>
      <c r="BH393" s="222"/>
      <c r="BI393" s="222"/>
      <c r="BJ393" s="222"/>
      <c r="BK393" s="222"/>
      <c r="BL393" s="222"/>
      <c r="BM393" s="222"/>
      <c r="BN393" s="222"/>
      <c r="BO393" s="222"/>
      <c r="BP393" s="222"/>
      <c r="BQ393" s="222"/>
      <c r="BR393" s="222"/>
      <c r="BS393" s="222"/>
      <c r="BT393" s="222"/>
      <c r="BU393" s="222"/>
      <c r="BV393" s="222"/>
      <c r="BW393" s="222"/>
      <c r="BX393" s="222"/>
      <c r="BY393" s="222"/>
      <c r="BZ393" s="222"/>
      <c r="CA393" s="222"/>
      <c r="CB393" s="222"/>
      <c r="CC393" s="222"/>
      <c r="CD393" s="222"/>
      <c r="CE393" s="222"/>
      <c r="CF393" s="222"/>
      <c r="CG393" s="222"/>
      <c r="CH393" s="222"/>
      <c r="CI393" s="222"/>
      <c r="CJ393" s="222"/>
      <c r="CK393" s="222"/>
      <c r="CL393" s="222"/>
      <c r="CM393" s="222"/>
      <c r="CN393" s="222"/>
      <c r="CO393" s="222"/>
      <c r="CP393" s="222"/>
      <c r="CQ393" s="222"/>
      <c r="CR393" s="222"/>
      <c r="CS393" s="222"/>
    </row>
    <row r="394">
      <c r="A394" s="43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  <c r="AC394" s="222"/>
      <c r="AD394" s="222"/>
      <c r="AE394" s="222"/>
      <c r="AF394" s="222"/>
      <c r="AG394" s="222"/>
      <c r="AH394" s="222"/>
      <c r="AI394" s="222"/>
      <c r="AJ394" s="222"/>
      <c r="AK394" s="222"/>
      <c r="AL394" s="222"/>
      <c r="AM394" s="222"/>
      <c r="AN394" s="222"/>
      <c r="AO394" s="222"/>
      <c r="AP394" s="222"/>
      <c r="AQ394" s="222"/>
      <c r="AR394" s="222"/>
      <c r="AS394" s="222"/>
      <c r="AT394" s="222"/>
      <c r="AU394" s="222"/>
      <c r="AV394" s="222"/>
      <c r="AW394" s="222"/>
      <c r="AX394" s="222"/>
      <c r="AY394" s="222"/>
      <c r="AZ394" s="222"/>
      <c r="BA394" s="222"/>
      <c r="BB394" s="222"/>
      <c r="BC394" s="222"/>
      <c r="BD394" s="222"/>
      <c r="BE394" s="222"/>
      <c r="BF394" s="222"/>
      <c r="BG394" s="222"/>
      <c r="BH394" s="222"/>
      <c r="BI394" s="222"/>
      <c r="BJ394" s="222"/>
      <c r="BK394" s="222"/>
      <c r="BL394" s="222"/>
      <c r="BM394" s="222"/>
      <c r="BN394" s="222"/>
      <c r="BO394" s="222"/>
      <c r="BP394" s="222"/>
      <c r="BQ394" s="222"/>
      <c r="BR394" s="222"/>
      <c r="BS394" s="222"/>
      <c r="BT394" s="222"/>
      <c r="BU394" s="222"/>
      <c r="BV394" s="222"/>
      <c r="BW394" s="222"/>
      <c r="BX394" s="222"/>
      <c r="BY394" s="222"/>
      <c r="BZ394" s="222"/>
      <c r="CA394" s="222"/>
      <c r="CB394" s="222"/>
      <c r="CC394" s="222"/>
      <c r="CD394" s="222"/>
      <c r="CE394" s="222"/>
      <c r="CF394" s="222"/>
      <c r="CG394" s="222"/>
      <c r="CH394" s="222"/>
      <c r="CI394" s="222"/>
      <c r="CJ394" s="222"/>
      <c r="CK394" s="222"/>
      <c r="CL394" s="222"/>
      <c r="CM394" s="222"/>
      <c r="CN394" s="222"/>
      <c r="CO394" s="222"/>
      <c r="CP394" s="222"/>
      <c r="CQ394" s="222"/>
      <c r="CR394" s="222"/>
      <c r="CS394" s="222"/>
    </row>
    <row r="395">
      <c r="A395" s="43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  <c r="AC395" s="222"/>
      <c r="AD395" s="222"/>
      <c r="AE395" s="222"/>
      <c r="AF395" s="222"/>
      <c r="AG395" s="222"/>
      <c r="AH395" s="222"/>
      <c r="AI395" s="222"/>
      <c r="AJ395" s="222"/>
      <c r="AK395" s="222"/>
      <c r="AL395" s="222"/>
      <c r="AM395" s="222"/>
      <c r="AN395" s="222"/>
      <c r="AO395" s="222"/>
      <c r="AP395" s="222"/>
      <c r="AQ395" s="222"/>
      <c r="AR395" s="222"/>
      <c r="AS395" s="222"/>
      <c r="AT395" s="222"/>
      <c r="AU395" s="222"/>
      <c r="AV395" s="222"/>
      <c r="AW395" s="222"/>
      <c r="AX395" s="222"/>
      <c r="AY395" s="222"/>
      <c r="AZ395" s="222"/>
      <c r="BA395" s="222"/>
      <c r="BB395" s="222"/>
      <c r="BC395" s="222"/>
      <c r="BD395" s="222"/>
      <c r="BE395" s="222"/>
      <c r="BF395" s="222"/>
      <c r="BG395" s="222"/>
      <c r="BH395" s="222"/>
      <c r="BI395" s="222"/>
      <c r="BJ395" s="222"/>
      <c r="BK395" s="222"/>
      <c r="BL395" s="222"/>
      <c r="BM395" s="222"/>
      <c r="BN395" s="222"/>
      <c r="BO395" s="222"/>
      <c r="BP395" s="222"/>
      <c r="BQ395" s="222"/>
      <c r="BR395" s="222"/>
      <c r="BS395" s="222"/>
      <c r="BT395" s="222"/>
      <c r="BU395" s="222"/>
      <c r="BV395" s="222"/>
      <c r="BW395" s="222"/>
      <c r="BX395" s="222"/>
      <c r="BY395" s="222"/>
      <c r="BZ395" s="222"/>
      <c r="CA395" s="222"/>
      <c r="CB395" s="222"/>
      <c r="CC395" s="222"/>
      <c r="CD395" s="222"/>
      <c r="CE395" s="222"/>
      <c r="CF395" s="222"/>
      <c r="CG395" s="222"/>
      <c r="CH395" s="222"/>
      <c r="CI395" s="222"/>
      <c r="CJ395" s="222"/>
      <c r="CK395" s="222"/>
      <c r="CL395" s="222"/>
      <c r="CM395" s="222"/>
      <c r="CN395" s="222"/>
      <c r="CO395" s="222"/>
      <c r="CP395" s="222"/>
      <c r="CQ395" s="222"/>
      <c r="CR395" s="222"/>
      <c r="CS395" s="222"/>
    </row>
    <row r="396">
      <c r="A396" s="43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  <c r="AC396" s="222"/>
      <c r="AD396" s="222"/>
      <c r="AE396" s="222"/>
      <c r="AF396" s="222"/>
      <c r="AG396" s="222"/>
      <c r="AH396" s="222"/>
      <c r="AI396" s="222"/>
      <c r="AJ396" s="222"/>
      <c r="AK396" s="222"/>
      <c r="AL396" s="222"/>
      <c r="AM396" s="222"/>
      <c r="AN396" s="222"/>
      <c r="AO396" s="222"/>
      <c r="AP396" s="222"/>
      <c r="AQ396" s="222"/>
      <c r="AR396" s="222"/>
      <c r="AS396" s="222"/>
      <c r="AT396" s="222"/>
      <c r="AU396" s="222"/>
      <c r="AV396" s="222"/>
      <c r="AW396" s="222"/>
      <c r="AX396" s="222"/>
      <c r="AY396" s="222"/>
      <c r="AZ396" s="222"/>
      <c r="BA396" s="222"/>
      <c r="BB396" s="222"/>
      <c r="BC396" s="222"/>
      <c r="BD396" s="222"/>
      <c r="BE396" s="222"/>
      <c r="BF396" s="222"/>
      <c r="BG396" s="222"/>
      <c r="BH396" s="222"/>
      <c r="BI396" s="222"/>
      <c r="BJ396" s="222"/>
      <c r="BK396" s="222"/>
      <c r="BL396" s="222"/>
      <c r="BM396" s="222"/>
      <c r="BN396" s="222"/>
      <c r="BO396" s="222"/>
      <c r="BP396" s="222"/>
      <c r="BQ396" s="222"/>
      <c r="BR396" s="222"/>
      <c r="BS396" s="222"/>
      <c r="BT396" s="222"/>
      <c r="BU396" s="222"/>
      <c r="BV396" s="222"/>
      <c r="BW396" s="222"/>
      <c r="BX396" s="222"/>
      <c r="BY396" s="222"/>
      <c r="BZ396" s="222"/>
      <c r="CA396" s="222"/>
      <c r="CB396" s="222"/>
      <c r="CC396" s="222"/>
      <c r="CD396" s="222"/>
      <c r="CE396" s="222"/>
      <c r="CF396" s="222"/>
      <c r="CG396" s="222"/>
      <c r="CH396" s="222"/>
      <c r="CI396" s="222"/>
      <c r="CJ396" s="222"/>
      <c r="CK396" s="222"/>
      <c r="CL396" s="222"/>
      <c r="CM396" s="222"/>
      <c r="CN396" s="222"/>
      <c r="CO396" s="222"/>
      <c r="CP396" s="222"/>
      <c r="CQ396" s="222"/>
      <c r="CR396" s="222"/>
      <c r="CS396" s="222"/>
    </row>
    <row r="397">
      <c r="A397" s="43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  <c r="AC397" s="222"/>
      <c r="AD397" s="222"/>
      <c r="AE397" s="222"/>
      <c r="AF397" s="222"/>
      <c r="AG397" s="222"/>
      <c r="AH397" s="222"/>
      <c r="AI397" s="222"/>
      <c r="AJ397" s="222"/>
      <c r="AK397" s="222"/>
      <c r="AL397" s="222"/>
      <c r="AM397" s="222"/>
      <c r="AN397" s="222"/>
      <c r="AO397" s="222"/>
      <c r="AP397" s="222"/>
      <c r="AQ397" s="222"/>
      <c r="AR397" s="222"/>
      <c r="AS397" s="222"/>
      <c r="AT397" s="222"/>
      <c r="AU397" s="222"/>
      <c r="AV397" s="222"/>
      <c r="AW397" s="222"/>
      <c r="AX397" s="222"/>
      <c r="AY397" s="222"/>
      <c r="AZ397" s="222"/>
      <c r="BA397" s="222"/>
      <c r="BB397" s="222"/>
      <c r="BC397" s="222"/>
      <c r="BD397" s="222"/>
      <c r="BE397" s="222"/>
      <c r="BF397" s="222"/>
      <c r="BG397" s="222"/>
      <c r="BH397" s="222"/>
      <c r="BI397" s="222"/>
      <c r="BJ397" s="222"/>
      <c r="BK397" s="222"/>
      <c r="BL397" s="222"/>
      <c r="BM397" s="222"/>
      <c r="BN397" s="222"/>
      <c r="BO397" s="222"/>
      <c r="BP397" s="222"/>
      <c r="BQ397" s="222"/>
      <c r="BR397" s="222"/>
      <c r="BS397" s="222"/>
      <c r="BT397" s="222"/>
      <c r="BU397" s="222"/>
      <c r="BV397" s="222"/>
      <c r="BW397" s="222"/>
      <c r="BX397" s="222"/>
      <c r="BY397" s="222"/>
      <c r="BZ397" s="222"/>
      <c r="CA397" s="222"/>
      <c r="CB397" s="222"/>
      <c r="CC397" s="222"/>
      <c r="CD397" s="222"/>
      <c r="CE397" s="222"/>
      <c r="CF397" s="222"/>
      <c r="CG397" s="222"/>
      <c r="CH397" s="222"/>
      <c r="CI397" s="222"/>
      <c r="CJ397" s="222"/>
      <c r="CK397" s="222"/>
      <c r="CL397" s="222"/>
      <c r="CM397" s="222"/>
      <c r="CN397" s="222"/>
      <c r="CO397" s="222"/>
      <c r="CP397" s="222"/>
      <c r="CQ397" s="222"/>
      <c r="CR397" s="222"/>
      <c r="CS397" s="222"/>
    </row>
    <row r="398">
      <c r="A398" s="43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  <c r="AC398" s="222"/>
      <c r="AD398" s="222"/>
      <c r="AE398" s="222"/>
      <c r="AF398" s="222"/>
      <c r="AG398" s="222"/>
      <c r="AH398" s="222"/>
      <c r="AI398" s="222"/>
      <c r="AJ398" s="222"/>
      <c r="AK398" s="222"/>
      <c r="AL398" s="222"/>
      <c r="AM398" s="222"/>
      <c r="AN398" s="222"/>
      <c r="AO398" s="222"/>
      <c r="AP398" s="222"/>
      <c r="AQ398" s="222"/>
      <c r="AR398" s="222"/>
      <c r="AS398" s="222"/>
      <c r="AT398" s="222"/>
      <c r="AU398" s="222"/>
      <c r="AV398" s="222"/>
      <c r="AW398" s="222"/>
      <c r="AX398" s="222"/>
      <c r="AY398" s="222"/>
      <c r="AZ398" s="222"/>
      <c r="BA398" s="222"/>
      <c r="BB398" s="222"/>
      <c r="BC398" s="222"/>
      <c r="BD398" s="222"/>
      <c r="BE398" s="222"/>
      <c r="BF398" s="222"/>
      <c r="BG398" s="222"/>
      <c r="BH398" s="222"/>
      <c r="BI398" s="222"/>
      <c r="BJ398" s="222"/>
      <c r="BK398" s="222"/>
      <c r="BL398" s="222"/>
      <c r="BM398" s="222"/>
      <c r="BN398" s="222"/>
      <c r="BO398" s="222"/>
      <c r="BP398" s="222"/>
      <c r="BQ398" s="222"/>
      <c r="BR398" s="222"/>
      <c r="BS398" s="222"/>
      <c r="BT398" s="222"/>
      <c r="BU398" s="222"/>
      <c r="BV398" s="222"/>
      <c r="BW398" s="222"/>
      <c r="BX398" s="222"/>
      <c r="BY398" s="222"/>
      <c r="BZ398" s="222"/>
      <c r="CA398" s="222"/>
      <c r="CB398" s="222"/>
      <c r="CC398" s="222"/>
      <c r="CD398" s="222"/>
      <c r="CE398" s="222"/>
      <c r="CF398" s="222"/>
      <c r="CG398" s="222"/>
      <c r="CH398" s="222"/>
      <c r="CI398" s="222"/>
      <c r="CJ398" s="222"/>
      <c r="CK398" s="222"/>
      <c r="CL398" s="222"/>
      <c r="CM398" s="222"/>
      <c r="CN398" s="222"/>
      <c r="CO398" s="222"/>
      <c r="CP398" s="222"/>
      <c r="CQ398" s="222"/>
      <c r="CR398" s="222"/>
      <c r="CS398" s="222"/>
    </row>
    <row r="399">
      <c r="A399" s="43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  <c r="AC399" s="222"/>
      <c r="AD399" s="222"/>
      <c r="AE399" s="222"/>
      <c r="AF399" s="222"/>
      <c r="AG399" s="222"/>
      <c r="AH399" s="222"/>
      <c r="AI399" s="222"/>
      <c r="AJ399" s="222"/>
      <c r="AK399" s="222"/>
      <c r="AL399" s="222"/>
      <c r="AM399" s="222"/>
      <c r="AN399" s="222"/>
      <c r="AO399" s="222"/>
      <c r="AP399" s="222"/>
      <c r="AQ399" s="222"/>
      <c r="AR399" s="222"/>
      <c r="AS399" s="222"/>
      <c r="AT399" s="222"/>
      <c r="AU399" s="222"/>
      <c r="AV399" s="222"/>
      <c r="AW399" s="222"/>
      <c r="AX399" s="222"/>
      <c r="AY399" s="222"/>
      <c r="AZ399" s="222"/>
      <c r="BA399" s="222"/>
      <c r="BB399" s="222"/>
      <c r="BC399" s="222"/>
      <c r="BD399" s="222"/>
      <c r="BE399" s="222"/>
      <c r="BF399" s="222"/>
      <c r="BG399" s="222"/>
      <c r="BH399" s="222"/>
      <c r="BI399" s="222"/>
      <c r="BJ399" s="222"/>
      <c r="BK399" s="222"/>
      <c r="BL399" s="222"/>
      <c r="BM399" s="222"/>
      <c r="BN399" s="222"/>
      <c r="BO399" s="222"/>
      <c r="BP399" s="222"/>
      <c r="BQ399" s="222"/>
      <c r="BR399" s="222"/>
      <c r="BS399" s="222"/>
      <c r="BT399" s="222"/>
      <c r="BU399" s="222"/>
      <c r="BV399" s="222"/>
      <c r="BW399" s="222"/>
      <c r="BX399" s="222"/>
      <c r="BY399" s="222"/>
      <c r="BZ399" s="222"/>
      <c r="CA399" s="222"/>
      <c r="CB399" s="222"/>
      <c r="CC399" s="222"/>
      <c r="CD399" s="222"/>
      <c r="CE399" s="222"/>
      <c r="CF399" s="222"/>
      <c r="CG399" s="222"/>
      <c r="CH399" s="222"/>
      <c r="CI399" s="222"/>
      <c r="CJ399" s="222"/>
      <c r="CK399" s="222"/>
      <c r="CL399" s="222"/>
      <c r="CM399" s="222"/>
      <c r="CN399" s="222"/>
      <c r="CO399" s="222"/>
      <c r="CP399" s="222"/>
      <c r="CQ399" s="222"/>
      <c r="CR399" s="222"/>
      <c r="CS399" s="222"/>
    </row>
    <row r="400">
      <c r="A400" s="43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  <c r="AC400" s="222"/>
      <c r="AD400" s="222"/>
      <c r="AE400" s="222"/>
      <c r="AF400" s="222"/>
      <c r="AG400" s="222"/>
      <c r="AH400" s="222"/>
      <c r="AI400" s="222"/>
      <c r="AJ400" s="222"/>
      <c r="AK400" s="222"/>
      <c r="AL400" s="222"/>
      <c r="AM400" s="222"/>
      <c r="AN400" s="222"/>
      <c r="AO400" s="222"/>
      <c r="AP400" s="222"/>
      <c r="AQ400" s="222"/>
      <c r="AR400" s="222"/>
      <c r="AS400" s="222"/>
      <c r="AT400" s="222"/>
      <c r="AU400" s="222"/>
      <c r="AV400" s="222"/>
      <c r="AW400" s="222"/>
      <c r="AX400" s="222"/>
      <c r="AY400" s="222"/>
      <c r="AZ400" s="222"/>
      <c r="BA400" s="222"/>
      <c r="BB400" s="222"/>
      <c r="BC400" s="222"/>
      <c r="BD400" s="222"/>
      <c r="BE400" s="222"/>
      <c r="BF400" s="222"/>
      <c r="BG400" s="222"/>
      <c r="BH400" s="222"/>
      <c r="BI400" s="222"/>
      <c r="BJ400" s="222"/>
      <c r="BK400" s="222"/>
      <c r="BL400" s="222"/>
      <c r="BM400" s="222"/>
      <c r="BN400" s="222"/>
      <c r="BO400" s="222"/>
      <c r="BP400" s="222"/>
      <c r="BQ400" s="222"/>
      <c r="BR400" s="222"/>
      <c r="BS400" s="222"/>
      <c r="BT400" s="222"/>
      <c r="BU400" s="222"/>
      <c r="BV400" s="222"/>
      <c r="BW400" s="222"/>
      <c r="BX400" s="222"/>
      <c r="BY400" s="222"/>
      <c r="BZ400" s="222"/>
      <c r="CA400" s="222"/>
      <c r="CB400" s="222"/>
      <c r="CC400" s="222"/>
      <c r="CD400" s="222"/>
      <c r="CE400" s="222"/>
      <c r="CF400" s="222"/>
      <c r="CG400" s="222"/>
      <c r="CH400" s="222"/>
      <c r="CI400" s="222"/>
      <c r="CJ400" s="222"/>
      <c r="CK400" s="222"/>
      <c r="CL400" s="222"/>
      <c r="CM400" s="222"/>
      <c r="CN400" s="222"/>
      <c r="CO400" s="222"/>
      <c r="CP400" s="222"/>
      <c r="CQ400" s="222"/>
      <c r="CR400" s="222"/>
      <c r="CS400" s="222"/>
    </row>
    <row r="401">
      <c r="A401" s="43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  <c r="AC401" s="222"/>
      <c r="AD401" s="222"/>
      <c r="AE401" s="222"/>
      <c r="AF401" s="222"/>
      <c r="AG401" s="222"/>
      <c r="AH401" s="222"/>
      <c r="AI401" s="222"/>
      <c r="AJ401" s="222"/>
      <c r="AK401" s="222"/>
      <c r="AL401" s="222"/>
      <c r="AM401" s="222"/>
      <c r="AN401" s="222"/>
      <c r="AO401" s="222"/>
      <c r="AP401" s="222"/>
      <c r="AQ401" s="222"/>
      <c r="AR401" s="222"/>
      <c r="AS401" s="222"/>
      <c r="AT401" s="222"/>
      <c r="AU401" s="222"/>
      <c r="AV401" s="222"/>
      <c r="AW401" s="222"/>
      <c r="AX401" s="222"/>
      <c r="AY401" s="222"/>
      <c r="AZ401" s="222"/>
      <c r="BA401" s="222"/>
      <c r="BB401" s="222"/>
      <c r="BC401" s="222"/>
      <c r="BD401" s="222"/>
      <c r="BE401" s="222"/>
      <c r="BF401" s="222"/>
      <c r="BG401" s="222"/>
      <c r="BH401" s="222"/>
      <c r="BI401" s="222"/>
      <c r="BJ401" s="222"/>
      <c r="BK401" s="222"/>
      <c r="BL401" s="222"/>
      <c r="BM401" s="222"/>
      <c r="BN401" s="222"/>
      <c r="BO401" s="222"/>
      <c r="BP401" s="222"/>
      <c r="BQ401" s="222"/>
      <c r="BR401" s="222"/>
      <c r="BS401" s="222"/>
      <c r="BT401" s="222"/>
      <c r="BU401" s="222"/>
      <c r="BV401" s="222"/>
      <c r="BW401" s="222"/>
      <c r="BX401" s="222"/>
      <c r="BY401" s="222"/>
      <c r="BZ401" s="222"/>
      <c r="CA401" s="222"/>
      <c r="CB401" s="222"/>
      <c r="CC401" s="222"/>
      <c r="CD401" s="222"/>
      <c r="CE401" s="222"/>
      <c r="CF401" s="222"/>
      <c r="CG401" s="222"/>
      <c r="CH401" s="222"/>
      <c r="CI401" s="222"/>
      <c r="CJ401" s="222"/>
      <c r="CK401" s="222"/>
      <c r="CL401" s="222"/>
      <c r="CM401" s="222"/>
      <c r="CN401" s="222"/>
      <c r="CO401" s="222"/>
      <c r="CP401" s="222"/>
      <c r="CQ401" s="222"/>
      <c r="CR401" s="222"/>
      <c r="CS401" s="222"/>
    </row>
    <row r="402">
      <c r="A402" s="43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  <c r="AQ402" s="222"/>
      <c r="AR402" s="222"/>
      <c r="AS402" s="222"/>
      <c r="AT402" s="222"/>
      <c r="AU402" s="222"/>
      <c r="AV402" s="222"/>
      <c r="AW402" s="222"/>
      <c r="AX402" s="222"/>
      <c r="AY402" s="222"/>
      <c r="AZ402" s="222"/>
      <c r="BA402" s="222"/>
      <c r="BB402" s="222"/>
      <c r="BC402" s="222"/>
      <c r="BD402" s="222"/>
      <c r="BE402" s="222"/>
      <c r="BF402" s="222"/>
      <c r="BG402" s="222"/>
      <c r="BH402" s="222"/>
      <c r="BI402" s="222"/>
      <c r="BJ402" s="222"/>
      <c r="BK402" s="222"/>
      <c r="BL402" s="222"/>
      <c r="BM402" s="222"/>
      <c r="BN402" s="222"/>
      <c r="BO402" s="222"/>
      <c r="BP402" s="222"/>
      <c r="BQ402" s="222"/>
      <c r="BR402" s="222"/>
      <c r="BS402" s="222"/>
      <c r="BT402" s="222"/>
      <c r="BU402" s="222"/>
      <c r="BV402" s="222"/>
      <c r="BW402" s="222"/>
      <c r="BX402" s="222"/>
      <c r="BY402" s="222"/>
      <c r="BZ402" s="222"/>
      <c r="CA402" s="222"/>
      <c r="CB402" s="222"/>
      <c r="CC402" s="222"/>
      <c r="CD402" s="222"/>
      <c r="CE402" s="222"/>
      <c r="CF402" s="222"/>
      <c r="CG402" s="222"/>
      <c r="CH402" s="222"/>
      <c r="CI402" s="222"/>
      <c r="CJ402" s="222"/>
      <c r="CK402" s="222"/>
      <c r="CL402" s="222"/>
      <c r="CM402" s="222"/>
      <c r="CN402" s="222"/>
      <c r="CO402" s="222"/>
      <c r="CP402" s="222"/>
      <c r="CQ402" s="222"/>
      <c r="CR402" s="222"/>
      <c r="CS402" s="222"/>
    </row>
    <row r="403">
      <c r="A403" s="43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  <c r="AC403" s="222"/>
      <c r="AD403" s="222"/>
      <c r="AE403" s="222"/>
      <c r="AF403" s="222"/>
      <c r="AG403" s="222"/>
      <c r="AH403" s="222"/>
      <c r="AI403" s="222"/>
      <c r="AJ403" s="222"/>
      <c r="AK403" s="222"/>
      <c r="AL403" s="222"/>
      <c r="AM403" s="222"/>
      <c r="AN403" s="222"/>
      <c r="AO403" s="222"/>
      <c r="AP403" s="222"/>
      <c r="AQ403" s="222"/>
      <c r="AR403" s="222"/>
      <c r="AS403" s="222"/>
      <c r="AT403" s="222"/>
      <c r="AU403" s="222"/>
      <c r="AV403" s="222"/>
      <c r="AW403" s="222"/>
      <c r="AX403" s="222"/>
      <c r="AY403" s="222"/>
      <c r="AZ403" s="222"/>
      <c r="BA403" s="222"/>
      <c r="BB403" s="222"/>
      <c r="BC403" s="222"/>
      <c r="BD403" s="222"/>
      <c r="BE403" s="222"/>
      <c r="BF403" s="222"/>
      <c r="BG403" s="222"/>
      <c r="BH403" s="222"/>
      <c r="BI403" s="222"/>
      <c r="BJ403" s="222"/>
      <c r="BK403" s="222"/>
      <c r="BL403" s="222"/>
      <c r="BM403" s="222"/>
      <c r="BN403" s="222"/>
      <c r="BO403" s="222"/>
      <c r="BP403" s="222"/>
      <c r="BQ403" s="222"/>
      <c r="BR403" s="222"/>
      <c r="BS403" s="222"/>
      <c r="BT403" s="222"/>
      <c r="BU403" s="222"/>
      <c r="BV403" s="222"/>
      <c r="BW403" s="222"/>
      <c r="BX403" s="222"/>
      <c r="BY403" s="222"/>
      <c r="BZ403" s="222"/>
      <c r="CA403" s="222"/>
      <c r="CB403" s="222"/>
      <c r="CC403" s="222"/>
      <c r="CD403" s="222"/>
      <c r="CE403" s="222"/>
      <c r="CF403" s="222"/>
      <c r="CG403" s="222"/>
      <c r="CH403" s="222"/>
      <c r="CI403" s="222"/>
      <c r="CJ403" s="222"/>
      <c r="CK403" s="222"/>
      <c r="CL403" s="222"/>
      <c r="CM403" s="222"/>
      <c r="CN403" s="222"/>
      <c r="CO403" s="222"/>
      <c r="CP403" s="222"/>
      <c r="CQ403" s="222"/>
      <c r="CR403" s="222"/>
      <c r="CS403" s="222"/>
    </row>
    <row r="404">
      <c r="A404" s="43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  <c r="AC404" s="222"/>
      <c r="AD404" s="222"/>
      <c r="AE404" s="222"/>
      <c r="AF404" s="222"/>
      <c r="AG404" s="222"/>
      <c r="AH404" s="222"/>
      <c r="AI404" s="222"/>
      <c r="AJ404" s="222"/>
      <c r="AK404" s="222"/>
      <c r="AL404" s="222"/>
      <c r="AM404" s="222"/>
      <c r="AN404" s="222"/>
      <c r="AO404" s="222"/>
      <c r="AP404" s="222"/>
      <c r="AQ404" s="222"/>
      <c r="AR404" s="222"/>
      <c r="AS404" s="222"/>
      <c r="AT404" s="222"/>
      <c r="AU404" s="222"/>
      <c r="AV404" s="222"/>
      <c r="AW404" s="222"/>
      <c r="AX404" s="222"/>
      <c r="AY404" s="222"/>
      <c r="AZ404" s="222"/>
      <c r="BA404" s="222"/>
      <c r="BB404" s="222"/>
      <c r="BC404" s="222"/>
      <c r="BD404" s="222"/>
      <c r="BE404" s="222"/>
      <c r="BF404" s="222"/>
      <c r="BG404" s="222"/>
      <c r="BH404" s="222"/>
      <c r="BI404" s="222"/>
      <c r="BJ404" s="222"/>
      <c r="BK404" s="222"/>
      <c r="BL404" s="222"/>
      <c r="BM404" s="222"/>
      <c r="BN404" s="222"/>
      <c r="BO404" s="222"/>
      <c r="BP404" s="222"/>
      <c r="BQ404" s="222"/>
      <c r="BR404" s="222"/>
      <c r="BS404" s="222"/>
      <c r="BT404" s="222"/>
      <c r="BU404" s="222"/>
      <c r="BV404" s="222"/>
      <c r="BW404" s="222"/>
      <c r="BX404" s="222"/>
      <c r="BY404" s="222"/>
      <c r="BZ404" s="222"/>
      <c r="CA404" s="222"/>
      <c r="CB404" s="222"/>
      <c r="CC404" s="222"/>
      <c r="CD404" s="222"/>
      <c r="CE404" s="222"/>
      <c r="CF404" s="222"/>
      <c r="CG404" s="222"/>
      <c r="CH404" s="222"/>
      <c r="CI404" s="222"/>
      <c r="CJ404" s="222"/>
      <c r="CK404" s="222"/>
      <c r="CL404" s="222"/>
      <c r="CM404" s="222"/>
      <c r="CN404" s="222"/>
      <c r="CO404" s="222"/>
      <c r="CP404" s="222"/>
      <c r="CQ404" s="222"/>
      <c r="CR404" s="222"/>
      <c r="CS404" s="222"/>
    </row>
    <row r="405">
      <c r="A405" s="43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  <c r="AC405" s="222"/>
      <c r="AD405" s="222"/>
      <c r="AE405" s="222"/>
      <c r="AF405" s="222"/>
      <c r="AG405" s="222"/>
      <c r="AH405" s="222"/>
      <c r="AI405" s="222"/>
      <c r="AJ405" s="222"/>
      <c r="AK405" s="222"/>
      <c r="AL405" s="222"/>
      <c r="AM405" s="222"/>
      <c r="AN405" s="222"/>
      <c r="AO405" s="222"/>
      <c r="AP405" s="222"/>
      <c r="AQ405" s="222"/>
      <c r="AR405" s="222"/>
      <c r="AS405" s="222"/>
      <c r="AT405" s="222"/>
      <c r="AU405" s="222"/>
      <c r="AV405" s="222"/>
      <c r="AW405" s="222"/>
      <c r="AX405" s="222"/>
      <c r="AY405" s="222"/>
      <c r="AZ405" s="222"/>
      <c r="BA405" s="222"/>
      <c r="BB405" s="222"/>
      <c r="BC405" s="222"/>
      <c r="BD405" s="222"/>
      <c r="BE405" s="222"/>
      <c r="BF405" s="222"/>
      <c r="BG405" s="222"/>
      <c r="BH405" s="222"/>
      <c r="BI405" s="222"/>
      <c r="BJ405" s="222"/>
      <c r="BK405" s="222"/>
      <c r="BL405" s="222"/>
      <c r="BM405" s="222"/>
      <c r="BN405" s="222"/>
      <c r="BO405" s="222"/>
      <c r="BP405" s="222"/>
      <c r="BQ405" s="222"/>
      <c r="BR405" s="222"/>
      <c r="BS405" s="222"/>
      <c r="BT405" s="222"/>
      <c r="BU405" s="222"/>
      <c r="BV405" s="222"/>
      <c r="BW405" s="222"/>
      <c r="BX405" s="222"/>
      <c r="BY405" s="222"/>
      <c r="BZ405" s="222"/>
      <c r="CA405" s="222"/>
      <c r="CB405" s="222"/>
      <c r="CC405" s="222"/>
      <c r="CD405" s="222"/>
      <c r="CE405" s="222"/>
      <c r="CF405" s="222"/>
      <c r="CG405" s="222"/>
      <c r="CH405" s="222"/>
      <c r="CI405" s="222"/>
      <c r="CJ405" s="222"/>
      <c r="CK405" s="222"/>
      <c r="CL405" s="222"/>
      <c r="CM405" s="222"/>
      <c r="CN405" s="222"/>
      <c r="CO405" s="222"/>
      <c r="CP405" s="222"/>
      <c r="CQ405" s="222"/>
      <c r="CR405" s="222"/>
      <c r="CS405" s="222"/>
    </row>
    <row r="406">
      <c r="A406" s="43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  <c r="AC406" s="222"/>
      <c r="AD406" s="222"/>
      <c r="AE406" s="222"/>
      <c r="AF406" s="222"/>
      <c r="AG406" s="222"/>
      <c r="AH406" s="222"/>
      <c r="AI406" s="222"/>
      <c r="AJ406" s="222"/>
      <c r="AK406" s="222"/>
      <c r="AL406" s="222"/>
      <c r="AM406" s="222"/>
      <c r="AN406" s="222"/>
      <c r="AO406" s="222"/>
      <c r="AP406" s="222"/>
      <c r="AQ406" s="222"/>
      <c r="AR406" s="222"/>
      <c r="AS406" s="222"/>
      <c r="AT406" s="222"/>
      <c r="AU406" s="222"/>
      <c r="AV406" s="222"/>
      <c r="AW406" s="222"/>
      <c r="AX406" s="222"/>
      <c r="AY406" s="222"/>
      <c r="AZ406" s="222"/>
      <c r="BA406" s="222"/>
      <c r="BB406" s="222"/>
      <c r="BC406" s="222"/>
      <c r="BD406" s="222"/>
      <c r="BE406" s="222"/>
      <c r="BF406" s="222"/>
      <c r="BG406" s="222"/>
      <c r="BH406" s="222"/>
      <c r="BI406" s="222"/>
      <c r="BJ406" s="222"/>
      <c r="BK406" s="222"/>
      <c r="BL406" s="222"/>
      <c r="BM406" s="222"/>
      <c r="BN406" s="222"/>
      <c r="BO406" s="222"/>
      <c r="BP406" s="222"/>
      <c r="BQ406" s="222"/>
      <c r="BR406" s="222"/>
      <c r="BS406" s="222"/>
      <c r="BT406" s="222"/>
      <c r="BU406" s="222"/>
      <c r="BV406" s="222"/>
      <c r="BW406" s="222"/>
      <c r="BX406" s="222"/>
      <c r="BY406" s="222"/>
      <c r="BZ406" s="222"/>
      <c r="CA406" s="222"/>
      <c r="CB406" s="222"/>
      <c r="CC406" s="222"/>
      <c r="CD406" s="222"/>
      <c r="CE406" s="222"/>
      <c r="CF406" s="222"/>
      <c r="CG406" s="222"/>
      <c r="CH406" s="222"/>
      <c r="CI406" s="222"/>
      <c r="CJ406" s="222"/>
      <c r="CK406" s="222"/>
      <c r="CL406" s="222"/>
      <c r="CM406" s="222"/>
      <c r="CN406" s="222"/>
      <c r="CO406" s="222"/>
      <c r="CP406" s="222"/>
      <c r="CQ406" s="222"/>
      <c r="CR406" s="222"/>
      <c r="CS406" s="222"/>
    </row>
    <row r="407">
      <c r="A407" s="43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  <c r="AC407" s="222"/>
      <c r="AD407" s="222"/>
      <c r="AE407" s="222"/>
      <c r="AF407" s="222"/>
      <c r="AG407" s="222"/>
      <c r="AH407" s="222"/>
      <c r="AI407" s="222"/>
      <c r="AJ407" s="222"/>
      <c r="AK407" s="222"/>
      <c r="AL407" s="222"/>
      <c r="AM407" s="222"/>
      <c r="AN407" s="222"/>
      <c r="AO407" s="222"/>
      <c r="AP407" s="222"/>
      <c r="AQ407" s="222"/>
      <c r="AR407" s="222"/>
      <c r="AS407" s="222"/>
      <c r="AT407" s="222"/>
      <c r="AU407" s="222"/>
      <c r="AV407" s="222"/>
      <c r="AW407" s="222"/>
      <c r="AX407" s="222"/>
      <c r="AY407" s="222"/>
      <c r="AZ407" s="222"/>
      <c r="BA407" s="222"/>
      <c r="BB407" s="222"/>
      <c r="BC407" s="222"/>
      <c r="BD407" s="222"/>
      <c r="BE407" s="222"/>
      <c r="BF407" s="222"/>
      <c r="BG407" s="222"/>
      <c r="BH407" s="222"/>
      <c r="BI407" s="222"/>
      <c r="BJ407" s="222"/>
      <c r="BK407" s="222"/>
      <c r="BL407" s="222"/>
      <c r="BM407" s="222"/>
      <c r="BN407" s="222"/>
      <c r="BO407" s="222"/>
      <c r="BP407" s="222"/>
      <c r="BQ407" s="222"/>
      <c r="BR407" s="222"/>
      <c r="BS407" s="222"/>
      <c r="BT407" s="222"/>
      <c r="BU407" s="222"/>
      <c r="BV407" s="222"/>
      <c r="BW407" s="222"/>
      <c r="BX407" s="222"/>
      <c r="BY407" s="222"/>
      <c r="BZ407" s="222"/>
      <c r="CA407" s="222"/>
      <c r="CB407" s="222"/>
      <c r="CC407" s="222"/>
      <c r="CD407" s="222"/>
      <c r="CE407" s="222"/>
      <c r="CF407" s="222"/>
      <c r="CG407" s="222"/>
      <c r="CH407" s="222"/>
      <c r="CI407" s="222"/>
      <c r="CJ407" s="222"/>
      <c r="CK407" s="222"/>
      <c r="CL407" s="222"/>
      <c r="CM407" s="222"/>
      <c r="CN407" s="222"/>
      <c r="CO407" s="222"/>
      <c r="CP407" s="222"/>
      <c r="CQ407" s="222"/>
      <c r="CR407" s="222"/>
      <c r="CS407" s="222"/>
    </row>
    <row r="408">
      <c r="A408" s="43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  <c r="AC408" s="222"/>
      <c r="AD408" s="222"/>
      <c r="AE408" s="222"/>
      <c r="AF408" s="222"/>
      <c r="AG408" s="222"/>
      <c r="AH408" s="222"/>
      <c r="AI408" s="222"/>
      <c r="AJ408" s="222"/>
      <c r="AK408" s="222"/>
      <c r="AL408" s="222"/>
      <c r="AM408" s="222"/>
      <c r="AN408" s="222"/>
      <c r="AO408" s="222"/>
      <c r="AP408" s="222"/>
      <c r="AQ408" s="222"/>
      <c r="AR408" s="222"/>
      <c r="AS408" s="222"/>
      <c r="AT408" s="222"/>
      <c r="AU408" s="222"/>
      <c r="AV408" s="222"/>
      <c r="AW408" s="222"/>
      <c r="AX408" s="222"/>
      <c r="AY408" s="222"/>
      <c r="AZ408" s="222"/>
      <c r="BA408" s="222"/>
      <c r="BB408" s="222"/>
      <c r="BC408" s="222"/>
      <c r="BD408" s="222"/>
      <c r="BE408" s="222"/>
      <c r="BF408" s="222"/>
      <c r="BG408" s="222"/>
      <c r="BH408" s="222"/>
      <c r="BI408" s="222"/>
      <c r="BJ408" s="222"/>
      <c r="BK408" s="222"/>
      <c r="BL408" s="222"/>
      <c r="BM408" s="222"/>
      <c r="BN408" s="222"/>
      <c r="BO408" s="222"/>
      <c r="BP408" s="222"/>
      <c r="BQ408" s="222"/>
      <c r="BR408" s="222"/>
      <c r="BS408" s="222"/>
      <c r="BT408" s="222"/>
      <c r="BU408" s="222"/>
      <c r="BV408" s="222"/>
      <c r="BW408" s="222"/>
      <c r="BX408" s="222"/>
      <c r="BY408" s="222"/>
      <c r="BZ408" s="222"/>
      <c r="CA408" s="222"/>
      <c r="CB408" s="222"/>
      <c r="CC408" s="222"/>
      <c r="CD408" s="222"/>
      <c r="CE408" s="222"/>
      <c r="CF408" s="222"/>
      <c r="CG408" s="222"/>
      <c r="CH408" s="222"/>
      <c r="CI408" s="222"/>
      <c r="CJ408" s="222"/>
      <c r="CK408" s="222"/>
      <c r="CL408" s="222"/>
      <c r="CM408" s="222"/>
      <c r="CN408" s="222"/>
      <c r="CO408" s="222"/>
      <c r="CP408" s="222"/>
      <c r="CQ408" s="222"/>
      <c r="CR408" s="222"/>
      <c r="CS408" s="222"/>
    </row>
    <row r="409">
      <c r="A409" s="43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  <c r="AC409" s="222"/>
      <c r="AD409" s="222"/>
      <c r="AE409" s="222"/>
      <c r="AF409" s="222"/>
      <c r="AG409" s="222"/>
      <c r="AH409" s="222"/>
      <c r="AI409" s="222"/>
      <c r="AJ409" s="222"/>
      <c r="AK409" s="222"/>
      <c r="AL409" s="222"/>
      <c r="AM409" s="222"/>
      <c r="AN409" s="222"/>
      <c r="AO409" s="222"/>
      <c r="AP409" s="222"/>
      <c r="AQ409" s="222"/>
      <c r="AR409" s="222"/>
      <c r="AS409" s="222"/>
      <c r="AT409" s="222"/>
      <c r="AU409" s="222"/>
      <c r="AV409" s="222"/>
      <c r="AW409" s="222"/>
      <c r="AX409" s="222"/>
      <c r="AY409" s="222"/>
      <c r="AZ409" s="222"/>
      <c r="BA409" s="222"/>
      <c r="BB409" s="222"/>
      <c r="BC409" s="222"/>
      <c r="BD409" s="222"/>
      <c r="BE409" s="222"/>
      <c r="BF409" s="222"/>
      <c r="BG409" s="222"/>
      <c r="BH409" s="222"/>
      <c r="BI409" s="222"/>
      <c r="BJ409" s="222"/>
      <c r="BK409" s="222"/>
      <c r="BL409" s="222"/>
      <c r="BM409" s="222"/>
      <c r="BN409" s="222"/>
      <c r="BO409" s="222"/>
      <c r="BP409" s="222"/>
      <c r="BQ409" s="222"/>
      <c r="BR409" s="222"/>
      <c r="BS409" s="222"/>
      <c r="BT409" s="222"/>
      <c r="BU409" s="222"/>
      <c r="BV409" s="222"/>
      <c r="BW409" s="222"/>
      <c r="BX409" s="222"/>
      <c r="BY409" s="222"/>
      <c r="BZ409" s="222"/>
      <c r="CA409" s="222"/>
      <c r="CB409" s="222"/>
      <c r="CC409" s="222"/>
      <c r="CD409" s="222"/>
      <c r="CE409" s="222"/>
      <c r="CF409" s="222"/>
      <c r="CG409" s="222"/>
      <c r="CH409" s="222"/>
      <c r="CI409" s="222"/>
      <c r="CJ409" s="222"/>
      <c r="CK409" s="222"/>
      <c r="CL409" s="222"/>
      <c r="CM409" s="222"/>
      <c r="CN409" s="222"/>
      <c r="CO409" s="222"/>
      <c r="CP409" s="222"/>
      <c r="CQ409" s="222"/>
      <c r="CR409" s="222"/>
      <c r="CS409" s="222"/>
    </row>
    <row r="410">
      <c r="A410" s="43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  <c r="AC410" s="222"/>
      <c r="AD410" s="222"/>
      <c r="AE410" s="222"/>
      <c r="AF410" s="222"/>
      <c r="AG410" s="222"/>
      <c r="AH410" s="222"/>
      <c r="AI410" s="222"/>
      <c r="AJ410" s="222"/>
      <c r="AK410" s="222"/>
      <c r="AL410" s="222"/>
      <c r="AM410" s="222"/>
      <c r="AN410" s="222"/>
      <c r="AO410" s="222"/>
      <c r="AP410" s="222"/>
      <c r="AQ410" s="222"/>
      <c r="AR410" s="222"/>
      <c r="AS410" s="222"/>
      <c r="AT410" s="222"/>
      <c r="AU410" s="222"/>
      <c r="AV410" s="222"/>
      <c r="AW410" s="222"/>
      <c r="AX410" s="222"/>
      <c r="AY410" s="222"/>
      <c r="AZ410" s="222"/>
      <c r="BA410" s="222"/>
      <c r="BB410" s="222"/>
      <c r="BC410" s="222"/>
      <c r="BD410" s="222"/>
      <c r="BE410" s="222"/>
      <c r="BF410" s="222"/>
      <c r="BG410" s="222"/>
      <c r="BH410" s="222"/>
      <c r="BI410" s="222"/>
      <c r="BJ410" s="222"/>
      <c r="BK410" s="222"/>
      <c r="BL410" s="222"/>
      <c r="BM410" s="222"/>
      <c r="BN410" s="222"/>
      <c r="BO410" s="222"/>
      <c r="BP410" s="222"/>
      <c r="BQ410" s="222"/>
      <c r="BR410" s="222"/>
      <c r="BS410" s="222"/>
      <c r="BT410" s="222"/>
      <c r="BU410" s="222"/>
      <c r="BV410" s="222"/>
      <c r="BW410" s="222"/>
      <c r="BX410" s="222"/>
      <c r="BY410" s="222"/>
      <c r="BZ410" s="222"/>
      <c r="CA410" s="222"/>
      <c r="CB410" s="222"/>
      <c r="CC410" s="222"/>
      <c r="CD410" s="222"/>
      <c r="CE410" s="222"/>
      <c r="CF410" s="222"/>
      <c r="CG410" s="222"/>
      <c r="CH410" s="222"/>
      <c r="CI410" s="222"/>
      <c r="CJ410" s="222"/>
      <c r="CK410" s="222"/>
      <c r="CL410" s="222"/>
      <c r="CM410" s="222"/>
      <c r="CN410" s="222"/>
      <c r="CO410" s="222"/>
      <c r="CP410" s="222"/>
      <c r="CQ410" s="222"/>
      <c r="CR410" s="222"/>
      <c r="CS410" s="222"/>
    </row>
    <row r="411">
      <c r="A411" s="43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  <c r="AC411" s="222"/>
      <c r="AD411" s="222"/>
      <c r="AE411" s="222"/>
      <c r="AF411" s="222"/>
      <c r="AG411" s="222"/>
      <c r="AH411" s="222"/>
      <c r="AI411" s="222"/>
      <c r="AJ411" s="222"/>
      <c r="AK411" s="222"/>
      <c r="AL411" s="222"/>
      <c r="AM411" s="222"/>
      <c r="AN411" s="222"/>
      <c r="AO411" s="222"/>
      <c r="AP411" s="222"/>
      <c r="AQ411" s="222"/>
      <c r="AR411" s="222"/>
      <c r="AS411" s="222"/>
      <c r="AT411" s="222"/>
      <c r="AU411" s="222"/>
      <c r="AV411" s="222"/>
      <c r="AW411" s="222"/>
      <c r="AX411" s="222"/>
      <c r="AY411" s="222"/>
      <c r="AZ411" s="222"/>
      <c r="BA411" s="222"/>
      <c r="BB411" s="222"/>
      <c r="BC411" s="222"/>
      <c r="BD411" s="222"/>
      <c r="BE411" s="222"/>
      <c r="BF411" s="222"/>
      <c r="BG411" s="222"/>
      <c r="BH411" s="222"/>
      <c r="BI411" s="222"/>
      <c r="BJ411" s="222"/>
      <c r="BK411" s="222"/>
      <c r="BL411" s="222"/>
      <c r="BM411" s="222"/>
      <c r="BN411" s="222"/>
      <c r="BO411" s="222"/>
      <c r="BP411" s="222"/>
      <c r="BQ411" s="222"/>
      <c r="BR411" s="222"/>
      <c r="BS411" s="222"/>
      <c r="BT411" s="222"/>
      <c r="BU411" s="222"/>
      <c r="BV411" s="222"/>
      <c r="BW411" s="222"/>
      <c r="BX411" s="222"/>
      <c r="BY411" s="222"/>
      <c r="BZ411" s="222"/>
      <c r="CA411" s="222"/>
      <c r="CB411" s="222"/>
      <c r="CC411" s="222"/>
      <c r="CD411" s="222"/>
      <c r="CE411" s="222"/>
      <c r="CF411" s="222"/>
      <c r="CG411" s="222"/>
      <c r="CH411" s="222"/>
      <c r="CI411" s="222"/>
      <c r="CJ411" s="222"/>
      <c r="CK411" s="222"/>
      <c r="CL411" s="222"/>
      <c r="CM411" s="222"/>
      <c r="CN411" s="222"/>
      <c r="CO411" s="222"/>
      <c r="CP411" s="222"/>
      <c r="CQ411" s="222"/>
      <c r="CR411" s="222"/>
      <c r="CS411" s="222"/>
    </row>
    <row r="412">
      <c r="A412" s="43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  <c r="AC412" s="222"/>
      <c r="AD412" s="222"/>
      <c r="AE412" s="222"/>
      <c r="AF412" s="222"/>
      <c r="AG412" s="222"/>
      <c r="AH412" s="222"/>
      <c r="AI412" s="222"/>
      <c r="AJ412" s="222"/>
      <c r="AK412" s="222"/>
      <c r="AL412" s="222"/>
      <c r="AM412" s="222"/>
      <c r="AN412" s="222"/>
      <c r="AO412" s="222"/>
      <c r="AP412" s="222"/>
      <c r="AQ412" s="222"/>
      <c r="AR412" s="222"/>
      <c r="AS412" s="222"/>
      <c r="AT412" s="222"/>
      <c r="AU412" s="222"/>
      <c r="AV412" s="222"/>
      <c r="AW412" s="222"/>
      <c r="AX412" s="222"/>
      <c r="AY412" s="222"/>
      <c r="AZ412" s="222"/>
      <c r="BA412" s="222"/>
      <c r="BB412" s="222"/>
      <c r="BC412" s="222"/>
      <c r="BD412" s="222"/>
      <c r="BE412" s="222"/>
      <c r="BF412" s="222"/>
      <c r="BG412" s="222"/>
      <c r="BH412" s="222"/>
      <c r="BI412" s="222"/>
      <c r="BJ412" s="222"/>
      <c r="BK412" s="222"/>
      <c r="BL412" s="222"/>
      <c r="BM412" s="222"/>
      <c r="BN412" s="222"/>
      <c r="BO412" s="222"/>
      <c r="BP412" s="222"/>
      <c r="BQ412" s="222"/>
      <c r="BR412" s="222"/>
      <c r="BS412" s="222"/>
      <c r="BT412" s="222"/>
      <c r="BU412" s="222"/>
      <c r="BV412" s="222"/>
      <c r="BW412" s="222"/>
      <c r="BX412" s="222"/>
      <c r="BY412" s="222"/>
      <c r="BZ412" s="222"/>
      <c r="CA412" s="222"/>
      <c r="CB412" s="222"/>
      <c r="CC412" s="222"/>
      <c r="CD412" s="222"/>
      <c r="CE412" s="222"/>
      <c r="CF412" s="222"/>
      <c r="CG412" s="222"/>
      <c r="CH412" s="222"/>
      <c r="CI412" s="222"/>
      <c r="CJ412" s="222"/>
      <c r="CK412" s="222"/>
      <c r="CL412" s="222"/>
      <c r="CM412" s="222"/>
      <c r="CN412" s="222"/>
      <c r="CO412" s="222"/>
      <c r="CP412" s="222"/>
      <c r="CQ412" s="222"/>
      <c r="CR412" s="222"/>
      <c r="CS412" s="222"/>
    </row>
    <row r="413">
      <c r="A413" s="43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  <c r="AC413" s="222"/>
      <c r="AD413" s="222"/>
      <c r="AE413" s="222"/>
      <c r="AF413" s="222"/>
      <c r="AG413" s="222"/>
      <c r="AH413" s="222"/>
      <c r="AI413" s="222"/>
      <c r="AJ413" s="222"/>
      <c r="AK413" s="222"/>
      <c r="AL413" s="222"/>
      <c r="AM413" s="222"/>
      <c r="AN413" s="222"/>
      <c r="AO413" s="222"/>
      <c r="AP413" s="222"/>
      <c r="AQ413" s="222"/>
      <c r="AR413" s="222"/>
      <c r="AS413" s="222"/>
      <c r="AT413" s="222"/>
      <c r="AU413" s="222"/>
      <c r="AV413" s="222"/>
      <c r="AW413" s="222"/>
      <c r="AX413" s="222"/>
      <c r="AY413" s="222"/>
      <c r="AZ413" s="222"/>
      <c r="BA413" s="222"/>
      <c r="BB413" s="222"/>
      <c r="BC413" s="222"/>
      <c r="BD413" s="222"/>
      <c r="BE413" s="222"/>
      <c r="BF413" s="222"/>
      <c r="BG413" s="222"/>
      <c r="BH413" s="222"/>
      <c r="BI413" s="222"/>
      <c r="BJ413" s="222"/>
      <c r="BK413" s="222"/>
      <c r="BL413" s="222"/>
      <c r="BM413" s="222"/>
      <c r="BN413" s="222"/>
      <c r="BO413" s="222"/>
      <c r="BP413" s="222"/>
      <c r="BQ413" s="222"/>
      <c r="BR413" s="222"/>
      <c r="BS413" s="222"/>
      <c r="BT413" s="222"/>
      <c r="BU413" s="222"/>
      <c r="BV413" s="222"/>
      <c r="BW413" s="222"/>
      <c r="BX413" s="222"/>
      <c r="BY413" s="222"/>
      <c r="BZ413" s="222"/>
      <c r="CA413" s="222"/>
      <c r="CB413" s="222"/>
      <c r="CC413" s="222"/>
      <c r="CD413" s="222"/>
      <c r="CE413" s="222"/>
      <c r="CF413" s="222"/>
      <c r="CG413" s="222"/>
      <c r="CH413" s="222"/>
      <c r="CI413" s="222"/>
      <c r="CJ413" s="222"/>
      <c r="CK413" s="222"/>
      <c r="CL413" s="222"/>
      <c r="CM413" s="222"/>
      <c r="CN413" s="222"/>
      <c r="CO413" s="222"/>
      <c r="CP413" s="222"/>
      <c r="CQ413" s="222"/>
      <c r="CR413" s="222"/>
      <c r="CS413" s="222"/>
    </row>
    <row r="414">
      <c r="A414" s="43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  <c r="AC414" s="222"/>
      <c r="AD414" s="222"/>
      <c r="AE414" s="222"/>
      <c r="AF414" s="222"/>
      <c r="AG414" s="222"/>
      <c r="AH414" s="222"/>
      <c r="AI414" s="222"/>
      <c r="AJ414" s="222"/>
      <c r="AK414" s="222"/>
      <c r="AL414" s="222"/>
      <c r="AM414" s="222"/>
      <c r="AN414" s="222"/>
      <c r="AO414" s="222"/>
      <c r="AP414" s="222"/>
      <c r="AQ414" s="222"/>
      <c r="AR414" s="222"/>
      <c r="AS414" s="222"/>
      <c r="AT414" s="222"/>
      <c r="AU414" s="222"/>
      <c r="AV414" s="222"/>
      <c r="AW414" s="222"/>
      <c r="AX414" s="222"/>
      <c r="AY414" s="222"/>
      <c r="AZ414" s="222"/>
      <c r="BA414" s="222"/>
      <c r="BB414" s="222"/>
      <c r="BC414" s="222"/>
      <c r="BD414" s="222"/>
      <c r="BE414" s="222"/>
      <c r="BF414" s="222"/>
      <c r="BG414" s="222"/>
      <c r="BH414" s="222"/>
      <c r="BI414" s="222"/>
      <c r="BJ414" s="222"/>
      <c r="BK414" s="222"/>
      <c r="BL414" s="222"/>
      <c r="BM414" s="222"/>
      <c r="BN414" s="222"/>
      <c r="BO414" s="222"/>
      <c r="BP414" s="222"/>
      <c r="BQ414" s="222"/>
      <c r="BR414" s="222"/>
      <c r="BS414" s="222"/>
      <c r="BT414" s="222"/>
      <c r="BU414" s="222"/>
      <c r="BV414" s="222"/>
      <c r="BW414" s="222"/>
      <c r="BX414" s="222"/>
      <c r="BY414" s="222"/>
      <c r="BZ414" s="222"/>
      <c r="CA414" s="222"/>
      <c r="CB414" s="222"/>
      <c r="CC414" s="222"/>
      <c r="CD414" s="222"/>
      <c r="CE414" s="222"/>
      <c r="CF414" s="222"/>
      <c r="CG414" s="222"/>
      <c r="CH414" s="222"/>
      <c r="CI414" s="222"/>
      <c r="CJ414" s="222"/>
      <c r="CK414" s="222"/>
      <c r="CL414" s="222"/>
      <c r="CM414" s="222"/>
      <c r="CN414" s="222"/>
      <c r="CO414" s="222"/>
      <c r="CP414" s="222"/>
      <c r="CQ414" s="222"/>
      <c r="CR414" s="222"/>
      <c r="CS414" s="222"/>
    </row>
    <row r="415">
      <c r="A415" s="43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  <c r="AC415" s="222"/>
      <c r="AD415" s="222"/>
      <c r="AE415" s="222"/>
      <c r="AF415" s="222"/>
      <c r="AG415" s="222"/>
      <c r="AH415" s="222"/>
      <c r="AI415" s="222"/>
      <c r="AJ415" s="222"/>
      <c r="AK415" s="222"/>
      <c r="AL415" s="222"/>
      <c r="AM415" s="222"/>
      <c r="AN415" s="222"/>
      <c r="AO415" s="222"/>
      <c r="AP415" s="222"/>
      <c r="AQ415" s="222"/>
      <c r="AR415" s="222"/>
      <c r="AS415" s="222"/>
      <c r="AT415" s="222"/>
      <c r="AU415" s="222"/>
      <c r="AV415" s="222"/>
      <c r="AW415" s="222"/>
      <c r="AX415" s="222"/>
      <c r="AY415" s="222"/>
      <c r="AZ415" s="222"/>
      <c r="BA415" s="222"/>
      <c r="BB415" s="222"/>
      <c r="BC415" s="222"/>
      <c r="BD415" s="222"/>
      <c r="BE415" s="222"/>
      <c r="BF415" s="222"/>
      <c r="BG415" s="222"/>
      <c r="BH415" s="222"/>
      <c r="BI415" s="222"/>
      <c r="BJ415" s="222"/>
      <c r="BK415" s="222"/>
      <c r="BL415" s="222"/>
      <c r="BM415" s="222"/>
      <c r="BN415" s="222"/>
      <c r="BO415" s="222"/>
      <c r="BP415" s="222"/>
      <c r="BQ415" s="222"/>
      <c r="BR415" s="222"/>
      <c r="BS415" s="222"/>
      <c r="BT415" s="222"/>
      <c r="BU415" s="222"/>
      <c r="BV415" s="222"/>
      <c r="BW415" s="222"/>
      <c r="BX415" s="222"/>
      <c r="BY415" s="222"/>
      <c r="BZ415" s="222"/>
      <c r="CA415" s="222"/>
      <c r="CB415" s="222"/>
      <c r="CC415" s="222"/>
      <c r="CD415" s="222"/>
      <c r="CE415" s="222"/>
      <c r="CF415" s="222"/>
      <c r="CG415" s="222"/>
      <c r="CH415" s="222"/>
      <c r="CI415" s="222"/>
      <c r="CJ415" s="222"/>
      <c r="CK415" s="222"/>
      <c r="CL415" s="222"/>
      <c r="CM415" s="222"/>
      <c r="CN415" s="222"/>
      <c r="CO415" s="222"/>
      <c r="CP415" s="222"/>
      <c r="CQ415" s="222"/>
      <c r="CR415" s="222"/>
      <c r="CS415" s="222"/>
    </row>
    <row r="416">
      <c r="A416" s="43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  <c r="AC416" s="222"/>
      <c r="AD416" s="222"/>
      <c r="AE416" s="222"/>
      <c r="AF416" s="222"/>
      <c r="AG416" s="222"/>
      <c r="AH416" s="222"/>
      <c r="AI416" s="222"/>
      <c r="AJ416" s="222"/>
      <c r="AK416" s="222"/>
      <c r="AL416" s="222"/>
      <c r="AM416" s="222"/>
      <c r="AN416" s="222"/>
      <c r="AO416" s="222"/>
      <c r="AP416" s="222"/>
      <c r="AQ416" s="222"/>
      <c r="AR416" s="222"/>
      <c r="AS416" s="222"/>
      <c r="AT416" s="222"/>
      <c r="AU416" s="222"/>
      <c r="AV416" s="222"/>
      <c r="AW416" s="222"/>
      <c r="AX416" s="222"/>
      <c r="AY416" s="222"/>
      <c r="AZ416" s="222"/>
      <c r="BA416" s="222"/>
      <c r="BB416" s="222"/>
      <c r="BC416" s="222"/>
      <c r="BD416" s="222"/>
      <c r="BE416" s="222"/>
      <c r="BF416" s="222"/>
      <c r="BG416" s="222"/>
      <c r="BH416" s="222"/>
      <c r="BI416" s="222"/>
      <c r="BJ416" s="222"/>
      <c r="BK416" s="222"/>
      <c r="BL416" s="222"/>
      <c r="BM416" s="222"/>
      <c r="BN416" s="222"/>
      <c r="BO416" s="222"/>
      <c r="BP416" s="222"/>
      <c r="BQ416" s="222"/>
      <c r="BR416" s="222"/>
      <c r="BS416" s="222"/>
      <c r="BT416" s="222"/>
      <c r="BU416" s="222"/>
      <c r="BV416" s="222"/>
      <c r="BW416" s="222"/>
      <c r="BX416" s="222"/>
      <c r="BY416" s="222"/>
      <c r="BZ416" s="222"/>
      <c r="CA416" s="222"/>
      <c r="CB416" s="222"/>
      <c r="CC416" s="222"/>
      <c r="CD416" s="222"/>
      <c r="CE416" s="222"/>
      <c r="CF416" s="222"/>
      <c r="CG416" s="222"/>
      <c r="CH416" s="222"/>
      <c r="CI416" s="222"/>
      <c r="CJ416" s="222"/>
      <c r="CK416" s="222"/>
      <c r="CL416" s="222"/>
      <c r="CM416" s="222"/>
      <c r="CN416" s="222"/>
      <c r="CO416" s="222"/>
      <c r="CP416" s="222"/>
      <c r="CQ416" s="222"/>
      <c r="CR416" s="222"/>
      <c r="CS416" s="222"/>
    </row>
    <row r="417">
      <c r="A417" s="43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  <c r="AC417" s="222"/>
      <c r="AD417" s="222"/>
      <c r="AE417" s="222"/>
      <c r="AF417" s="222"/>
      <c r="AG417" s="222"/>
      <c r="AH417" s="222"/>
      <c r="AI417" s="222"/>
      <c r="AJ417" s="222"/>
      <c r="AK417" s="222"/>
      <c r="AL417" s="222"/>
      <c r="AM417" s="222"/>
      <c r="AN417" s="222"/>
      <c r="AO417" s="222"/>
      <c r="AP417" s="222"/>
      <c r="AQ417" s="222"/>
      <c r="AR417" s="222"/>
      <c r="AS417" s="222"/>
      <c r="AT417" s="222"/>
      <c r="AU417" s="222"/>
      <c r="AV417" s="222"/>
      <c r="AW417" s="222"/>
      <c r="AX417" s="222"/>
      <c r="AY417" s="222"/>
      <c r="AZ417" s="222"/>
      <c r="BA417" s="222"/>
      <c r="BB417" s="222"/>
      <c r="BC417" s="222"/>
      <c r="BD417" s="222"/>
      <c r="BE417" s="222"/>
      <c r="BF417" s="222"/>
      <c r="BG417" s="222"/>
      <c r="BH417" s="222"/>
      <c r="BI417" s="222"/>
      <c r="BJ417" s="222"/>
      <c r="BK417" s="222"/>
      <c r="BL417" s="222"/>
      <c r="BM417" s="222"/>
      <c r="BN417" s="222"/>
      <c r="BO417" s="222"/>
      <c r="BP417" s="222"/>
      <c r="BQ417" s="222"/>
      <c r="BR417" s="222"/>
      <c r="BS417" s="222"/>
      <c r="BT417" s="222"/>
      <c r="BU417" s="222"/>
      <c r="BV417" s="222"/>
      <c r="BW417" s="222"/>
      <c r="BX417" s="222"/>
      <c r="BY417" s="222"/>
      <c r="BZ417" s="222"/>
      <c r="CA417" s="222"/>
      <c r="CB417" s="222"/>
      <c r="CC417" s="222"/>
      <c r="CD417" s="222"/>
      <c r="CE417" s="222"/>
      <c r="CF417" s="222"/>
      <c r="CG417" s="222"/>
      <c r="CH417" s="222"/>
      <c r="CI417" s="222"/>
      <c r="CJ417" s="222"/>
      <c r="CK417" s="222"/>
      <c r="CL417" s="222"/>
      <c r="CM417" s="222"/>
      <c r="CN417" s="222"/>
      <c r="CO417" s="222"/>
      <c r="CP417" s="222"/>
      <c r="CQ417" s="222"/>
      <c r="CR417" s="222"/>
      <c r="CS417" s="222"/>
    </row>
    <row r="418">
      <c r="A418" s="43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  <c r="AC418" s="222"/>
      <c r="AD418" s="222"/>
      <c r="AE418" s="222"/>
      <c r="AF418" s="222"/>
      <c r="AG418" s="222"/>
      <c r="AH418" s="222"/>
      <c r="AI418" s="222"/>
      <c r="AJ418" s="222"/>
      <c r="AK418" s="222"/>
      <c r="AL418" s="222"/>
      <c r="AM418" s="222"/>
      <c r="AN418" s="222"/>
      <c r="AO418" s="222"/>
      <c r="AP418" s="222"/>
      <c r="AQ418" s="222"/>
      <c r="AR418" s="222"/>
      <c r="AS418" s="222"/>
      <c r="AT418" s="222"/>
      <c r="AU418" s="222"/>
      <c r="AV418" s="222"/>
      <c r="AW418" s="222"/>
      <c r="AX418" s="222"/>
      <c r="AY418" s="222"/>
      <c r="AZ418" s="222"/>
      <c r="BA418" s="222"/>
      <c r="BB418" s="222"/>
      <c r="BC418" s="222"/>
      <c r="BD418" s="222"/>
      <c r="BE418" s="222"/>
      <c r="BF418" s="222"/>
      <c r="BG418" s="222"/>
      <c r="BH418" s="222"/>
      <c r="BI418" s="222"/>
      <c r="BJ418" s="222"/>
      <c r="BK418" s="222"/>
      <c r="BL418" s="222"/>
      <c r="BM418" s="222"/>
      <c r="BN418" s="222"/>
      <c r="BO418" s="222"/>
      <c r="BP418" s="222"/>
      <c r="BQ418" s="222"/>
      <c r="BR418" s="222"/>
      <c r="BS418" s="222"/>
      <c r="BT418" s="222"/>
      <c r="BU418" s="222"/>
      <c r="BV418" s="222"/>
      <c r="BW418" s="222"/>
      <c r="BX418" s="222"/>
      <c r="BY418" s="222"/>
      <c r="BZ418" s="222"/>
      <c r="CA418" s="222"/>
      <c r="CB418" s="222"/>
      <c r="CC418" s="222"/>
      <c r="CD418" s="222"/>
      <c r="CE418" s="222"/>
      <c r="CF418" s="222"/>
      <c r="CG418" s="222"/>
      <c r="CH418" s="222"/>
      <c r="CI418" s="222"/>
      <c r="CJ418" s="222"/>
      <c r="CK418" s="222"/>
      <c r="CL418" s="222"/>
      <c r="CM418" s="222"/>
      <c r="CN418" s="222"/>
      <c r="CO418" s="222"/>
      <c r="CP418" s="222"/>
      <c r="CQ418" s="222"/>
      <c r="CR418" s="222"/>
      <c r="CS418" s="222"/>
    </row>
    <row r="419">
      <c r="A419" s="43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  <c r="AC419" s="222"/>
      <c r="AD419" s="222"/>
      <c r="AE419" s="222"/>
      <c r="AF419" s="222"/>
      <c r="AG419" s="222"/>
      <c r="AH419" s="222"/>
      <c r="AI419" s="222"/>
      <c r="AJ419" s="222"/>
      <c r="AK419" s="222"/>
      <c r="AL419" s="222"/>
      <c r="AM419" s="222"/>
      <c r="AN419" s="222"/>
      <c r="AO419" s="222"/>
      <c r="AP419" s="222"/>
      <c r="AQ419" s="222"/>
      <c r="AR419" s="222"/>
      <c r="AS419" s="222"/>
      <c r="AT419" s="222"/>
      <c r="AU419" s="222"/>
      <c r="AV419" s="222"/>
      <c r="AW419" s="222"/>
      <c r="AX419" s="222"/>
      <c r="AY419" s="222"/>
      <c r="AZ419" s="222"/>
      <c r="BA419" s="222"/>
      <c r="BB419" s="222"/>
      <c r="BC419" s="222"/>
      <c r="BD419" s="222"/>
      <c r="BE419" s="222"/>
      <c r="BF419" s="222"/>
      <c r="BG419" s="222"/>
      <c r="BH419" s="222"/>
      <c r="BI419" s="222"/>
      <c r="BJ419" s="222"/>
      <c r="BK419" s="222"/>
      <c r="BL419" s="222"/>
      <c r="BM419" s="222"/>
      <c r="BN419" s="222"/>
      <c r="BO419" s="222"/>
      <c r="BP419" s="222"/>
      <c r="BQ419" s="222"/>
      <c r="BR419" s="222"/>
      <c r="BS419" s="222"/>
      <c r="BT419" s="222"/>
      <c r="BU419" s="222"/>
      <c r="BV419" s="222"/>
      <c r="BW419" s="222"/>
      <c r="BX419" s="222"/>
      <c r="BY419" s="222"/>
      <c r="BZ419" s="222"/>
      <c r="CA419" s="222"/>
      <c r="CB419" s="222"/>
      <c r="CC419" s="222"/>
      <c r="CD419" s="222"/>
      <c r="CE419" s="222"/>
      <c r="CF419" s="222"/>
      <c r="CG419" s="222"/>
      <c r="CH419" s="222"/>
      <c r="CI419" s="222"/>
      <c r="CJ419" s="222"/>
      <c r="CK419" s="222"/>
      <c r="CL419" s="222"/>
      <c r="CM419" s="222"/>
      <c r="CN419" s="222"/>
      <c r="CO419" s="222"/>
      <c r="CP419" s="222"/>
      <c r="CQ419" s="222"/>
      <c r="CR419" s="222"/>
      <c r="CS419" s="222"/>
    </row>
    <row r="420">
      <c r="A420" s="43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  <c r="AC420" s="222"/>
      <c r="AD420" s="222"/>
      <c r="AE420" s="222"/>
      <c r="AF420" s="222"/>
      <c r="AG420" s="222"/>
      <c r="AH420" s="222"/>
      <c r="AI420" s="222"/>
      <c r="AJ420" s="222"/>
      <c r="AK420" s="222"/>
      <c r="AL420" s="222"/>
      <c r="AM420" s="222"/>
      <c r="AN420" s="222"/>
      <c r="AO420" s="222"/>
      <c r="AP420" s="222"/>
      <c r="AQ420" s="222"/>
      <c r="AR420" s="222"/>
      <c r="AS420" s="222"/>
      <c r="AT420" s="222"/>
      <c r="AU420" s="222"/>
      <c r="AV420" s="222"/>
      <c r="AW420" s="222"/>
      <c r="AX420" s="222"/>
      <c r="AY420" s="222"/>
      <c r="AZ420" s="222"/>
      <c r="BA420" s="222"/>
      <c r="BB420" s="222"/>
      <c r="BC420" s="222"/>
      <c r="BD420" s="222"/>
      <c r="BE420" s="222"/>
      <c r="BF420" s="222"/>
      <c r="BG420" s="222"/>
      <c r="BH420" s="222"/>
      <c r="BI420" s="222"/>
      <c r="BJ420" s="222"/>
      <c r="BK420" s="222"/>
      <c r="BL420" s="222"/>
      <c r="BM420" s="222"/>
      <c r="BN420" s="222"/>
      <c r="BO420" s="222"/>
      <c r="BP420" s="222"/>
      <c r="BQ420" s="222"/>
      <c r="BR420" s="222"/>
      <c r="BS420" s="222"/>
      <c r="BT420" s="222"/>
      <c r="BU420" s="222"/>
      <c r="BV420" s="222"/>
      <c r="BW420" s="222"/>
      <c r="BX420" s="222"/>
      <c r="BY420" s="222"/>
      <c r="BZ420" s="222"/>
      <c r="CA420" s="222"/>
      <c r="CB420" s="222"/>
      <c r="CC420" s="222"/>
      <c r="CD420" s="222"/>
      <c r="CE420" s="222"/>
      <c r="CF420" s="222"/>
      <c r="CG420" s="222"/>
      <c r="CH420" s="222"/>
      <c r="CI420" s="222"/>
      <c r="CJ420" s="222"/>
      <c r="CK420" s="222"/>
      <c r="CL420" s="222"/>
      <c r="CM420" s="222"/>
      <c r="CN420" s="222"/>
      <c r="CO420" s="222"/>
      <c r="CP420" s="222"/>
      <c r="CQ420" s="222"/>
      <c r="CR420" s="222"/>
      <c r="CS420" s="222"/>
    </row>
    <row r="421">
      <c r="A421" s="43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  <c r="AC421" s="222"/>
      <c r="AD421" s="222"/>
      <c r="AE421" s="222"/>
      <c r="AF421" s="222"/>
      <c r="AG421" s="222"/>
      <c r="AH421" s="222"/>
      <c r="AI421" s="222"/>
      <c r="AJ421" s="222"/>
      <c r="AK421" s="222"/>
      <c r="AL421" s="222"/>
      <c r="AM421" s="222"/>
      <c r="AN421" s="222"/>
      <c r="AO421" s="222"/>
      <c r="AP421" s="222"/>
      <c r="AQ421" s="222"/>
      <c r="AR421" s="222"/>
      <c r="AS421" s="222"/>
      <c r="AT421" s="222"/>
      <c r="AU421" s="222"/>
      <c r="AV421" s="222"/>
      <c r="AW421" s="222"/>
      <c r="AX421" s="222"/>
      <c r="AY421" s="222"/>
      <c r="AZ421" s="222"/>
      <c r="BA421" s="222"/>
      <c r="BB421" s="222"/>
      <c r="BC421" s="222"/>
      <c r="BD421" s="222"/>
      <c r="BE421" s="222"/>
      <c r="BF421" s="222"/>
      <c r="BG421" s="222"/>
      <c r="BH421" s="222"/>
      <c r="BI421" s="222"/>
      <c r="BJ421" s="222"/>
      <c r="BK421" s="222"/>
      <c r="BL421" s="222"/>
      <c r="BM421" s="222"/>
      <c r="BN421" s="222"/>
      <c r="BO421" s="222"/>
      <c r="BP421" s="222"/>
      <c r="BQ421" s="222"/>
      <c r="BR421" s="222"/>
      <c r="BS421" s="222"/>
      <c r="BT421" s="222"/>
      <c r="BU421" s="222"/>
      <c r="BV421" s="222"/>
      <c r="BW421" s="222"/>
      <c r="BX421" s="222"/>
      <c r="BY421" s="222"/>
      <c r="BZ421" s="222"/>
      <c r="CA421" s="222"/>
      <c r="CB421" s="222"/>
      <c r="CC421" s="222"/>
      <c r="CD421" s="222"/>
      <c r="CE421" s="222"/>
      <c r="CF421" s="222"/>
      <c r="CG421" s="222"/>
      <c r="CH421" s="222"/>
      <c r="CI421" s="222"/>
      <c r="CJ421" s="222"/>
      <c r="CK421" s="222"/>
      <c r="CL421" s="222"/>
      <c r="CM421" s="222"/>
      <c r="CN421" s="222"/>
      <c r="CO421" s="222"/>
      <c r="CP421" s="222"/>
      <c r="CQ421" s="222"/>
      <c r="CR421" s="222"/>
      <c r="CS421" s="222"/>
    </row>
    <row r="422">
      <c r="A422" s="43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  <c r="AC422" s="222"/>
      <c r="AD422" s="222"/>
      <c r="AE422" s="222"/>
      <c r="AF422" s="222"/>
      <c r="AG422" s="222"/>
      <c r="AH422" s="222"/>
      <c r="AI422" s="222"/>
      <c r="AJ422" s="222"/>
      <c r="AK422" s="222"/>
      <c r="AL422" s="222"/>
      <c r="AM422" s="222"/>
      <c r="AN422" s="222"/>
      <c r="AO422" s="222"/>
      <c r="AP422" s="222"/>
      <c r="AQ422" s="222"/>
      <c r="AR422" s="222"/>
      <c r="AS422" s="222"/>
      <c r="AT422" s="222"/>
      <c r="AU422" s="222"/>
      <c r="AV422" s="222"/>
      <c r="AW422" s="222"/>
      <c r="AX422" s="222"/>
      <c r="AY422" s="222"/>
      <c r="AZ422" s="222"/>
      <c r="BA422" s="222"/>
      <c r="BB422" s="222"/>
      <c r="BC422" s="222"/>
      <c r="BD422" s="222"/>
      <c r="BE422" s="222"/>
      <c r="BF422" s="222"/>
      <c r="BG422" s="222"/>
      <c r="BH422" s="222"/>
      <c r="BI422" s="222"/>
      <c r="BJ422" s="222"/>
      <c r="BK422" s="222"/>
      <c r="BL422" s="222"/>
      <c r="BM422" s="222"/>
      <c r="BN422" s="222"/>
      <c r="BO422" s="222"/>
      <c r="BP422" s="222"/>
      <c r="BQ422" s="222"/>
      <c r="BR422" s="222"/>
      <c r="BS422" s="222"/>
      <c r="BT422" s="222"/>
      <c r="BU422" s="222"/>
      <c r="BV422" s="222"/>
      <c r="BW422" s="222"/>
      <c r="BX422" s="222"/>
      <c r="BY422" s="222"/>
      <c r="BZ422" s="222"/>
      <c r="CA422" s="222"/>
      <c r="CB422" s="222"/>
      <c r="CC422" s="222"/>
      <c r="CD422" s="222"/>
      <c r="CE422" s="222"/>
      <c r="CF422" s="222"/>
      <c r="CG422" s="222"/>
      <c r="CH422" s="222"/>
      <c r="CI422" s="222"/>
      <c r="CJ422" s="222"/>
      <c r="CK422" s="222"/>
      <c r="CL422" s="222"/>
      <c r="CM422" s="222"/>
      <c r="CN422" s="222"/>
      <c r="CO422" s="222"/>
      <c r="CP422" s="222"/>
      <c r="CQ422" s="222"/>
      <c r="CR422" s="222"/>
      <c r="CS422" s="222"/>
    </row>
    <row r="423">
      <c r="A423" s="43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  <c r="AM423" s="222"/>
      <c r="AN423" s="222"/>
      <c r="AO423" s="222"/>
      <c r="AP423" s="222"/>
      <c r="AQ423" s="222"/>
      <c r="AR423" s="222"/>
      <c r="AS423" s="222"/>
      <c r="AT423" s="222"/>
      <c r="AU423" s="222"/>
      <c r="AV423" s="222"/>
      <c r="AW423" s="222"/>
      <c r="AX423" s="222"/>
      <c r="AY423" s="222"/>
      <c r="AZ423" s="222"/>
      <c r="BA423" s="222"/>
      <c r="BB423" s="222"/>
      <c r="BC423" s="222"/>
      <c r="BD423" s="222"/>
      <c r="BE423" s="222"/>
      <c r="BF423" s="222"/>
      <c r="BG423" s="222"/>
      <c r="BH423" s="222"/>
      <c r="BI423" s="222"/>
      <c r="BJ423" s="222"/>
      <c r="BK423" s="222"/>
      <c r="BL423" s="222"/>
      <c r="BM423" s="222"/>
      <c r="BN423" s="222"/>
      <c r="BO423" s="222"/>
      <c r="BP423" s="222"/>
      <c r="BQ423" s="222"/>
      <c r="BR423" s="222"/>
      <c r="BS423" s="222"/>
      <c r="BT423" s="222"/>
      <c r="BU423" s="222"/>
      <c r="BV423" s="222"/>
      <c r="BW423" s="222"/>
      <c r="BX423" s="222"/>
      <c r="BY423" s="222"/>
      <c r="BZ423" s="222"/>
      <c r="CA423" s="222"/>
      <c r="CB423" s="222"/>
      <c r="CC423" s="222"/>
      <c r="CD423" s="222"/>
      <c r="CE423" s="222"/>
      <c r="CF423" s="222"/>
      <c r="CG423" s="222"/>
      <c r="CH423" s="222"/>
      <c r="CI423" s="222"/>
      <c r="CJ423" s="222"/>
      <c r="CK423" s="222"/>
      <c r="CL423" s="222"/>
      <c r="CM423" s="222"/>
      <c r="CN423" s="222"/>
      <c r="CO423" s="222"/>
      <c r="CP423" s="222"/>
      <c r="CQ423" s="222"/>
      <c r="CR423" s="222"/>
      <c r="CS423" s="222"/>
    </row>
    <row r="424">
      <c r="A424" s="43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2"/>
      <c r="AG424" s="222"/>
      <c r="AH424" s="222"/>
      <c r="AI424" s="222"/>
      <c r="AJ424" s="222"/>
      <c r="AK424" s="222"/>
      <c r="AL424" s="222"/>
      <c r="AM424" s="222"/>
      <c r="AN424" s="222"/>
      <c r="AO424" s="222"/>
      <c r="AP424" s="222"/>
      <c r="AQ424" s="222"/>
      <c r="AR424" s="222"/>
      <c r="AS424" s="222"/>
      <c r="AT424" s="222"/>
      <c r="AU424" s="222"/>
      <c r="AV424" s="222"/>
      <c r="AW424" s="222"/>
      <c r="AX424" s="222"/>
      <c r="AY424" s="222"/>
      <c r="AZ424" s="222"/>
      <c r="BA424" s="222"/>
      <c r="BB424" s="222"/>
      <c r="BC424" s="222"/>
      <c r="BD424" s="222"/>
      <c r="BE424" s="222"/>
      <c r="BF424" s="222"/>
      <c r="BG424" s="222"/>
      <c r="BH424" s="222"/>
      <c r="BI424" s="222"/>
      <c r="BJ424" s="222"/>
      <c r="BK424" s="222"/>
      <c r="BL424" s="222"/>
      <c r="BM424" s="222"/>
      <c r="BN424" s="222"/>
      <c r="BO424" s="222"/>
      <c r="BP424" s="222"/>
      <c r="BQ424" s="222"/>
      <c r="BR424" s="222"/>
      <c r="BS424" s="222"/>
      <c r="BT424" s="222"/>
      <c r="BU424" s="222"/>
      <c r="BV424" s="222"/>
      <c r="BW424" s="222"/>
      <c r="BX424" s="222"/>
      <c r="BY424" s="222"/>
      <c r="BZ424" s="222"/>
      <c r="CA424" s="222"/>
      <c r="CB424" s="222"/>
      <c r="CC424" s="222"/>
      <c r="CD424" s="222"/>
      <c r="CE424" s="222"/>
      <c r="CF424" s="222"/>
      <c r="CG424" s="222"/>
      <c r="CH424" s="222"/>
      <c r="CI424" s="222"/>
      <c r="CJ424" s="222"/>
      <c r="CK424" s="222"/>
      <c r="CL424" s="222"/>
      <c r="CM424" s="222"/>
      <c r="CN424" s="222"/>
      <c r="CO424" s="222"/>
      <c r="CP424" s="222"/>
      <c r="CQ424" s="222"/>
      <c r="CR424" s="222"/>
      <c r="CS424" s="222"/>
    </row>
    <row r="425">
      <c r="A425" s="43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  <c r="AC425" s="222"/>
      <c r="AD425" s="222"/>
      <c r="AE425" s="222"/>
      <c r="AF425" s="222"/>
      <c r="AG425" s="222"/>
      <c r="AH425" s="222"/>
      <c r="AI425" s="222"/>
      <c r="AJ425" s="222"/>
      <c r="AK425" s="222"/>
      <c r="AL425" s="222"/>
      <c r="AM425" s="222"/>
      <c r="AN425" s="222"/>
      <c r="AO425" s="222"/>
      <c r="AP425" s="222"/>
      <c r="AQ425" s="222"/>
      <c r="AR425" s="222"/>
      <c r="AS425" s="222"/>
      <c r="AT425" s="222"/>
      <c r="AU425" s="222"/>
      <c r="AV425" s="222"/>
      <c r="AW425" s="222"/>
      <c r="AX425" s="222"/>
      <c r="AY425" s="222"/>
      <c r="AZ425" s="222"/>
      <c r="BA425" s="222"/>
      <c r="BB425" s="222"/>
      <c r="BC425" s="222"/>
      <c r="BD425" s="222"/>
      <c r="BE425" s="222"/>
      <c r="BF425" s="222"/>
      <c r="BG425" s="222"/>
      <c r="BH425" s="222"/>
      <c r="BI425" s="222"/>
      <c r="BJ425" s="222"/>
      <c r="BK425" s="222"/>
      <c r="BL425" s="222"/>
      <c r="BM425" s="222"/>
      <c r="BN425" s="222"/>
      <c r="BO425" s="222"/>
      <c r="BP425" s="222"/>
      <c r="BQ425" s="222"/>
      <c r="BR425" s="222"/>
      <c r="BS425" s="222"/>
      <c r="BT425" s="222"/>
      <c r="BU425" s="222"/>
      <c r="BV425" s="222"/>
      <c r="BW425" s="222"/>
      <c r="BX425" s="222"/>
      <c r="BY425" s="222"/>
      <c r="BZ425" s="222"/>
      <c r="CA425" s="222"/>
      <c r="CB425" s="222"/>
      <c r="CC425" s="222"/>
      <c r="CD425" s="222"/>
      <c r="CE425" s="222"/>
      <c r="CF425" s="222"/>
      <c r="CG425" s="222"/>
      <c r="CH425" s="222"/>
      <c r="CI425" s="222"/>
      <c r="CJ425" s="222"/>
      <c r="CK425" s="222"/>
      <c r="CL425" s="222"/>
      <c r="CM425" s="222"/>
      <c r="CN425" s="222"/>
      <c r="CO425" s="222"/>
      <c r="CP425" s="222"/>
      <c r="CQ425" s="222"/>
      <c r="CR425" s="222"/>
      <c r="CS425" s="222"/>
    </row>
    <row r="426">
      <c r="A426" s="43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  <c r="AC426" s="222"/>
      <c r="AD426" s="222"/>
      <c r="AE426" s="222"/>
      <c r="AF426" s="222"/>
      <c r="AG426" s="222"/>
      <c r="AH426" s="222"/>
      <c r="AI426" s="222"/>
      <c r="AJ426" s="222"/>
      <c r="AK426" s="222"/>
      <c r="AL426" s="222"/>
      <c r="AM426" s="222"/>
      <c r="AN426" s="222"/>
      <c r="AO426" s="222"/>
      <c r="AP426" s="222"/>
      <c r="AQ426" s="222"/>
      <c r="AR426" s="222"/>
      <c r="AS426" s="222"/>
      <c r="AT426" s="222"/>
      <c r="AU426" s="222"/>
      <c r="AV426" s="222"/>
      <c r="AW426" s="222"/>
      <c r="AX426" s="222"/>
      <c r="AY426" s="222"/>
      <c r="AZ426" s="222"/>
      <c r="BA426" s="222"/>
      <c r="BB426" s="222"/>
      <c r="BC426" s="222"/>
      <c r="BD426" s="222"/>
      <c r="BE426" s="222"/>
      <c r="BF426" s="222"/>
      <c r="BG426" s="222"/>
      <c r="BH426" s="222"/>
      <c r="BI426" s="222"/>
      <c r="BJ426" s="222"/>
      <c r="BK426" s="222"/>
      <c r="BL426" s="222"/>
      <c r="BM426" s="222"/>
      <c r="BN426" s="222"/>
      <c r="BO426" s="222"/>
      <c r="BP426" s="222"/>
      <c r="BQ426" s="222"/>
      <c r="BR426" s="222"/>
      <c r="BS426" s="222"/>
      <c r="BT426" s="222"/>
      <c r="BU426" s="222"/>
      <c r="BV426" s="222"/>
      <c r="BW426" s="222"/>
      <c r="BX426" s="222"/>
      <c r="BY426" s="222"/>
      <c r="BZ426" s="222"/>
      <c r="CA426" s="222"/>
      <c r="CB426" s="222"/>
      <c r="CC426" s="222"/>
      <c r="CD426" s="222"/>
      <c r="CE426" s="222"/>
      <c r="CF426" s="222"/>
      <c r="CG426" s="222"/>
      <c r="CH426" s="222"/>
      <c r="CI426" s="222"/>
      <c r="CJ426" s="222"/>
      <c r="CK426" s="222"/>
      <c r="CL426" s="222"/>
      <c r="CM426" s="222"/>
      <c r="CN426" s="222"/>
      <c r="CO426" s="222"/>
      <c r="CP426" s="222"/>
      <c r="CQ426" s="222"/>
      <c r="CR426" s="222"/>
      <c r="CS426" s="222"/>
    </row>
    <row r="427">
      <c r="A427" s="43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  <c r="AC427" s="222"/>
      <c r="AD427" s="222"/>
      <c r="AE427" s="222"/>
      <c r="AF427" s="222"/>
      <c r="AG427" s="222"/>
      <c r="AH427" s="222"/>
      <c r="AI427" s="222"/>
      <c r="AJ427" s="222"/>
      <c r="AK427" s="222"/>
      <c r="AL427" s="222"/>
      <c r="AM427" s="222"/>
      <c r="AN427" s="222"/>
      <c r="AO427" s="222"/>
      <c r="AP427" s="222"/>
      <c r="AQ427" s="222"/>
      <c r="AR427" s="222"/>
      <c r="AS427" s="222"/>
      <c r="AT427" s="222"/>
      <c r="AU427" s="222"/>
      <c r="AV427" s="222"/>
      <c r="AW427" s="222"/>
      <c r="AX427" s="222"/>
      <c r="AY427" s="222"/>
      <c r="AZ427" s="222"/>
      <c r="BA427" s="222"/>
      <c r="BB427" s="222"/>
      <c r="BC427" s="222"/>
      <c r="BD427" s="222"/>
      <c r="BE427" s="222"/>
      <c r="BF427" s="222"/>
      <c r="BG427" s="222"/>
      <c r="BH427" s="222"/>
      <c r="BI427" s="222"/>
      <c r="BJ427" s="222"/>
      <c r="BK427" s="222"/>
      <c r="BL427" s="222"/>
      <c r="BM427" s="222"/>
      <c r="BN427" s="222"/>
      <c r="BO427" s="222"/>
      <c r="BP427" s="222"/>
      <c r="BQ427" s="222"/>
      <c r="BR427" s="222"/>
      <c r="BS427" s="222"/>
      <c r="BT427" s="222"/>
      <c r="BU427" s="222"/>
      <c r="BV427" s="222"/>
      <c r="BW427" s="222"/>
      <c r="BX427" s="222"/>
      <c r="BY427" s="222"/>
      <c r="BZ427" s="222"/>
      <c r="CA427" s="222"/>
      <c r="CB427" s="222"/>
      <c r="CC427" s="222"/>
      <c r="CD427" s="222"/>
      <c r="CE427" s="222"/>
      <c r="CF427" s="222"/>
      <c r="CG427" s="222"/>
      <c r="CH427" s="222"/>
      <c r="CI427" s="222"/>
      <c r="CJ427" s="222"/>
      <c r="CK427" s="222"/>
      <c r="CL427" s="222"/>
      <c r="CM427" s="222"/>
      <c r="CN427" s="222"/>
      <c r="CO427" s="222"/>
      <c r="CP427" s="222"/>
      <c r="CQ427" s="222"/>
      <c r="CR427" s="222"/>
      <c r="CS427" s="222"/>
    </row>
    <row r="428">
      <c r="A428" s="43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  <c r="AC428" s="222"/>
      <c r="AD428" s="222"/>
      <c r="AE428" s="222"/>
      <c r="AF428" s="222"/>
      <c r="AG428" s="222"/>
      <c r="AH428" s="222"/>
      <c r="AI428" s="222"/>
      <c r="AJ428" s="222"/>
      <c r="AK428" s="222"/>
      <c r="AL428" s="222"/>
      <c r="AM428" s="222"/>
      <c r="AN428" s="222"/>
      <c r="AO428" s="222"/>
      <c r="AP428" s="222"/>
      <c r="AQ428" s="222"/>
      <c r="AR428" s="222"/>
      <c r="AS428" s="222"/>
      <c r="AT428" s="222"/>
      <c r="AU428" s="222"/>
      <c r="AV428" s="222"/>
      <c r="AW428" s="222"/>
      <c r="AX428" s="222"/>
      <c r="AY428" s="222"/>
      <c r="AZ428" s="222"/>
      <c r="BA428" s="222"/>
      <c r="BB428" s="222"/>
      <c r="BC428" s="222"/>
      <c r="BD428" s="222"/>
      <c r="BE428" s="222"/>
      <c r="BF428" s="222"/>
      <c r="BG428" s="222"/>
      <c r="BH428" s="222"/>
      <c r="BI428" s="222"/>
      <c r="BJ428" s="222"/>
      <c r="BK428" s="222"/>
      <c r="BL428" s="222"/>
      <c r="BM428" s="222"/>
      <c r="BN428" s="222"/>
      <c r="BO428" s="222"/>
      <c r="BP428" s="222"/>
      <c r="BQ428" s="222"/>
      <c r="BR428" s="222"/>
      <c r="BS428" s="222"/>
      <c r="BT428" s="222"/>
      <c r="BU428" s="222"/>
      <c r="BV428" s="222"/>
      <c r="BW428" s="222"/>
      <c r="BX428" s="222"/>
      <c r="BY428" s="222"/>
      <c r="BZ428" s="222"/>
      <c r="CA428" s="222"/>
      <c r="CB428" s="222"/>
      <c r="CC428" s="222"/>
      <c r="CD428" s="222"/>
      <c r="CE428" s="222"/>
      <c r="CF428" s="222"/>
      <c r="CG428" s="222"/>
      <c r="CH428" s="222"/>
      <c r="CI428" s="222"/>
      <c r="CJ428" s="222"/>
      <c r="CK428" s="222"/>
      <c r="CL428" s="222"/>
      <c r="CM428" s="222"/>
      <c r="CN428" s="222"/>
      <c r="CO428" s="222"/>
      <c r="CP428" s="222"/>
      <c r="CQ428" s="222"/>
      <c r="CR428" s="222"/>
      <c r="CS428" s="222"/>
    </row>
    <row r="429">
      <c r="A429" s="43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  <c r="AC429" s="222"/>
      <c r="AD429" s="222"/>
      <c r="AE429" s="222"/>
      <c r="AF429" s="222"/>
      <c r="AG429" s="222"/>
      <c r="AH429" s="222"/>
      <c r="AI429" s="222"/>
      <c r="AJ429" s="222"/>
      <c r="AK429" s="222"/>
      <c r="AL429" s="222"/>
      <c r="AM429" s="222"/>
      <c r="AN429" s="222"/>
      <c r="AO429" s="222"/>
      <c r="AP429" s="222"/>
      <c r="AQ429" s="222"/>
      <c r="AR429" s="222"/>
      <c r="AS429" s="222"/>
      <c r="AT429" s="222"/>
      <c r="AU429" s="222"/>
      <c r="AV429" s="222"/>
      <c r="AW429" s="222"/>
      <c r="AX429" s="222"/>
      <c r="AY429" s="222"/>
      <c r="AZ429" s="222"/>
      <c r="BA429" s="222"/>
      <c r="BB429" s="222"/>
      <c r="BC429" s="222"/>
      <c r="BD429" s="222"/>
      <c r="BE429" s="222"/>
      <c r="BF429" s="222"/>
      <c r="BG429" s="222"/>
      <c r="BH429" s="222"/>
      <c r="BI429" s="222"/>
      <c r="BJ429" s="222"/>
      <c r="BK429" s="222"/>
      <c r="BL429" s="222"/>
      <c r="BM429" s="222"/>
      <c r="BN429" s="222"/>
      <c r="BO429" s="222"/>
      <c r="BP429" s="222"/>
      <c r="BQ429" s="222"/>
      <c r="BR429" s="222"/>
      <c r="BS429" s="222"/>
      <c r="BT429" s="222"/>
      <c r="BU429" s="222"/>
      <c r="BV429" s="222"/>
      <c r="BW429" s="222"/>
      <c r="BX429" s="222"/>
      <c r="BY429" s="222"/>
      <c r="BZ429" s="222"/>
      <c r="CA429" s="222"/>
      <c r="CB429" s="222"/>
      <c r="CC429" s="222"/>
      <c r="CD429" s="222"/>
      <c r="CE429" s="222"/>
      <c r="CF429" s="222"/>
      <c r="CG429" s="222"/>
      <c r="CH429" s="222"/>
      <c r="CI429" s="222"/>
      <c r="CJ429" s="222"/>
      <c r="CK429" s="222"/>
      <c r="CL429" s="222"/>
      <c r="CM429" s="222"/>
      <c r="CN429" s="222"/>
      <c r="CO429" s="222"/>
      <c r="CP429" s="222"/>
      <c r="CQ429" s="222"/>
      <c r="CR429" s="222"/>
      <c r="CS429" s="222"/>
    </row>
    <row r="430">
      <c r="A430" s="43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  <c r="AC430" s="222"/>
      <c r="AD430" s="222"/>
      <c r="AE430" s="222"/>
      <c r="AF430" s="222"/>
      <c r="AG430" s="222"/>
      <c r="AH430" s="222"/>
      <c r="AI430" s="222"/>
      <c r="AJ430" s="222"/>
      <c r="AK430" s="222"/>
      <c r="AL430" s="222"/>
      <c r="AM430" s="222"/>
      <c r="AN430" s="222"/>
      <c r="AO430" s="222"/>
      <c r="AP430" s="222"/>
      <c r="AQ430" s="222"/>
      <c r="AR430" s="222"/>
      <c r="AS430" s="222"/>
      <c r="AT430" s="222"/>
      <c r="AU430" s="222"/>
      <c r="AV430" s="222"/>
      <c r="AW430" s="222"/>
      <c r="AX430" s="222"/>
      <c r="AY430" s="222"/>
      <c r="AZ430" s="222"/>
      <c r="BA430" s="222"/>
      <c r="BB430" s="222"/>
      <c r="BC430" s="222"/>
      <c r="BD430" s="222"/>
      <c r="BE430" s="222"/>
      <c r="BF430" s="222"/>
      <c r="BG430" s="222"/>
      <c r="BH430" s="222"/>
      <c r="BI430" s="222"/>
      <c r="BJ430" s="222"/>
      <c r="BK430" s="222"/>
      <c r="BL430" s="222"/>
      <c r="BM430" s="222"/>
      <c r="BN430" s="222"/>
      <c r="BO430" s="222"/>
      <c r="BP430" s="222"/>
      <c r="BQ430" s="222"/>
      <c r="BR430" s="222"/>
      <c r="BS430" s="222"/>
      <c r="BT430" s="222"/>
      <c r="BU430" s="222"/>
      <c r="BV430" s="222"/>
      <c r="BW430" s="222"/>
      <c r="BX430" s="222"/>
      <c r="BY430" s="222"/>
      <c r="BZ430" s="222"/>
      <c r="CA430" s="222"/>
      <c r="CB430" s="222"/>
      <c r="CC430" s="222"/>
      <c r="CD430" s="222"/>
      <c r="CE430" s="222"/>
      <c r="CF430" s="222"/>
      <c r="CG430" s="222"/>
      <c r="CH430" s="222"/>
      <c r="CI430" s="222"/>
      <c r="CJ430" s="222"/>
      <c r="CK430" s="222"/>
      <c r="CL430" s="222"/>
      <c r="CM430" s="222"/>
      <c r="CN430" s="222"/>
      <c r="CO430" s="222"/>
      <c r="CP430" s="222"/>
      <c r="CQ430" s="222"/>
      <c r="CR430" s="222"/>
      <c r="CS430" s="222"/>
    </row>
    <row r="431">
      <c r="A431" s="43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  <c r="AC431" s="222"/>
      <c r="AD431" s="222"/>
      <c r="AE431" s="222"/>
      <c r="AF431" s="222"/>
      <c r="AG431" s="222"/>
      <c r="AH431" s="222"/>
      <c r="AI431" s="222"/>
      <c r="AJ431" s="222"/>
      <c r="AK431" s="222"/>
      <c r="AL431" s="222"/>
      <c r="AM431" s="222"/>
      <c r="AN431" s="222"/>
      <c r="AO431" s="222"/>
      <c r="AP431" s="222"/>
      <c r="AQ431" s="222"/>
      <c r="AR431" s="222"/>
      <c r="AS431" s="222"/>
      <c r="AT431" s="222"/>
      <c r="AU431" s="222"/>
      <c r="AV431" s="222"/>
      <c r="AW431" s="222"/>
      <c r="AX431" s="222"/>
      <c r="AY431" s="222"/>
      <c r="AZ431" s="222"/>
      <c r="BA431" s="222"/>
      <c r="BB431" s="222"/>
      <c r="BC431" s="222"/>
      <c r="BD431" s="222"/>
      <c r="BE431" s="222"/>
      <c r="BF431" s="222"/>
      <c r="BG431" s="222"/>
      <c r="BH431" s="222"/>
      <c r="BI431" s="222"/>
      <c r="BJ431" s="222"/>
      <c r="BK431" s="222"/>
      <c r="BL431" s="222"/>
      <c r="BM431" s="222"/>
      <c r="BN431" s="222"/>
      <c r="BO431" s="222"/>
      <c r="BP431" s="222"/>
      <c r="BQ431" s="222"/>
      <c r="BR431" s="222"/>
      <c r="BS431" s="222"/>
      <c r="BT431" s="222"/>
      <c r="BU431" s="222"/>
      <c r="BV431" s="222"/>
      <c r="BW431" s="222"/>
      <c r="BX431" s="222"/>
      <c r="BY431" s="222"/>
      <c r="BZ431" s="222"/>
      <c r="CA431" s="222"/>
      <c r="CB431" s="222"/>
      <c r="CC431" s="222"/>
      <c r="CD431" s="222"/>
      <c r="CE431" s="222"/>
      <c r="CF431" s="222"/>
      <c r="CG431" s="222"/>
      <c r="CH431" s="222"/>
      <c r="CI431" s="222"/>
      <c r="CJ431" s="222"/>
      <c r="CK431" s="222"/>
      <c r="CL431" s="222"/>
      <c r="CM431" s="222"/>
      <c r="CN431" s="222"/>
      <c r="CO431" s="222"/>
      <c r="CP431" s="222"/>
      <c r="CQ431" s="222"/>
      <c r="CR431" s="222"/>
      <c r="CS431" s="222"/>
    </row>
    <row r="432">
      <c r="A432" s="43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  <c r="AC432" s="222"/>
      <c r="AD432" s="222"/>
      <c r="AE432" s="222"/>
      <c r="AF432" s="222"/>
      <c r="AG432" s="222"/>
      <c r="AH432" s="222"/>
      <c r="AI432" s="222"/>
      <c r="AJ432" s="222"/>
      <c r="AK432" s="222"/>
      <c r="AL432" s="222"/>
      <c r="AM432" s="222"/>
      <c r="AN432" s="222"/>
      <c r="AO432" s="222"/>
      <c r="AP432" s="222"/>
      <c r="AQ432" s="222"/>
      <c r="AR432" s="222"/>
      <c r="AS432" s="222"/>
      <c r="AT432" s="222"/>
      <c r="AU432" s="222"/>
      <c r="AV432" s="222"/>
      <c r="AW432" s="222"/>
      <c r="AX432" s="222"/>
      <c r="AY432" s="222"/>
      <c r="AZ432" s="222"/>
      <c r="BA432" s="222"/>
      <c r="BB432" s="222"/>
      <c r="BC432" s="222"/>
      <c r="BD432" s="222"/>
      <c r="BE432" s="222"/>
      <c r="BF432" s="222"/>
      <c r="BG432" s="222"/>
      <c r="BH432" s="222"/>
      <c r="BI432" s="222"/>
      <c r="BJ432" s="222"/>
      <c r="BK432" s="222"/>
      <c r="BL432" s="222"/>
      <c r="BM432" s="222"/>
      <c r="BN432" s="222"/>
      <c r="BO432" s="222"/>
      <c r="BP432" s="222"/>
      <c r="BQ432" s="222"/>
      <c r="BR432" s="222"/>
      <c r="BS432" s="222"/>
      <c r="BT432" s="222"/>
      <c r="BU432" s="222"/>
      <c r="BV432" s="222"/>
      <c r="BW432" s="222"/>
      <c r="BX432" s="222"/>
      <c r="BY432" s="222"/>
      <c r="BZ432" s="222"/>
      <c r="CA432" s="222"/>
      <c r="CB432" s="222"/>
      <c r="CC432" s="222"/>
      <c r="CD432" s="222"/>
      <c r="CE432" s="222"/>
      <c r="CF432" s="222"/>
      <c r="CG432" s="222"/>
      <c r="CH432" s="222"/>
      <c r="CI432" s="222"/>
      <c r="CJ432" s="222"/>
      <c r="CK432" s="222"/>
      <c r="CL432" s="222"/>
      <c r="CM432" s="222"/>
      <c r="CN432" s="222"/>
      <c r="CO432" s="222"/>
      <c r="CP432" s="222"/>
      <c r="CQ432" s="222"/>
      <c r="CR432" s="222"/>
      <c r="CS432" s="222"/>
    </row>
    <row r="433">
      <c r="A433" s="43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  <c r="AC433" s="222"/>
      <c r="AD433" s="222"/>
      <c r="AE433" s="222"/>
      <c r="AF433" s="222"/>
      <c r="AG433" s="222"/>
      <c r="AH433" s="222"/>
      <c r="AI433" s="222"/>
      <c r="AJ433" s="222"/>
      <c r="AK433" s="222"/>
      <c r="AL433" s="222"/>
      <c r="AM433" s="222"/>
      <c r="AN433" s="222"/>
      <c r="AO433" s="222"/>
      <c r="AP433" s="222"/>
      <c r="AQ433" s="222"/>
      <c r="AR433" s="222"/>
      <c r="AS433" s="222"/>
      <c r="AT433" s="222"/>
      <c r="AU433" s="222"/>
      <c r="AV433" s="222"/>
      <c r="AW433" s="222"/>
      <c r="AX433" s="222"/>
      <c r="AY433" s="222"/>
      <c r="AZ433" s="222"/>
      <c r="BA433" s="222"/>
      <c r="BB433" s="222"/>
      <c r="BC433" s="222"/>
      <c r="BD433" s="222"/>
      <c r="BE433" s="222"/>
      <c r="BF433" s="222"/>
      <c r="BG433" s="222"/>
      <c r="BH433" s="222"/>
      <c r="BI433" s="222"/>
      <c r="BJ433" s="222"/>
      <c r="BK433" s="222"/>
      <c r="BL433" s="222"/>
      <c r="BM433" s="222"/>
      <c r="BN433" s="222"/>
      <c r="BO433" s="222"/>
      <c r="BP433" s="222"/>
      <c r="BQ433" s="222"/>
      <c r="BR433" s="222"/>
      <c r="BS433" s="222"/>
      <c r="BT433" s="222"/>
      <c r="BU433" s="222"/>
      <c r="BV433" s="222"/>
      <c r="BW433" s="222"/>
      <c r="BX433" s="222"/>
      <c r="BY433" s="222"/>
      <c r="BZ433" s="222"/>
      <c r="CA433" s="222"/>
      <c r="CB433" s="222"/>
      <c r="CC433" s="222"/>
      <c r="CD433" s="222"/>
      <c r="CE433" s="222"/>
      <c r="CF433" s="222"/>
      <c r="CG433" s="222"/>
      <c r="CH433" s="222"/>
      <c r="CI433" s="222"/>
      <c r="CJ433" s="222"/>
      <c r="CK433" s="222"/>
      <c r="CL433" s="222"/>
      <c r="CM433" s="222"/>
      <c r="CN433" s="222"/>
      <c r="CO433" s="222"/>
      <c r="CP433" s="222"/>
      <c r="CQ433" s="222"/>
      <c r="CR433" s="222"/>
      <c r="CS433" s="222"/>
    </row>
    <row r="434">
      <c r="A434" s="43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  <c r="AC434" s="222"/>
      <c r="AD434" s="222"/>
      <c r="AE434" s="222"/>
      <c r="AF434" s="222"/>
      <c r="AG434" s="222"/>
      <c r="AH434" s="222"/>
      <c r="AI434" s="222"/>
      <c r="AJ434" s="222"/>
      <c r="AK434" s="222"/>
      <c r="AL434" s="222"/>
      <c r="AM434" s="222"/>
      <c r="AN434" s="222"/>
      <c r="AO434" s="222"/>
      <c r="AP434" s="222"/>
      <c r="AQ434" s="222"/>
      <c r="AR434" s="222"/>
      <c r="AS434" s="222"/>
      <c r="AT434" s="222"/>
      <c r="AU434" s="222"/>
      <c r="AV434" s="222"/>
      <c r="AW434" s="222"/>
      <c r="AX434" s="222"/>
      <c r="AY434" s="222"/>
      <c r="AZ434" s="222"/>
      <c r="BA434" s="222"/>
      <c r="BB434" s="222"/>
      <c r="BC434" s="222"/>
      <c r="BD434" s="222"/>
      <c r="BE434" s="222"/>
      <c r="BF434" s="222"/>
      <c r="BG434" s="222"/>
      <c r="BH434" s="222"/>
      <c r="BI434" s="222"/>
      <c r="BJ434" s="222"/>
      <c r="BK434" s="222"/>
      <c r="BL434" s="222"/>
      <c r="BM434" s="222"/>
      <c r="BN434" s="222"/>
      <c r="BO434" s="222"/>
      <c r="BP434" s="222"/>
      <c r="BQ434" s="222"/>
      <c r="BR434" s="222"/>
      <c r="BS434" s="222"/>
      <c r="BT434" s="222"/>
      <c r="BU434" s="222"/>
      <c r="BV434" s="222"/>
      <c r="BW434" s="222"/>
      <c r="BX434" s="222"/>
      <c r="BY434" s="222"/>
      <c r="BZ434" s="222"/>
      <c r="CA434" s="222"/>
      <c r="CB434" s="222"/>
      <c r="CC434" s="222"/>
      <c r="CD434" s="222"/>
      <c r="CE434" s="222"/>
      <c r="CF434" s="222"/>
      <c r="CG434" s="222"/>
      <c r="CH434" s="222"/>
      <c r="CI434" s="222"/>
      <c r="CJ434" s="222"/>
      <c r="CK434" s="222"/>
      <c r="CL434" s="222"/>
      <c r="CM434" s="222"/>
      <c r="CN434" s="222"/>
      <c r="CO434" s="222"/>
      <c r="CP434" s="222"/>
      <c r="CQ434" s="222"/>
      <c r="CR434" s="222"/>
      <c r="CS434" s="222"/>
    </row>
    <row r="435">
      <c r="A435" s="43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  <c r="AC435" s="222"/>
      <c r="AD435" s="222"/>
      <c r="AE435" s="222"/>
      <c r="AF435" s="222"/>
      <c r="AG435" s="222"/>
      <c r="AH435" s="222"/>
      <c r="AI435" s="222"/>
      <c r="AJ435" s="222"/>
      <c r="AK435" s="222"/>
      <c r="AL435" s="222"/>
      <c r="AM435" s="222"/>
      <c r="AN435" s="222"/>
      <c r="AO435" s="222"/>
      <c r="AP435" s="222"/>
      <c r="AQ435" s="222"/>
      <c r="AR435" s="222"/>
      <c r="AS435" s="222"/>
      <c r="AT435" s="222"/>
      <c r="AU435" s="222"/>
      <c r="AV435" s="222"/>
      <c r="AW435" s="222"/>
      <c r="AX435" s="222"/>
      <c r="AY435" s="222"/>
      <c r="AZ435" s="222"/>
      <c r="BA435" s="222"/>
      <c r="BB435" s="222"/>
      <c r="BC435" s="222"/>
      <c r="BD435" s="222"/>
      <c r="BE435" s="222"/>
      <c r="BF435" s="222"/>
      <c r="BG435" s="222"/>
      <c r="BH435" s="222"/>
      <c r="BI435" s="222"/>
      <c r="BJ435" s="222"/>
      <c r="BK435" s="222"/>
      <c r="BL435" s="222"/>
      <c r="BM435" s="222"/>
      <c r="BN435" s="222"/>
      <c r="BO435" s="222"/>
      <c r="BP435" s="222"/>
      <c r="BQ435" s="222"/>
      <c r="BR435" s="222"/>
      <c r="BS435" s="222"/>
      <c r="BT435" s="222"/>
      <c r="BU435" s="222"/>
      <c r="BV435" s="222"/>
      <c r="BW435" s="222"/>
      <c r="BX435" s="222"/>
      <c r="BY435" s="222"/>
      <c r="BZ435" s="222"/>
      <c r="CA435" s="222"/>
      <c r="CB435" s="222"/>
      <c r="CC435" s="222"/>
      <c r="CD435" s="222"/>
      <c r="CE435" s="222"/>
      <c r="CF435" s="222"/>
      <c r="CG435" s="222"/>
      <c r="CH435" s="222"/>
      <c r="CI435" s="222"/>
      <c r="CJ435" s="222"/>
      <c r="CK435" s="222"/>
      <c r="CL435" s="222"/>
      <c r="CM435" s="222"/>
      <c r="CN435" s="222"/>
      <c r="CO435" s="222"/>
      <c r="CP435" s="222"/>
      <c r="CQ435" s="222"/>
      <c r="CR435" s="222"/>
      <c r="CS435" s="222"/>
    </row>
    <row r="436">
      <c r="A436" s="43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  <c r="AC436" s="222"/>
      <c r="AD436" s="222"/>
      <c r="AE436" s="222"/>
      <c r="AF436" s="222"/>
      <c r="AG436" s="222"/>
      <c r="AH436" s="222"/>
      <c r="AI436" s="222"/>
      <c r="AJ436" s="222"/>
      <c r="AK436" s="222"/>
      <c r="AL436" s="222"/>
      <c r="AM436" s="222"/>
      <c r="AN436" s="222"/>
      <c r="AO436" s="222"/>
      <c r="AP436" s="222"/>
      <c r="AQ436" s="222"/>
      <c r="AR436" s="222"/>
      <c r="AS436" s="222"/>
      <c r="AT436" s="222"/>
      <c r="AU436" s="222"/>
      <c r="AV436" s="222"/>
      <c r="AW436" s="222"/>
      <c r="AX436" s="222"/>
      <c r="AY436" s="222"/>
      <c r="AZ436" s="222"/>
      <c r="BA436" s="222"/>
      <c r="BB436" s="222"/>
      <c r="BC436" s="222"/>
      <c r="BD436" s="222"/>
      <c r="BE436" s="222"/>
      <c r="BF436" s="222"/>
      <c r="BG436" s="222"/>
      <c r="BH436" s="222"/>
      <c r="BI436" s="222"/>
      <c r="BJ436" s="222"/>
      <c r="BK436" s="222"/>
      <c r="BL436" s="222"/>
      <c r="BM436" s="222"/>
      <c r="BN436" s="222"/>
      <c r="BO436" s="222"/>
      <c r="BP436" s="222"/>
      <c r="BQ436" s="222"/>
      <c r="BR436" s="222"/>
      <c r="BS436" s="222"/>
      <c r="BT436" s="222"/>
      <c r="BU436" s="222"/>
      <c r="BV436" s="222"/>
      <c r="BW436" s="222"/>
      <c r="BX436" s="222"/>
      <c r="BY436" s="222"/>
      <c r="BZ436" s="222"/>
      <c r="CA436" s="222"/>
      <c r="CB436" s="222"/>
      <c r="CC436" s="222"/>
      <c r="CD436" s="222"/>
      <c r="CE436" s="222"/>
      <c r="CF436" s="222"/>
      <c r="CG436" s="222"/>
      <c r="CH436" s="222"/>
      <c r="CI436" s="222"/>
      <c r="CJ436" s="222"/>
      <c r="CK436" s="222"/>
      <c r="CL436" s="222"/>
      <c r="CM436" s="222"/>
      <c r="CN436" s="222"/>
      <c r="CO436" s="222"/>
      <c r="CP436" s="222"/>
      <c r="CQ436" s="222"/>
      <c r="CR436" s="222"/>
      <c r="CS436" s="222"/>
    </row>
    <row r="437">
      <c r="A437" s="43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  <c r="AC437" s="222"/>
      <c r="AD437" s="222"/>
      <c r="AE437" s="222"/>
      <c r="AF437" s="222"/>
      <c r="AG437" s="222"/>
      <c r="AH437" s="222"/>
      <c r="AI437" s="222"/>
      <c r="AJ437" s="222"/>
      <c r="AK437" s="222"/>
      <c r="AL437" s="222"/>
      <c r="AM437" s="222"/>
      <c r="AN437" s="222"/>
      <c r="AO437" s="222"/>
      <c r="AP437" s="222"/>
      <c r="AQ437" s="222"/>
      <c r="AR437" s="222"/>
      <c r="AS437" s="222"/>
      <c r="AT437" s="222"/>
      <c r="AU437" s="222"/>
      <c r="AV437" s="222"/>
      <c r="AW437" s="222"/>
      <c r="AX437" s="222"/>
      <c r="AY437" s="222"/>
      <c r="AZ437" s="222"/>
      <c r="BA437" s="222"/>
      <c r="BB437" s="222"/>
      <c r="BC437" s="222"/>
      <c r="BD437" s="222"/>
      <c r="BE437" s="222"/>
      <c r="BF437" s="222"/>
      <c r="BG437" s="222"/>
      <c r="BH437" s="222"/>
      <c r="BI437" s="222"/>
      <c r="BJ437" s="222"/>
      <c r="BK437" s="222"/>
      <c r="BL437" s="222"/>
      <c r="BM437" s="222"/>
      <c r="BN437" s="222"/>
      <c r="BO437" s="222"/>
      <c r="BP437" s="222"/>
      <c r="BQ437" s="222"/>
      <c r="BR437" s="222"/>
      <c r="BS437" s="222"/>
      <c r="BT437" s="222"/>
      <c r="BU437" s="222"/>
      <c r="BV437" s="222"/>
      <c r="BW437" s="222"/>
      <c r="BX437" s="222"/>
      <c r="BY437" s="222"/>
      <c r="BZ437" s="222"/>
      <c r="CA437" s="222"/>
      <c r="CB437" s="222"/>
      <c r="CC437" s="222"/>
      <c r="CD437" s="222"/>
      <c r="CE437" s="222"/>
      <c r="CF437" s="222"/>
      <c r="CG437" s="222"/>
      <c r="CH437" s="222"/>
      <c r="CI437" s="222"/>
      <c r="CJ437" s="222"/>
      <c r="CK437" s="222"/>
      <c r="CL437" s="222"/>
      <c r="CM437" s="222"/>
      <c r="CN437" s="222"/>
      <c r="CO437" s="222"/>
      <c r="CP437" s="222"/>
      <c r="CQ437" s="222"/>
      <c r="CR437" s="222"/>
      <c r="CS437" s="222"/>
    </row>
    <row r="438">
      <c r="A438" s="43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  <c r="AC438" s="222"/>
      <c r="AD438" s="222"/>
      <c r="AE438" s="222"/>
      <c r="AF438" s="222"/>
      <c r="AG438" s="222"/>
      <c r="AH438" s="222"/>
      <c r="AI438" s="222"/>
      <c r="AJ438" s="222"/>
      <c r="AK438" s="222"/>
      <c r="AL438" s="222"/>
      <c r="AM438" s="222"/>
      <c r="AN438" s="222"/>
      <c r="AO438" s="222"/>
      <c r="AP438" s="222"/>
      <c r="AQ438" s="222"/>
      <c r="AR438" s="222"/>
      <c r="AS438" s="222"/>
      <c r="AT438" s="222"/>
      <c r="AU438" s="222"/>
      <c r="AV438" s="222"/>
      <c r="AW438" s="222"/>
      <c r="AX438" s="222"/>
      <c r="AY438" s="222"/>
      <c r="AZ438" s="222"/>
      <c r="BA438" s="222"/>
      <c r="BB438" s="222"/>
      <c r="BC438" s="222"/>
      <c r="BD438" s="222"/>
      <c r="BE438" s="222"/>
      <c r="BF438" s="222"/>
      <c r="BG438" s="222"/>
      <c r="BH438" s="222"/>
      <c r="BI438" s="222"/>
      <c r="BJ438" s="222"/>
      <c r="BK438" s="222"/>
      <c r="BL438" s="222"/>
      <c r="BM438" s="222"/>
      <c r="BN438" s="222"/>
      <c r="BO438" s="222"/>
      <c r="BP438" s="222"/>
      <c r="BQ438" s="222"/>
      <c r="BR438" s="222"/>
      <c r="BS438" s="222"/>
      <c r="BT438" s="222"/>
      <c r="BU438" s="222"/>
      <c r="BV438" s="222"/>
      <c r="BW438" s="222"/>
      <c r="BX438" s="222"/>
      <c r="BY438" s="222"/>
      <c r="BZ438" s="222"/>
      <c r="CA438" s="222"/>
      <c r="CB438" s="222"/>
      <c r="CC438" s="222"/>
      <c r="CD438" s="222"/>
      <c r="CE438" s="222"/>
      <c r="CF438" s="222"/>
      <c r="CG438" s="222"/>
      <c r="CH438" s="222"/>
      <c r="CI438" s="222"/>
      <c r="CJ438" s="222"/>
      <c r="CK438" s="222"/>
      <c r="CL438" s="222"/>
      <c r="CM438" s="222"/>
      <c r="CN438" s="222"/>
      <c r="CO438" s="222"/>
      <c r="CP438" s="222"/>
      <c r="CQ438" s="222"/>
      <c r="CR438" s="222"/>
      <c r="CS438" s="222"/>
    </row>
    <row r="439">
      <c r="A439" s="43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  <c r="AC439" s="222"/>
      <c r="AD439" s="222"/>
      <c r="AE439" s="222"/>
      <c r="AF439" s="222"/>
      <c r="AG439" s="222"/>
      <c r="AH439" s="222"/>
      <c r="AI439" s="222"/>
      <c r="AJ439" s="222"/>
      <c r="AK439" s="222"/>
      <c r="AL439" s="222"/>
      <c r="AM439" s="222"/>
      <c r="AN439" s="222"/>
      <c r="AO439" s="222"/>
      <c r="AP439" s="222"/>
      <c r="AQ439" s="222"/>
      <c r="AR439" s="222"/>
      <c r="AS439" s="222"/>
      <c r="AT439" s="222"/>
      <c r="AU439" s="222"/>
      <c r="AV439" s="222"/>
      <c r="AW439" s="222"/>
      <c r="AX439" s="222"/>
      <c r="AY439" s="222"/>
      <c r="AZ439" s="222"/>
      <c r="BA439" s="222"/>
      <c r="BB439" s="222"/>
      <c r="BC439" s="222"/>
      <c r="BD439" s="222"/>
      <c r="BE439" s="222"/>
      <c r="BF439" s="222"/>
      <c r="BG439" s="222"/>
      <c r="BH439" s="222"/>
      <c r="BI439" s="222"/>
      <c r="BJ439" s="222"/>
      <c r="BK439" s="222"/>
      <c r="BL439" s="222"/>
      <c r="BM439" s="222"/>
      <c r="BN439" s="222"/>
      <c r="BO439" s="222"/>
      <c r="BP439" s="222"/>
      <c r="BQ439" s="222"/>
      <c r="BR439" s="222"/>
      <c r="BS439" s="222"/>
      <c r="BT439" s="222"/>
      <c r="BU439" s="222"/>
      <c r="BV439" s="222"/>
      <c r="BW439" s="222"/>
      <c r="BX439" s="222"/>
      <c r="BY439" s="222"/>
      <c r="BZ439" s="222"/>
      <c r="CA439" s="222"/>
      <c r="CB439" s="222"/>
      <c r="CC439" s="222"/>
      <c r="CD439" s="222"/>
      <c r="CE439" s="222"/>
      <c r="CF439" s="222"/>
      <c r="CG439" s="222"/>
      <c r="CH439" s="222"/>
      <c r="CI439" s="222"/>
      <c r="CJ439" s="222"/>
      <c r="CK439" s="222"/>
      <c r="CL439" s="222"/>
      <c r="CM439" s="222"/>
      <c r="CN439" s="222"/>
      <c r="CO439" s="222"/>
      <c r="CP439" s="222"/>
      <c r="CQ439" s="222"/>
      <c r="CR439" s="222"/>
      <c r="CS439" s="222"/>
    </row>
    <row r="440">
      <c r="A440" s="43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  <c r="AC440" s="222"/>
      <c r="AD440" s="222"/>
      <c r="AE440" s="222"/>
      <c r="AF440" s="222"/>
      <c r="AG440" s="222"/>
      <c r="AH440" s="222"/>
      <c r="AI440" s="222"/>
      <c r="AJ440" s="222"/>
      <c r="AK440" s="222"/>
      <c r="AL440" s="222"/>
      <c r="AM440" s="222"/>
      <c r="AN440" s="222"/>
      <c r="AO440" s="222"/>
      <c r="AP440" s="222"/>
      <c r="AQ440" s="222"/>
      <c r="AR440" s="222"/>
      <c r="AS440" s="222"/>
      <c r="AT440" s="222"/>
      <c r="AU440" s="222"/>
      <c r="AV440" s="222"/>
      <c r="AW440" s="222"/>
      <c r="AX440" s="222"/>
      <c r="AY440" s="222"/>
      <c r="AZ440" s="222"/>
      <c r="BA440" s="222"/>
      <c r="BB440" s="222"/>
      <c r="BC440" s="222"/>
      <c r="BD440" s="222"/>
      <c r="BE440" s="222"/>
      <c r="BF440" s="222"/>
      <c r="BG440" s="222"/>
      <c r="BH440" s="222"/>
      <c r="BI440" s="222"/>
      <c r="BJ440" s="222"/>
      <c r="BK440" s="222"/>
      <c r="BL440" s="222"/>
      <c r="BM440" s="222"/>
      <c r="BN440" s="222"/>
      <c r="BO440" s="222"/>
      <c r="BP440" s="222"/>
      <c r="BQ440" s="222"/>
      <c r="BR440" s="222"/>
      <c r="BS440" s="222"/>
      <c r="BT440" s="222"/>
      <c r="BU440" s="222"/>
      <c r="BV440" s="222"/>
      <c r="BW440" s="222"/>
      <c r="BX440" s="222"/>
      <c r="BY440" s="222"/>
      <c r="BZ440" s="222"/>
      <c r="CA440" s="222"/>
      <c r="CB440" s="222"/>
      <c r="CC440" s="222"/>
      <c r="CD440" s="222"/>
      <c r="CE440" s="222"/>
      <c r="CF440" s="222"/>
      <c r="CG440" s="222"/>
      <c r="CH440" s="222"/>
      <c r="CI440" s="222"/>
      <c r="CJ440" s="222"/>
      <c r="CK440" s="222"/>
      <c r="CL440" s="222"/>
      <c r="CM440" s="222"/>
      <c r="CN440" s="222"/>
      <c r="CO440" s="222"/>
      <c r="CP440" s="222"/>
      <c r="CQ440" s="222"/>
      <c r="CR440" s="222"/>
      <c r="CS440" s="222"/>
    </row>
    <row r="441">
      <c r="A441" s="43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  <c r="AC441" s="222"/>
      <c r="AD441" s="222"/>
      <c r="AE441" s="222"/>
      <c r="AF441" s="222"/>
      <c r="AG441" s="222"/>
      <c r="AH441" s="222"/>
      <c r="AI441" s="222"/>
      <c r="AJ441" s="222"/>
      <c r="AK441" s="222"/>
      <c r="AL441" s="222"/>
      <c r="AM441" s="222"/>
      <c r="AN441" s="222"/>
      <c r="AO441" s="222"/>
      <c r="AP441" s="222"/>
      <c r="AQ441" s="222"/>
      <c r="AR441" s="222"/>
      <c r="AS441" s="222"/>
      <c r="AT441" s="222"/>
      <c r="AU441" s="222"/>
      <c r="AV441" s="222"/>
      <c r="AW441" s="222"/>
      <c r="AX441" s="222"/>
      <c r="AY441" s="222"/>
      <c r="AZ441" s="222"/>
      <c r="BA441" s="222"/>
      <c r="BB441" s="222"/>
      <c r="BC441" s="222"/>
      <c r="BD441" s="222"/>
      <c r="BE441" s="222"/>
      <c r="BF441" s="222"/>
      <c r="BG441" s="222"/>
      <c r="BH441" s="222"/>
      <c r="BI441" s="222"/>
      <c r="BJ441" s="222"/>
      <c r="BK441" s="222"/>
      <c r="BL441" s="222"/>
      <c r="BM441" s="222"/>
      <c r="BN441" s="222"/>
      <c r="BO441" s="222"/>
      <c r="BP441" s="222"/>
      <c r="BQ441" s="222"/>
      <c r="BR441" s="222"/>
      <c r="BS441" s="222"/>
      <c r="BT441" s="222"/>
      <c r="BU441" s="222"/>
      <c r="BV441" s="222"/>
      <c r="BW441" s="222"/>
      <c r="BX441" s="222"/>
      <c r="BY441" s="222"/>
      <c r="BZ441" s="222"/>
      <c r="CA441" s="222"/>
      <c r="CB441" s="222"/>
      <c r="CC441" s="222"/>
      <c r="CD441" s="222"/>
      <c r="CE441" s="222"/>
      <c r="CF441" s="222"/>
      <c r="CG441" s="222"/>
      <c r="CH441" s="222"/>
      <c r="CI441" s="222"/>
      <c r="CJ441" s="222"/>
      <c r="CK441" s="222"/>
      <c r="CL441" s="222"/>
      <c r="CM441" s="222"/>
      <c r="CN441" s="222"/>
      <c r="CO441" s="222"/>
      <c r="CP441" s="222"/>
      <c r="CQ441" s="222"/>
      <c r="CR441" s="222"/>
      <c r="CS441" s="222"/>
    </row>
    <row r="442">
      <c r="A442" s="43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  <c r="AC442" s="222"/>
      <c r="AD442" s="222"/>
      <c r="AE442" s="222"/>
      <c r="AF442" s="222"/>
      <c r="AG442" s="222"/>
      <c r="AH442" s="222"/>
      <c r="AI442" s="222"/>
      <c r="AJ442" s="222"/>
      <c r="AK442" s="222"/>
      <c r="AL442" s="222"/>
      <c r="AM442" s="222"/>
      <c r="AN442" s="222"/>
      <c r="AO442" s="222"/>
      <c r="AP442" s="222"/>
      <c r="AQ442" s="222"/>
      <c r="AR442" s="222"/>
      <c r="AS442" s="222"/>
      <c r="AT442" s="222"/>
      <c r="AU442" s="222"/>
      <c r="AV442" s="222"/>
      <c r="AW442" s="222"/>
      <c r="AX442" s="222"/>
      <c r="AY442" s="222"/>
      <c r="AZ442" s="222"/>
      <c r="BA442" s="222"/>
      <c r="BB442" s="222"/>
      <c r="BC442" s="222"/>
      <c r="BD442" s="222"/>
      <c r="BE442" s="222"/>
      <c r="BF442" s="222"/>
      <c r="BG442" s="222"/>
      <c r="BH442" s="222"/>
      <c r="BI442" s="222"/>
      <c r="BJ442" s="222"/>
      <c r="BK442" s="222"/>
      <c r="BL442" s="222"/>
      <c r="BM442" s="222"/>
      <c r="BN442" s="222"/>
      <c r="BO442" s="222"/>
      <c r="BP442" s="222"/>
      <c r="BQ442" s="222"/>
      <c r="BR442" s="222"/>
      <c r="BS442" s="222"/>
      <c r="BT442" s="222"/>
      <c r="BU442" s="222"/>
      <c r="BV442" s="222"/>
      <c r="BW442" s="222"/>
      <c r="BX442" s="222"/>
      <c r="BY442" s="222"/>
      <c r="BZ442" s="222"/>
      <c r="CA442" s="222"/>
      <c r="CB442" s="222"/>
      <c r="CC442" s="222"/>
      <c r="CD442" s="222"/>
      <c r="CE442" s="222"/>
      <c r="CF442" s="222"/>
      <c r="CG442" s="222"/>
      <c r="CH442" s="222"/>
      <c r="CI442" s="222"/>
      <c r="CJ442" s="222"/>
      <c r="CK442" s="222"/>
      <c r="CL442" s="222"/>
      <c r="CM442" s="222"/>
      <c r="CN442" s="222"/>
      <c r="CO442" s="222"/>
      <c r="CP442" s="222"/>
      <c r="CQ442" s="222"/>
      <c r="CR442" s="222"/>
      <c r="CS442" s="222"/>
    </row>
    <row r="443">
      <c r="A443" s="43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  <c r="AC443" s="222"/>
      <c r="AD443" s="222"/>
      <c r="AE443" s="222"/>
      <c r="AF443" s="222"/>
      <c r="AG443" s="222"/>
      <c r="AH443" s="222"/>
      <c r="AI443" s="222"/>
      <c r="AJ443" s="222"/>
      <c r="AK443" s="222"/>
      <c r="AL443" s="222"/>
      <c r="AM443" s="222"/>
      <c r="AN443" s="222"/>
      <c r="AO443" s="222"/>
      <c r="AP443" s="222"/>
      <c r="AQ443" s="222"/>
      <c r="AR443" s="222"/>
      <c r="AS443" s="222"/>
      <c r="AT443" s="222"/>
      <c r="AU443" s="222"/>
      <c r="AV443" s="222"/>
      <c r="AW443" s="222"/>
      <c r="AX443" s="222"/>
      <c r="AY443" s="222"/>
      <c r="AZ443" s="222"/>
      <c r="BA443" s="222"/>
      <c r="BB443" s="222"/>
      <c r="BC443" s="222"/>
      <c r="BD443" s="222"/>
      <c r="BE443" s="222"/>
      <c r="BF443" s="222"/>
      <c r="BG443" s="222"/>
      <c r="BH443" s="222"/>
      <c r="BI443" s="222"/>
      <c r="BJ443" s="222"/>
      <c r="BK443" s="222"/>
      <c r="BL443" s="222"/>
      <c r="BM443" s="222"/>
      <c r="BN443" s="222"/>
      <c r="BO443" s="222"/>
      <c r="BP443" s="222"/>
      <c r="BQ443" s="222"/>
      <c r="BR443" s="222"/>
      <c r="BS443" s="222"/>
      <c r="BT443" s="222"/>
      <c r="BU443" s="222"/>
      <c r="BV443" s="222"/>
      <c r="BW443" s="222"/>
      <c r="BX443" s="222"/>
      <c r="BY443" s="222"/>
      <c r="BZ443" s="222"/>
      <c r="CA443" s="222"/>
      <c r="CB443" s="222"/>
      <c r="CC443" s="222"/>
      <c r="CD443" s="222"/>
      <c r="CE443" s="222"/>
      <c r="CF443" s="222"/>
      <c r="CG443" s="222"/>
      <c r="CH443" s="222"/>
      <c r="CI443" s="222"/>
      <c r="CJ443" s="222"/>
      <c r="CK443" s="222"/>
      <c r="CL443" s="222"/>
      <c r="CM443" s="222"/>
      <c r="CN443" s="222"/>
      <c r="CO443" s="222"/>
      <c r="CP443" s="222"/>
      <c r="CQ443" s="222"/>
      <c r="CR443" s="222"/>
      <c r="CS443" s="222"/>
    </row>
    <row r="444">
      <c r="A444" s="43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  <c r="AC444" s="222"/>
      <c r="AD444" s="222"/>
      <c r="AE444" s="222"/>
      <c r="AF444" s="222"/>
      <c r="AG444" s="222"/>
      <c r="AH444" s="222"/>
      <c r="AI444" s="222"/>
      <c r="AJ444" s="222"/>
      <c r="AK444" s="222"/>
      <c r="AL444" s="222"/>
      <c r="AM444" s="222"/>
      <c r="AN444" s="222"/>
      <c r="AO444" s="222"/>
      <c r="AP444" s="222"/>
      <c r="AQ444" s="222"/>
      <c r="AR444" s="222"/>
      <c r="AS444" s="222"/>
      <c r="AT444" s="222"/>
      <c r="AU444" s="222"/>
      <c r="AV444" s="222"/>
      <c r="AW444" s="222"/>
      <c r="AX444" s="222"/>
      <c r="AY444" s="222"/>
      <c r="AZ444" s="222"/>
      <c r="BA444" s="222"/>
      <c r="BB444" s="222"/>
      <c r="BC444" s="222"/>
      <c r="BD444" s="222"/>
      <c r="BE444" s="222"/>
      <c r="BF444" s="222"/>
      <c r="BG444" s="222"/>
      <c r="BH444" s="222"/>
      <c r="BI444" s="222"/>
      <c r="BJ444" s="222"/>
      <c r="BK444" s="222"/>
      <c r="BL444" s="222"/>
      <c r="BM444" s="222"/>
      <c r="BN444" s="222"/>
      <c r="BO444" s="222"/>
      <c r="BP444" s="222"/>
      <c r="BQ444" s="222"/>
      <c r="BR444" s="222"/>
      <c r="BS444" s="222"/>
      <c r="BT444" s="222"/>
      <c r="BU444" s="222"/>
      <c r="BV444" s="222"/>
      <c r="BW444" s="222"/>
      <c r="BX444" s="222"/>
      <c r="BY444" s="222"/>
      <c r="BZ444" s="222"/>
      <c r="CA444" s="222"/>
      <c r="CB444" s="222"/>
      <c r="CC444" s="222"/>
      <c r="CD444" s="222"/>
      <c r="CE444" s="222"/>
      <c r="CF444" s="222"/>
      <c r="CG444" s="222"/>
      <c r="CH444" s="222"/>
      <c r="CI444" s="222"/>
      <c r="CJ444" s="222"/>
      <c r="CK444" s="222"/>
      <c r="CL444" s="222"/>
      <c r="CM444" s="222"/>
      <c r="CN444" s="222"/>
      <c r="CO444" s="222"/>
      <c r="CP444" s="222"/>
      <c r="CQ444" s="222"/>
      <c r="CR444" s="222"/>
      <c r="CS444" s="222"/>
    </row>
    <row r="445">
      <c r="A445" s="43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  <c r="AC445" s="222"/>
      <c r="AD445" s="222"/>
      <c r="AE445" s="222"/>
      <c r="AF445" s="222"/>
      <c r="AG445" s="222"/>
      <c r="AH445" s="222"/>
      <c r="AI445" s="222"/>
      <c r="AJ445" s="222"/>
      <c r="AK445" s="222"/>
      <c r="AL445" s="222"/>
      <c r="AM445" s="222"/>
      <c r="AN445" s="222"/>
      <c r="AO445" s="222"/>
      <c r="AP445" s="222"/>
      <c r="AQ445" s="222"/>
      <c r="AR445" s="222"/>
      <c r="AS445" s="222"/>
      <c r="AT445" s="222"/>
      <c r="AU445" s="222"/>
      <c r="AV445" s="222"/>
      <c r="AW445" s="222"/>
      <c r="AX445" s="222"/>
      <c r="AY445" s="222"/>
      <c r="AZ445" s="222"/>
      <c r="BA445" s="222"/>
      <c r="BB445" s="222"/>
      <c r="BC445" s="222"/>
      <c r="BD445" s="222"/>
      <c r="BE445" s="222"/>
      <c r="BF445" s="222"/>
      <c r="BG445" s="222"/>
      <c r="BH445" s="222"/>
      <c r="BI445" s="222"/>
      <c r="BJ445" s="222"/>
      <c r="BK445" s="222"/>
      <c r="BL445" s="222"/>
      <c r="BM445" s="222"/>
      <c r="BN445" s="222"/>
      <c r="BO445" s="222"/>
      <c r="BP445" s="222"/>
      <c r="BQ445" s="222"/>
      <c r="BR445" s="222"/>
      <c r="BS445" s="222"/>
      <c r="BT445" s="222"/>
      <c r="BU445" s="222"/>
      <c r="BV445" s="222"/>
      <c r="BW445" s="222"/>
      <c r="BX445" s="222"/>
      <c r="BY445" s="222"/>
      <c r="BZ445" s="222"/>
      <c r="CA445" s="222"/>
      <c r="CB445" s="222"/>
      <c r="CC445" s="222"/>
      <c r="CD445" s="222"/>
      <c r="CE445" s="222"/>
      <c r="CF445" s="222"/>
      <c r="CG445" s="222"/>
      <c r="CH445" s="222"/>
      <c r="CI445" s="222"/>
      <c r="CJ445" s="222"/>
      <c r="CK445" s="222"/>
      <c r="CL445" s="222"/>
      <c r="CM445" s="222"/>
      <c r="CN445" s="222"/>
      <c r="CO445" s="222"/>
      <c r="CP445" s="222"/>
      <c r="CQ445" s="222"/>
      <c r="CR445" s="222"/>
      <c r="CS445" s="222"/>
    </row>
    <row r="446">
      <c r="A446" s="43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  <c r="AC446" s="222"/>
      <c r="AD446" s="222"/>
      <c r="AE446" s="222"/>
      <c r="AF446" s="222"/>
      <c r="AG446" s="222"/>
      <c r="AH446" s="222"/>
      <c r="AI446" s="222"/>
      <c r="AJ446" s="222"/>
      <c r="AK446" s="222"/>
      <c r="AL446" s="222"/>
      <c r="AM446" s="222"/>
      <c r="AN446" s="222"/>
      <c r="AO446" s="222"/>
      <c r="AP446" s="222"/>
      <c r="AQ446" s="222"/>
      <c r="AR446" s="222"/>
      <c r="AS446" s="222"/>
      <c r="AT446" s="222"/>
      <c r="AU446" s="222"/>
      <c r="AV446" s="222"/>
      <c r="AW446" s="222"/>
      <c r="AX446" s="222"/>
      <c r="AY446" s="222"/>
      <c r="AZ446" s="222"/>
      <c r="BA446" s="222"/>
      <c r="BB446" s="222"/>
      <c r="BC446" s="222"/>
      <c r="BD446" s="222"/>
      <c r="BE446" s="222"/>
      <c r="BF446" s="222"/>
      <c r="BG446" s="222"/>
      <c r="BH446" s="222"/>
      <c r="BI446" s="222"/>
      <c r="BJ446" s="222"/>
      <c r="BK446" s="222"/>
      <c r="BL446" s="222"/>
      <c r="BM446" s="222"/>
      <c r="BN446" s="222"/>
      <c r="BO446" s="222"/>
      <c r="BP446" s="222"/>
      <c r="BQ446" s="222"/>
      <c r="BR446" s="222"/>
      <c r="BS446" s="222"/>
      <c r="BT446" s="222"/>
      <c r="BU446" s="222"/>
      <c r="BV446" s="222"/>
      <c r="BW446" s="222"/>
      <c r="BX446" s="222"/>
      <c r="BY446" s="222"/>
      <c r="BZ446" s="222"/>
      <c r="CA446" s="222"/>
      <c r="CB446" s="222"/>
      <c r="CC446" s="222"/>
      <c r="CD446" s="222"/>
      <c r="CE446" s="222"/>
      <c r="CF446" s="222"/>
      <c r="CG446" s="222"/>
      <c r="CH446" s="222"/>
      <c r="CI446" s="222"/>
      <c r="CJ446" s="222"/>
      <c r="CK446" s="222"/>
      <c r="CL446" s="222"/>
      <c r="CM446" s="222"/>
      <c r="CN446" s="222"/>
      <c r="CO446" s="222"/>
      <c r="CP446" s="222"/>
      <c r="CQ446" s="222"/>
      <c r="CR446" s="222"/>
      <c r="CS446" s="222"/>
    </row>
    <row r="447">
      <c r="A447" s="43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  <c r="AC447" s="222"/>
      <c r="AD447" s="222"/>
      <c r="AE447" s="222"/>
      <c r="AF447" s="222"/>
      <c r="AG447" s="222"/>
      <c r="AH447" s="222"/>
      <c r="AI447" s="222"/>
      <c r="AJ447" s="222"/>
      <c r="AK447" s="222"/>
      <c r="AL447" s="222"/>
      <c r="AM447" s="222"/>
      <c r="AN447" s="222"/>
      <c r="AO447" s="222"/>
      <c r="AP447" s="222"/>
      <c r="AQ447" s="222"/>
      <c r="AR447" s="222"/>
      <c r="AS447" s="222"/>
      <c r="AT447" s="222"/>
      <c r="AU447" s="222"/>
      <c r="AV447" s="222"/>
      <c r="AW447" s="222"/>
      <c r="AX447" s="222"/>
      <c r="AY447" s="222"/>
      <c r="AZ447" s="222"/>
      <c r="BA447" s="222"/>
      <c r="BB447" s="222"/>
      <c r="BC447" s="222"/>
      <c r="BD447" s="222"/>
      <c r="BE447" s="222"/>
      <c r="BF447" s="222"/>
      <c r="BG447" s="222"/>
      <c r="BH447" s="222"/>
      <c r="BI447" s="222"/>
      <c r="BJ447" s="222"/>
      <c r="BK447" s="222"/>
      <c r="BL447" s="222"/>
      <c r="BM447" s="222"/>
      <c r="BN447" s="222"/>
      <c r="BO447" s="222"/>
      <c r="BP447" s="222"/>
      <c r="BQ447" s="222"/>
      <c r="BR447" s="222"/>
      <c r="BS447" s="222"/>
      <c r="BT447" s="222"/>
      <c r="BU447" s="222"/>
      <c r="BV447" s="222"/>
      <c r="BW447" s="222"/>
      <c r="BX447" s="222"/>
      <c r="BY447" s="222"/>
      <c r="BZ447" s="222"/>
      <c r="CA447" s="222"/>
      <c r="CB447" s="222"/>
      <c r="CC447" s="222"/>
      <c r="CD447" s="222"/>
      <c r="CE447" s="222"/>
      <c r="CF447" s="222"/>
      <c r="CG447" s="222"/>
      <c r="CH447" s="222"/>
      <c r="CI447" s="222"/>
      <c r="CJ447" s="222"/>
      <c r="CK447" s="222"/>
      <c r="CL447" s="222"/>
      <c r="CM447" s="222"/>
      <c r="CN447" s="222"/>
      <c r="CO447" s="222"/>
      <c r="CP447" s="222"/>
      <c r="CQ447" s="222"/>
      <c r="CR447" s="222"/>
      <c r="CS447" s="222"/>
    </row>
    <row r="448">
      <c r="A448" s="43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  <c r="AC448" s="222"/>
      <c r="AD448" s="222"/>
      <c r="AE448" s="222"/>
      <c r="AF448" s="222"/>
      <c r="AG448" s="222"/>
      <c r="AH448" s="222"/>
      <c r="AI448" s="222"/>
      <c r="AJ448" s="222"/>
      <c r="AK448" s="222"/>
      <c r="AL448" s="222"/>
      <c r="AM448" s="222"/>
      <c r="AN448" s="222"/>
      <c r="AO448" s="222"/>
      <c r="AP448" s="222"/>
      <c r="AQ448" s="222"/>
      <c r="AR448" s="222"/>
      <c r="AS448" s="222"/>
      <c r="AT448" s="222"/>
      <c r="AU448" s="222"/>
      <c r="AV448" s="222"/>
      <c r="AW448" s="222"/>
      <c r="AX448" s="222"/>
      <c r="AY448" s="222"/>
      <c r="AZ448" s="222"/>
      <c r="BA448" s="222"/>
      <c r="BB448" s="222"/>
      <c r="BC448" s="222"/>
      <c r="BD448" s="222"/>
      <c r="BE448" s="222"/>
      <c r="BF448" s="222"/>
      <c r="BG448" s="222"/>
      <c r="BH448" s="222"/>
      <c r="BI448" s="222"/>
      <c r="BJ448" s="222"/>
      <c r="BK448" s="222"/>
      <c r="BL448" s="222"/>
      <c r="BM448" s="222"/>
      <c r="BN448" s="222"/>
      <c r="BO448" s="222"/>
      <c r="BP448" s="222"/>
      <c r="BQ448" s="222"/>
      <c r="BR448" s="222"/>
      <c r="BS448" s="222"/>
      <c r="BT448" s="222"/>
      <c r="BU448" s="222"/>
      <c r="BV448" s="222"/>
      <c r="BW448" s="222"/>
      <c r="BX448" s="222"/>
      <c r="BY448" s="222"/>
      <c r="BZ448" s="222"/>
      <c r="CA448" s="222"/>
      <c r="CB448" s="222"/>
      <c r="CC448" s="222"/>
      <c r="CD448" s="222"/>
      <c r="CE448" s="222"/>
      <c r="CF448" s="222"/>
      <c r="CG448" s="222"/>
      <c r="CH448" s="222"/>
      <c r="CI448" s="222"/>
      <c r="CJ448" s="222"/>
      <c r="CK448" s="222"/>
      <c r="CL448" s="222"/>
      <c r="CM448" s="222"/>
      <c r="CN448" s="222"/>
      <c r="CO448" s="222"/>
      <c r="CP448" s="222"/>
      <c r="CQ448" s="222"/>
      <c r="CR448" s="222"/>
      <c r="CS448" s="222"/>
    </row>
    <row r="449">
      <c r="A449" s="43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  <c r="AC449" s="222"/>
      <c r="AD449" s="222"/>
      <c r="AE449" s="222"/>
      <c r="AF449" s="222"/>
      <c r="AG449" s="222"/>
      <c r="AH449" s="222"/>
      <c r="AI449" s="222"/>
      <c r="AJ449" s="222"/>
      <c r="AK449" s="222"/>
      <c r="AL449" s="222"/>
      <c r="AM449" s="222"/>
      <c r="AN449" s="222"/>
      <c r="AO449" s="222"/>
      <c r="AP449" s="222"/>
      <c r="AQ449" s="222"/>
      <c r="AR449" s="222"/>
      <c r="AS449" s="222"/>
      <c r="AT449" s="222"/>
      <c r="AU449" s="222"/>
      <c r="AV449" s="222"/>
      <c r="AW449" s="222"/>
      <c r="AX449" s="222"/>
      <c r="AY449" s="222"/>
      <c r="AZ449" s="222"/>
      <c r="BA449" s="222"/>
      <c r="BB449" s="222"/>
      <c r="BC449" s="222"/>
      <c r="BD449" s="222"/>
      <c r="BE449" s="222"/>
      <c r="BF449" s="222"/>
      <c r="BG449" s="222"/>
      <c r="BH449" s="222"/>
      <c r="BI449" s="222"/>
      <c r="BJ449" s="222"/>
      <c r="BK449" s="222"/>
      <c r="BL449" s="222"/>
      <c r="BM449" s="222"/>
      <c r="BN449" s="222"/>
      <c r="BO449" s="222"/>
      <c r="BP449" s="222"/>
      <c r="BQ449" s="222"/>
      <c r="BR449" s="222"/>
      <c r="BS449" s="222"/>
      <c r="BT449" s="222"/>
      <c r="BU449" s="222"/>
      <c r="BV449" s="222"/>
      <c r="BW449" s="222"/>
      <c r="BX449" s="222"/>
      <c r="BY449" s="222"/>
      <c r="BZ449" s="222"/>
      <c r="CA449" s="222"/>
      <c r="CB449" s="222"/>
      <c r="CC449" s="222"/>
      <c r="CD449" s="222"/>
      <c r="CE449" s="222"/>
      <c r="CF449" s="222"/>
      <c r="CG449" s="222"/>
      <c r="CH449" s="222"/>
      <c r="CI449" s="222"/>
      <c r="CJ449" s="222"/>
      <c r="CK449" s="222"/>
      <c r="CL449" s="222"/>
      <c r="CM449" s="222"/>
      <c r="CN449" s="222"/>
      <c r="CO449" s="222"/>
      <c r="CP449" s="222"/>
      <c r="CQ449" s="222"/>
      <c r="CR449" s="222"/>
      <c r="CS449" s="222"/>
    </row>
    <row r="450">
      <c r="A450" s="43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  <c r="AC450" s="222"/>
      <c r="AD450" s="222"/>
      <c r="AE450" s="222"/>
      <c r="AF450" s="222"/>
      <c r="AG450" s="222"/>
      <c r="AH450" s="222"/>
      <c r="AI450" s="222"/>
      <c r="AJ450" s="222"/>
      <c r="AK450" s="222"/>
      <c r="AL450" s="222"/>
      <c r="AM450" s="222"/>
      <c r="AN450" s="222"/>
      <c r="AO450" s="222"/>
      <c r="AP450" s="222"/>
      <c r="AQ450" s="222"/>
      <c r="AR450" s="222"/>
      <c r="AS450" s="222"/>
      <c r="AT450" s="222"/>
      <c r="AU450" s="222"/>
      <c r="AV450" s="222"/>
      <c r="AW450" s="222"/>
      <c r="AX450" s="222"/>
      <c r="AY450" s="222"/>
      <c r="AZ450" s="222"/>
      <c r="BA450" s="222"/>
      <c r="BB450" s="222"/>
      <c r="BC450" s="222"/>
      <c r="BD450" s="222"/>
      <c r="BE450" s="222"/>
      <c r="BF450" s="222"/>
      <c r="BG450" s="222"/>
      <c r="BH450" s="222"/>
      <c r="BI450" s="222"/>
      <c r="BJ450" s="222"/>
      <c r="BK450" s="222"/>
      <c r="BL450" s="222"/>
      <c r="BM450" s="222"/>
      <c r="BN450" s="222"/>
      <c r="BO450" s="222"/>
      <c r="BP450" s="222"/>
      <c r="BQ450" s="222"/>
      <c r="BR450" s="222"/>
      <c r="BS450" s="222"/>
      <c r="BT450" s="222"/>
      <c r="BU450" s="222"/>
      <c r="BV450" s="222"/>
      <c r="BW450" s="222"/>
      <c r="BX450" s="222"/>
      <c r="BY450" s="222"/>
      <c r="BZ450" s="222"/>
      <c r="CA450" s="222"/>
      <c r="CB450" s="222"/>
      <c r="CC450" s="222"/>
      <c r="CD450" s="222"/>
      <c r="CE450" s="222"/>
      <c r="CF450" s="222"/>
      <c r="CG450" s="222"/>
      <c r="CH450" s="222"/>
      <c r="CI450" s="222"/>
      <c r="CJ450" s="222"/>
      <c r="CK450" s="222"/>
      <c r="CL450" s="222"/>
      <c r="CM450" s="222"/>
      <c r="CN450" s="222"/>
      <c r="CO450" s="222"/>
      <c r="CP450" s="222"/>
      <c r="CQ450" s="222"/>
      <c r="CR450" s="222"/>
      <c r="CS450" s="222"/>
    </row>
    <row r="451">
      <c r="A451" s="43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  <c r="AC451" s="222"/>
      <c r="AD451" s="222"/>
      <c r="AE451" s="222"/>
      <c r="AF451" s="222"/>
      <c r="AG451" s="222"/>
      <c r="AH451" s="222"/>
      <c r="AI451" s="222"/>
      <c r="AJ451" s="222"/>
      <c r="AK451" s="222"/>
      <c r="AL451" s="222"/>
      <c r="AM451" s="222"/>
      <c r="AN451" s="222"/>
      <c r="AO451" s="222"/>
      <c r="AP451" s="222"/>
      <c r="AQ451" s="222"/>
      <c r="AR451" s="222"/>
      <c r="AS451" s="222"/>
      <c r="AT451" s="222"/>
      <c r="AU451" s="222"/>
      <c r="AV451" s="222"/>
      <c r="AW451" s="222"/>
      <c r="AX451" s="222"/>
      <c r="AY451" s="222"/>
      <c r="AZ451" s="222"/>
      <c r="BA451" s="222"/>
      <c r="BB451" s="222"/>
      <c r="BC451" s="222"/>
      <c r="BD451" s="222"/>
      <c r="BE451" s="222"/>
      <c r="BF451" s="222"/>
      <c r="BG451" s="222"/>
      <c r="BH451" s="222"/>
      <c r="BI451" s="222"/>
      <c r="BJ451" s="222"/>
      <c r="BK451" s="222"/>
      <c r="BL451" s="222"/>
      <c r="BM451" s="222"/>
      <c r="BN451" s="222"/>
      <c r="BO451" s="222"/>
      <c r="BP451" s="222"/>
      <c r="BQ451" s="222"/>
      <c r="BR451" s="222"/>
      <c r="BS451" s="222"/>
      <c r="BT451" s="222"/>
      <c r="BU451" s="222"/>
      <c r="BV451" s="222"/>
      <c r="BW451" s="222"/>
      <c r="BX451" s="222"/>
      <c r="BY451" s="222"/>
      <c r="BZ451" s="222"/>
      <c r="CA451" s="222"/>
      <c r="CB451" s="222"/>
      <c r="CC451" s="222"/>
      <c r="CD451" s="222"/>
      <c r="CE451" s="222"/>
      <c r="CF451" s="222"/>
      <c r="CG451" s="222"/>
      <c r="CH451" s="222"/>
      <c r="CI451" s="222"/>
      <c r="CJ451" s="222"/>
      <c r="CK451" s="222"/>
      <c r="CL451" s="222"/>
      <c r="CM451" s="222"/>
      <c r="CN451" s="222"/>
      <c r="CO451" s="222"/>
      <c r="CP451" s="222"/>
      <c r="CQ451" s="222"/>
      <c r="CR451" s="222"/>
      <c r="CS451" s="222"/>
    </row>
    <row r="452">
      <c r="A452" s="43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  <c r="AC452" s="222"/>
      <c r="AD452" s="222"/>
      <c r="AE452" s="222"/>
      <c r="AF452" s="222"/>
      <c r="AG452" s="222"/>
      <c r="AH452" s="222"/>
      <c r="AI452" s="222"/>
      <c r="AJ452" s="222"/>
      <c r="AK452" s="222"/>
      <c r="AL452" s="222"/>
      <c r="AM452" s="222"/>
      <c r="AN452" s="222"/>
      <c r="AO452" s="222"/>
      <c r="AP452" s="222"/>
      <c r="AQ452" s="222"/>
      <c r="AR452" s="222"/>
      <c r="AS452" s="222"/>
      <c r="AT452" s="222"/>
      <c r="AU452" s="222"/>
      <c r="AV452" s="222"/>
      <c r="AW452" s="222"/>
      <c r="AX452" s="222"/>
      <c r="AY452" s="222"/>
      <c r="AZ452" s="222"/>
      <c r="BA452" s="222"/>
      <c r="BB452" s="222"/>
      <c r="BC452" s="222"/>
      <c r="BD452" s="222"/>
      <c r="BE452" s="222"/>
      <c r="BF452" s="222"/>
      <c r="BG452" s="222"/>
      <c r="BH452" s="222"/>
      <c r="BI452" s="222"/>
      <c r="BJ452" s="222"/>
      <c r="BK452" s="222"/>
      <c r="BL452" s="222"/>
      <c r="BM452" s="222"/>
      <c r="BN452" s="222"/>
      <c r="BO452" s="222"/>
      <c r="BP452" s="222"/>
      <c r="BQ452" s="222"/>
      <c r="BR452" s="222"/>
      <c r="BS452" s="222"/>
      <c r="BT452" s="222"/>
      <c r="BU452" s="222"/>
      <c r="BV452" s="222"/>
      <c r="BW452" s="222"/>
      <c r="BX452" s="222"/>
      <c r="BY452" s="222"/>
      <c r="BZ452" s="222"/>
      <c r="CA452" s="222"/>
      <c r="CB452" s="222"/>
      <c r="CC452" s="222"/>
      <c r="CD452" s="222"/>
      <c r="CE452" s="222"/>
      <c r="CF452" s="222"/>
      <c r="CG452" s="222"/>
      <c r="CH452" s="222"/>
      <c r="CI452" s="222"/>
      <c r="CJ452" s="222"/>
      <c r="CK452" s="222"/>
      <c r="CL452" s="222"/>
      <c r="CM452" s="222"/>
      <c r="CN452" s="222"/>
      <c r="CO452" s="222"/>
      <c r="CP452" s="222"/>
      <c r="CQ452" s="222"/>
      <c r="CR452" s="222"/>
      <c r="CS452" s="222"/>
    </row>
    <row r="453">
      <c r="A453" s="43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  <c r="AC453" s="222"/>
      <c r="AD453" s="222"/>
      <c r="AE453" s="222"/>
      <c r="AF453" s="222"/>
      <c r="AG453" s="222"/>
      <c r="AH453" s="222"/>
      <c r="AI453" s="222"/>
      <c r="AJ453" s="222"/>
      <c r="AK453" s="222"/>
      <c r="AL453" s="222"/>
      <c r="AM453" s="222"/>
      <c r="AN453" s="222"/>
      <c r="AO453" s="222"/>
      <c r="AP453" s="222"/>
      <c r="AQ453" s="222"/>
      <c r="AR453" s="222"/>
      <c r="AS453" s="222"/>
      <c r="AT453" s="222"/>
      <c r="AU453" s="222"/>
      <c r="AV453" s="222"/>
      <c r="AW453" s="222"/>
      <c r="AX453" s="222"/>
      <c r="AY453" s="222"/>
      <c r="AZ453" s="222"/>
      <c r="BA453" s="222"/>
      <c r="BB453" s="222"/>
      <c r="BC453" s="222"/>
      <c r="BD453" s="222"/>
      <c r="BE453" s="222"/>
      <c r="BF453" s="222"/>
      <c r="BG453" s="222"/>
      <c r="BH453" s="222"/>
      <c r="BI453" s="222"/>
      <c r="BJ453" s="222"/>
      <c r="BK453" s="222"/>
      <c r="BL453" s="222"/>
      <c r="BM453" s="222"/>
      <c r="BN453" s="222"/>
      <c r="BO453" s="222"/>
      <c r="BP453" s="222"/>
      <c r="BQ453" s="222"/>
      <c r="BR453" s="222"/>
      <c r="BS453" s="222"/>
      <c r="BT453" s="222"/>
      <c r="BU453" s="222"/>
      <c r="BV453" s="222"/>
      <c r="BW453" s="222"/>
      <c r="BX453" s="222"/>
      <c r="BY453" s="222"/>
      <c r="BZ453" s="222"/>
      <c r="CA453" s="222"/>
      <c r="CB453" s="222"/>
      <c r="CC453" s="222"/>
      <c r="CD453" s="222"/>
      <c r="CE453" s="222"/>
      <c r="CF453" s="222"/>
      <c r="CG453" s="222"/>
      <c r="CH453" s="222"/>
      <c r="CI453" s="222"/>
      <c r="CJ453" s="222"/>
      <c r="CK453" s="222"/>
      <c r="CL453" s="222"/>
      <c r="CM453" s="222"/>
      <c r="CN453" s="222"/>
      <c r="CO453" s="222"/>
      <c r="CP453" s="222"/>
      <c r="CQ453" s="222"/>
      <c r="CR453" s="222"/>
      <c r="CS453" s="222"/>
    </row>
    <row r="454">
      <c r="A454" s="43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  <c r="AC454" s="222"/>
      <c r="AD454" s="222"/>
      <c r="AE454" s="222"/>
      <c r="AF454" s="222"/>
      <c r="AG454" s="222"/>
      <c r="AH454" s="222"/>
      <c r="AI454" s="222"/>
      <c r="AJ454" s="222"/>
      <c r="AK454" s="222"/>
      <c r="AL454" s="222"/>
      <c r="AM454" s="222"/>
      <c r="AN454" s="222"/>
      <c r="AO454" s="222"/>
      <c r="AP454" s="222"/>
      <c r="AQ454" s="222"/>
      <c r="AR454" s="222"/>
      <c r="AS454" s="222"/>
      <c r="AT454" s="222"/>
      <c r="AU454" s="222"/>
      <c r="AV454" s="222"/>
      <c r="AW454" s="222"/>
      <c r="AX454" s="222"/>
      <c r="AY454" s="222"/>
      <c r="AZ454" s="222"/>
      <c r="BA454" s="222"/>
      <c r="BB454" s="222"/>
      <c r="BC454" s="222"/>
      <c r="BD454" s="222"/>
      <c r="BE454" s="222"/>
      <c r="BF454" s="222"/>
      <c r="BG454" s="222"/>
      <c r="BH454" s="222"/>
      <c r="BI454" s="222"/>
      <c r="BJ454" s="222"/>
      <c r="BK454" s="222"/>
      <c r="BL454" s="222"/>
      <c r="BM454" s="222"/>
      <c r="BN454" s="222"/>
      <c r="BO454" s="222"/>
      <c r="BP454" s="222"/>
      <c r="BQ454" s="222"/>
      <c r="BR454" s="222"/>
      <c r="BS454" s="222"/>
      <c r="BT454" s="222"/>
      <c r="BU454" s="222"/>
      <c r="BV454" s="222"/>
      <c r="BW454" s="222"/>
      <c r="BX454" s="222"/>
      <c r="BY454" s="222"/>
      <c r="BZ454" s="222"/>
      <c r="CA454" s="222"/>
      <c r="CB454" s="222"/>
      <c r="CC454" s="222"/>
      <c r="CD454" s="222"/>
      <c r="CE454" s="222"/>
      <c r="CF454" s="222"/>
      <c r="CG454" s="222"/>
      <c r="CH454" s="222"/>
      <c r="CI454" s="222"/>
      <c r="CJ454" s="222"/>
      <c r="CK454" s="222"/>
      <c r="CL454" s="222"/>
      <c r="CM454" s="222"/>
      <c r="CN454" s="222"/>
      <c r="CO454" s="222"/>
      <c r="CP454" s="222"/>
      <c r="CQ454" s="222"/>
      <c r="CR454" s="222"/>
      <c r="CS454" s="222"/>
    </row>
    <row r="455">
      <c r="A455" s="43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2"/>
      <c r="AF455" s="222"/>
      <c r="AG455" s="222"/>
      <c r="AH455" s="222"/>
      <c r="AI455" s="222"/>
      <c r="AJ455" s="222"/>
      <c r="AK455" s="222"/>
      <c r="AL455" s="222"/>
      <c r="AM455" s="222"/>
      <c r="AN455" s="222"/>
      <c r="AO455" s="222"/>
      <c r="AP455" s="222"/>
      <c r="AQ455" s="222"/>
      <c r="AR455" s="222"/>
      <c r="AS455" s="222"/>
      <c r="AT455" s="222"/>
      <c r="AU455" s="222"/>
      <c r="AV455" s="222"/>
      <c r="AW455" s="222"/>
      <c r="AX455" s="222"/>
      <c r="AY455" s="222"/>
      <c r="AZ455" s="222"/>
      <c r="BA455" s="222"/>
      <c r="BB455" s="222"/>
      <c r="BC455" s="222"/>
      <c r="BD455" s="222"/>
      <c r="BE455" s="222"/>
      <c r="BF455" s="222"/>
      <c r="BG455" s="222"/>
      <c r="BH455" s="222"/>
      <c r="BI455" s="222"/>
      <c r="BJ455" s="222"/>
      <c r="BK455" s="222"/>
      <c r="BL455" s="222"/>
      <c r="BM455" s="222"/>
      <c r="BN455" s="222"/>
      <c r="BO455" s="222"/>
      <c r="BP455" s="222"/>
      <c r="BQ455" s="222"/>
      <c r="BR455" s="222"/>
      <c r="BS455" s="222"/>
      <c r="BT455" s="222"/>
      <c r="BU455" s="222"/>
      <c r="BV455" s="222"/>
      <c r="BW455" s="222"/>
      <c r="BX455" s="222"/>
      <c r="BY455" s="222"/>
      <c r="BZ455" s="222"/>
      <c r="CA455" s="222"/>
      <c r="CB455" s="222"/>
      <c r="CC455" s="222"/>
      <c r="CD455" s="222"/>
      <c r="CE455" s="222"/>
      <c r="CF455" s="222"/>
      <c r="CG455" s="222"/>
      <c r="CH455" s="222"/>
      <c r="CI455" s="222"/>
      <c r="CJ455" s="222"/>
      <c r="CK455" s="222"/>
      <c r="CL455" s="222"/>
      <c r="CM455" s="222"/>
      <c r="CN455" s="222"/>
      <c r="CO455" s="222"/>
      <c r="CP455" s="222"/>
      <c r="CQ455" s="222"/>
      <c r="CR455" s="222"/>
      <c r="CS455" s="222"/>
    </row>
    <row r="456">
      <c r="A456" s="43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  <c r="AC456" s="222"/>
      <c r="AD456" s="222"/>
      <c r="AE456" s="222"/>
      <c r="AF456" s="222"/>
      <c r="AG456" s="222"/>
      <c r="AH456" s="222"/>
      <c r="AI456" s="222"/>
      <c r="AJ456" s="222"/>
      <c r="AK456" s="222"/>
      <c r="AL456" s="222"/>
      <c r="AM456" s="222"/>
      <c r="AN456" s="222"/>
      <c r="AO456" s="222"/>
      <c r="AP456" s="222"/>
      <c r="AQ456" s="222"/>
      <c r="AR456" s="222"/>
      <c r="AS456" s="222"/>
      <c r="AT456" s="222"/>
      <c r="AU456" s="222"/>
      <c r="AV456" s="222"/>
      <c r="AW456" s="222"/>
      <c r="AX456" s="222"/>
      <c r="AY456" s="222"/>
      <c r="AZ456" s="222"/>
      <c r="BA456" s="222"/>
      <c r="BB456" s="222"/>
      <c r="BC456" s="222"/>
      <c r="BD456" s="222"/>
      <c r="BE456" s="222"/>
      <c r="BF456" s="222"/>
      <c r="BG456" s="222"/>
      <c r="BH456" s="222"/>
      <c r="BI456" s="222"/>
      <c r="BJ456" s="222"/>
      <c r="BK456" s="222"/>
      <c r="BL456" s="222"/>
      <c r="BM456" s="222"/>
      <c r="BN456" s="222"/>
      <c r="BO456" s="222"/>
      <c r="BP456" s="222"/>
      <c r="BQ456" s="222"/>
      <c r="BR456" s="222"/>
      <c r="BS456" s="222"/>
      <c r="BT456" s="222"/>
      <c r="BU456" s="222"/>
      <c r="BV456" s="222"/>
      <c r="BW456" s="222"/>
      <c r="BX456" s="222"/>
      <c r="BY456" s="222"/>
      <c r="BZ456" s="222"/>
      <c r="CA456" s="222"/>
      <c r="CB456" s="222"/>
      <c r="CC456" s="222"/>
      <c r="CD456" s="222"/>
      <c r="CE456" s="222"/>
      <c r="CF456" s="222"/>
      <c r="CG456" s="222"/>
      <c r="CH456" s="222"/>
      <c r="CI456" s="222"/>
      <c r="CJ456" s="222"/>
      <c r="CK456" s="222"/>
      <c r="CL456" s="222"/>
      <c r="CM456" s="222"/>
      <c r="CN456" s="222"/>
      <c r="CO456" s="222"/>
      <c r="CP456" s="222"/>
      <c r="CQ456" s="222"/>
      <c r="CR456" s="222"/>
      <c r="CS456" s="222"/>
    </row>
    <row r="457">
      <c r="A457" s="43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  <c r="AC457" s="222"/>
      <c r="AD457" s="222"/>
      <c r="AE457" s="222"/>
      <c r="AF457" s="222"/>
      <c r="AG457" s="222"/>
      <c r="AH457" s="222"/>
      <c r="AI457" s="222"/>
      <c r="AJ457" s="222"/>
      <c r="AK457" s="222"/>
      <c r="AL457" s="222"/>
      <c r="AM457" s="222"/>
      <c r="AN457" s="222"/>
      <c r="AO457" s="222"/>
      <c r="AP457" s="222"/>
      <c r="AQ457" s="222"/>
      <c r="AR457" s="222"/>
      <c r="AS457" s="222"/>
      <c r="AT457" s="222"/>
      <c r="AU457" s="222"/>
      <c r="AV457" s="222"/>
      <c r="AW457" s="222"/>
      <c r="AX457" s="222"/>
      <c r="AY457" s="222"/>
      <c r="AZ457" s="222"/>
      <c r="BA457" s="222"/>
      <c r="BB457" s="222"/>
      <c r="BC457" s="222"/>
      <c r="BD457" s="222"/>
      <c r="BE457" s="222"/>
      <c r="BF457" s="222"/>
      <c r="BG457" s="222"/>
      <c r="BH457" s="222"/>
      <c r="BI457" s="222"/>
      <c r="BJ457" s="222"/>
      <c r="BK457" s="222"/>
      <c r="BL457" s="222"/>
      <c r="BM457" s="222"/>
      <c r="BN457" s="222"/>
      <c r="BO457" s="222"/>
      <c r="BP457" s="222"/>
      <c r="BQ457" s="222"/>
      <c r="BR457" s="222"/>
      <c r="BS457" s="222"/>
      <c r="BT457" s="222"/>
      <c r="BU457" s="222"/>
      <c r="BV457" s="222"/>
      <c r="BW457" s="222"/>
      <c r="BX457" s="222"/>
      <c r="BY457" s="222"/>
      <c r="BZ457" s="222"/>
      <c r="CA457" s="222"/>
      <c r="CB457" s="222"/>
      <c r="CC457" s="222"/>
      <c r="CD457" s="222"/>
      <c r="CE457" s="222"/>
      <c r="CF457" s="222"/>
      <c r="CG457" s="222"/>
      <c r="CH457" s="222"/>
      <c r="CI457" s="222"/>
      <c r="CJ457" s="222"/>
      <c r="CK457" s="222"/>
      <c r="CL457" s="222"/>
      <c r="CM457" s="222"/>
      <c r="CN457" s="222"/>
      <c r="CO457" s="222"/>
      <c r="CP457" s="222"/>
      <c r="CQ457" s="222"/>
      <c r="CR457" s="222"/>
      <c r="CS457" s="222"/>
    </row>
    <row r="458">
      <c r="A458" s="43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  <c r="AC458" s="222"/>
      <c r="AD458" s="222"/>
      <c r="AE458" s="222"/>
      <c r="AF458" s="222"/>
      <c r="AG458" s="222"/>
      <c r="AH458" s="222"/>
      <c r="AI458" s="222"/>
      <c r="AJ458" s="222"/>
      <c r="AK458" s="222"/>
      <c r="AL458" s="222"/>
      <c r="AM458" s="222"/>
      <c r="AN458" s="222"/>
      <c r="AO458" s="222"/>
      <c r="AP458" s="222"/>
      <c r="AQ458" s="222"/>
      <c r="AR458" s="222"/>
      <c r="AS458" s="222"/>
      <c r="AT458" s="222"/>
      <c r="AU458" s="222"/>
      <c r="AV458" s="222"/>
      <c r="AW458" s="222"/>
      <c r="AX458" s="222"/>
      <c r="AY458" s="222"/>
      <c r="AZ458" s="222"/>
      <c r="BA458" s="222"/>
      <c r="BB458" s="222"/>
      <c r="BC458" s="222"/>
      <c r="BD458" s="222"/>
      <c r="BE458" s="222"/>
      <c r="BF458" s="222"/>
      <c r="BG458" s="222"/>
      <c r="BH458" s="222"/>
      <c r="BI458" s="222"/>
      <c r="BJ458" s="222"/>
      <c r="BK458" s="222"/>
      <c r="BL458" s="222"/>
      <c r="BM458" s="222"/>
      <c r="BN458" s="222"/>
      <c r="BO458" s="222"/>
      <c r="BP458" s="222"/>
      <c r="BQ458" s="222"/>
      <c r="BR458" s="222"/>
      <c r="BS458" s="222"/>
      <c r="BT458" s="222"/>
      <c r="BU458" s="222"/>
      <c r="BV458" s="222"/>
      <c r="BW458" s="222"/>
      <c r="BX458" s="222"/>
      <c r="BY458" s="222"/>
      <c r="BZ458" s="222"/>
      <c r="CA458" s="222"/>
      <c r="CB458" s="222"/>
      <c r="CC458" s="222"/>
      <c r="CD458" s="222"/>
      <c r="CE458" s="222"/>
      <c r="CF458" s="222"/>
      <c r="CG458" s="222"/>
      <c r="CH458" s="222"/>
      <c r="CI458" s="222"/>
      <c r="CJ458" s="222"/>
      <c r="CK458" s="222"/>
      <c r="CL458" s="222"/>
      <c r="CM458" s="222"/>
      <c r="CN458" s="222"/>
      <c r="CO458" s="222"/>
      <c r="CP458" s="222"/>
      <c r="CQ458" s="222"/>
      <c r="CR458" s="222"/>
      <c r="CS458" s="222"/>
    </row>
    <row r="459">
      <c r="A459" s="43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  <c r="AC459" s="222"/>
      <c r="AD459" s="222"/>
      <c r="AE459" s="222"/>
      <c r="AF459" s="222"/>
      <c r="AG459" s="222"/>
      <c r="AH459" s="222"/>
      <c r="AI459" s="222"/>
      <c r="AJ459" s="222"/>
      <c r="AK459" s="222"/>
      <c r="AL459" s="222"/>
      <c r="AM459" s="222"/>
      <c r="AN459" s="222"/>
      <c r="AO459" s="222"/>
      <c r="AP459" s="222"/>
      <c r="AQ459" s="222"/>
      <c r="AR459" s="222"/>
      <c r="AS459" s="222"/>
      <c r="AT459" s="222"/>
      <c r="AU459" s="222"/>
      <c r="AV459" s="222"/>
      <c r="AW459" s="222"/>
      <c r="AX459" s="222"/>
      <c r="AY459" s="222"/>
      <c r="AZ459" s="222"/>
      <c r="BA459" s="222"/>
      <c r="BB459" s="222"/>
      <c r="BC459" s="222"/>
      <c r="BD459" s="222"/>
      <c r="BE459" s="222"/>
      <c r="BF459" s="222"/>
      <c r="BG459" s="222"/>
      <c r="BH459" s="222"/>
      <c r="BI459" s="222"/>
      <c r="BJ459" s="222"/>
      <c r="BK459" s="222"/>
      <c r="BL459" s="222"/>
      <c r="BM459" s="222"/>
      <c r="BN459" s="222"/>
      <c r="BO459" s="222"/>
      <c r="BP459" s="222"/>
      <c r="BQ459" s="222"/>
      <c r="BR459" s="222"/>
      <c r="BS459" s="222"/>
      <c r="BT459" s="222"/>
      <c r="BU459" s="222"/>
      <c r="BV459" s="222"/>
      <c r="BW459" s="222"/>
      <c r="BX459" s="222"/>
      <c r="BY459" s="222"/>
      <c r="BZ459" s="222"/>
      <c r="CA459" s="222"/>
      <c r="CB459" s="222"/>
      <c r="CC459" s="222"/>
      <c r="CD459" s="222"/>
      <c r="CE459" s="222"/>
      <c r="CF459" s="222"/>
      <c r="CG459" s="222"/>
      <c r="CH459" s="222"/>
      <c r="CI459" s="222"/>
      <c r="CJ459" s="222"/>
      <c r="CK459" s="222"/>
      <c r="CL459" s="222"/>
      <c r="CM459" s="222"/>
      <c r="CN459" s="222"/>
      <c r="CO459" s="222"/>
      <c r="CP459" s="222"/>
      <c r="CQ459" s="222"/>
      <c r="CR459" s="222"/>
      <c r="CS459" s="222"/>
    </row>
    <row r="460">
      <c r="A460" s="43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  <c r="AC460" s="222"/>
      <c r="AD460" s="222"/>
      <c r="AE460" s="222"/>
      <c r="AF460" s="222"/>
      <c r="AG460" s="222"/>
      <c r="AH460" s="222"/>
      <c r="AI460" s="222"/>
      <c r="AJ460" s="222"/>
      <c r="AK460" s="222"/>
      <c r="AL460" s="222"/>
      <c r="AM460" s="222"/>
      <c r="AN460" s="222"/>
      <c r="AO460" s="222"/>
      <c r="AP460" s="222"/>
      <c r="AQ460" s="222"/>
      <c r="AR460" s="222"/>
      <c r="AS460" s="222"/>
      <c r="AT460" s="222"/>
      <c r="AU460" s="222"/>
      <c r="AV460" s="222"/>
      <c r="AW460" s="222"/>
      <c r="AX460" s="222"/>
      <c r="AY460" s="222"/>
      <c r="AZ460" s="222"/>
      <c r="BA460" s="222"/>
      <c r="BB460" s="222"/>
      <c r="BC460" s="222"/>
      <c r="BD460" s="222"/>
      <c r="BE460" s="222"/>
      <c r="BF460" s="222"/>
      <c r="BG460" s="222"/>
      <c r="BH460" s="222"/>
      <c r="BI460" s="222"/>
      <c r="BJ460" s="222"/>
      <c r="BK460" s="222"/>
      <c r="BL460" s="222"/>
      <c r="BM460" s="222"/>
      <c r="BN460" s="222"/>
      <c r="BO460" s="222"/>
      <c r="BP460" s="222"/>
      <c r="BQ460" s="222"/>
      <c r="BR460" s="222"/>
      <c r="BS460" s="222"/>
      <c r="BT460" s="222"/>
      <c r="BU460" s="222"/>
      <c r="BV460" s="222"/>
      <c r="BW460" s="222"/>
      <c r="BX460" s="222"/>
      <c r="BY460" s="222"/>
      <c r="BZ460" s="222"/>
      <c r="CA460" s="222"/>
      <c r="CB460" s="222"/>
      <c r="CC460" s="222"/>
      <c r="CD460" s="222"/>
      <c r="CE460" s="222"/>
      <c r="CF460" s="222"/>
      <c r="CG460" s="222"/>
      <c r="CH460" s="222"/>
      <c r="CI460" s="222"/>
      <c r="CJ460" s="222"/>
      <c r="CK460" s="222"/>
      <c r="CL460" s="222"/>
      <c r="CM460" s="222"/>
      <c r="CN460" s="222"/>
      <c r="CO460" s="222"/>
      <c r="CP460" s="222"/>
      <c r="CQ460" s="222"/>
      <c r="CR460" s="222"/>
      <c r="CS460" s="222"/>
    </row>
    <row r="461">
      <c r="A461" s="43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  <c r="AC461" s="222"/>
      <c r="AD461" s="222"/>
      <c r="AE461" s="222"/>
      <c r="AF461" s="222"/>
      <c r="AG461" s="222"/>
      <c r="AH461" s="222"/>
      <c r="AI461" s="222"/>
      <c r="AJ461" s="222"/>
      <c r="AK461" s="222"/>
      <c r="AL461" s="222"/>
      <c r="AM461" s="222"/>
      <c r="AN461" s="222"/>
      <c r="AO461" s="222"/>
      <c r="AP461" s="222"/>
      <c r="AQ461" s="222"/>
      <c r="AR461" s="222"/>
      <c r="AS461" s="222"/>
      <c r="AT461" s="222"/>
      <c r="AU461" s="222"/>
      <c r="AV461" s="222"/>
      <c r="AW461" s="222"/>
      <c r="AX461" s="222"/>
      <c r="AY461" s="222"/>
      <c r="AZ461" s="222"/>
      <c r="BA461" s="222"/>
      <c r="BB461" s="222"/>
      <c r="BC461" s="222"/>
      <c r="BD461" s="222"/>
      <c r="BE461" s="222"/>
      <c r="BF461" s="222"/>
      <c r="BG461" s="222"/>
      <c r="BH461" s="222"/>
      <c r="BI461" s="222"/>
      <c r="BJ461" s="222"/>
      <c r="BK461" s="222"/>
      <c r="BL461" s="222"/>
      <c r="BM461" s="222"/>
      <c r="BN461" s="222"/>
      <c r="BO461" s="222"/>
      <c r="BP461" s="222"/>
      <c r="BQ461" s="222"/>
      <c r="BR461" s="222"/>
      <c r="BS461" s="222"/>
      <c r="BT461" s="222"/>
      <c r="BU461" s="222"/>
      <c r="BV461" s="222"/>
      <c r="BW461" s="222"/>
      <c r="BX461" s="222"/>
      <c r="BY461" s="222"/>
      <c r="BZ461" s="222"/>
      <c r="CA461" s="222"/>
      <c r="CB461" s="222"/>
      <c r="CC461" s="222"/>
      <c r="CD461" s="222"/>
      <c r="CE461" s="222"/>
      <c r="CF461" s="222"/>
      <c r="CG461" s="222"/>
      <c r="CH461" s="222"/>
      <c r="CI461" s="222"/>
      <c r="CJ461" s="222"/>
      <c r="CK461" s="222"/>
      <c r="CL461" s="222"/>
      <c r="CM461" s="222"/>
      <c r="CN461" s="222"/>
      <c r="CO461" s="222"/>
      <c r="CP461" s="222"/>
      <c r="CQ461" s="222"/>
      <c r="CR461" s="222"/>
      <c r="CS461" s="222"/>
    </row>
    <row r="462">
      <c r="A462" s="43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  <c r="AC462" s="222"/>
      <c r="AD462" s="222"/>
      <c r="AE462" s="222"/>
      <c r="AF462" s="222"/>
      <c r="AG462" s="222"/>
      <c r="AH462" s="222"/>
      <c r="AI462" s="222"/>
      <c r="AJ462" s="222"/>
      <c r="AK462" s="222"/>
      <c r="AL462" s="222"/>
      <c r="AM462" s="222"/>
      <c r="AN462" s="222"/>
      <c r="AO462" s="222"/>
      <c r="AP462" s="222"/>
      <c r="AQ462" s="222"/>
      <c r="AR462" s="222"/>
      <c r="AS462" s="222"/>
      <c r="AT462" s="222"/>
      <c r="AU462" s="222"/>
      <c r="AV462" s="222"/>
      <c r="AW462" s="222"/>
      <c r="AX462" s="222"/>
      <c r="AY462" s="222"/>
      <c r="AZ462" s="222"/>
      <c r="BA462" s="222"/>
      <c r="BB462" s="222"/>
      <c r="BC462" s="222"/>
      <c r="BD462" s="222"/>
      <c r="BE462" s="222"/>
      <c r="BF462" s="222"/>
      <c r="BG462" s="222"/>
      <c r="BH462" s="222"/>
      <c r="BI462" s="222"/>
      <c r="BJ462" s="222"/>
      <c r="BK462" s="222"/>
      <c r="BL462" s="222"/>
      <c r="BM462" s="222"/>
      <c r="BN462" s="222"/>
      <c r="BO462" s="222"/>
      <c r="BP462" s="222"/>
      <c r="BQ462" s="222"/>
      <c r="BR462" s="222"/>
      <c r="BS462" s="222"/>
      <c r="BT462" s="222"/>
      <c r="BU462" s="222"/>
      <c r="BV462" s="222"/>
      <c r="BW462" s="222"/>
      <c r="BX462" s="222"/>
      <c r="BY462" s="222"/>
      <c r="BZ462" s="222"/>
      <c r="CA462" s="222"/>
      <c r="CB462" s="222"/>
      <c r="CC462" s="222"/>
      <c r="CD462" s="222"/>
      <c r="CE462" s="222"/>
      <c r="CF462" s="222"/>
      <c r="CG462" s="222"/>
      <c r="CH462" s="222"/>
      <c r="CI462" s="222"/>
      <c r="CJ462" s="222"/>
      <c r="CK462" s="222"/>
      <c r="CL462" s="222"/>
      <c r="CM462" s="222"/>
      <c r="CN462" s="222"/>
      <c r="CO462" s="222"/>
      <c r="CP462" s="222"/>
      <c r="CQ462" s="222"/>
      <c r="CR462" s="222"/>
      <c r="CS462" s="222"/>
    </row>
    <row r="463">
      <c r="A463" s="43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  <c r="AC463" s="222"/>
      <c r="AD463" s="222"/>
      <c r="AE463" s="222"/>
      <c r="AF463" s="222"/>
      <c r="AG463" s="222"/>
      <c r="AH463" s="222"/>
      <c r="AI463" s="222"/>
      <c r="AJ463" s="222"/>
      <c r="AK463" s="222"/>
      <c r="AL463" s="222"/>
      <c r="AM463" s="222"/>
      <c r="AN463" s="222"/>
      <c r="AO463" s="222"/>
      <c r="AP463" s="222"/>
      <c r="AQ463" s="222"/>
      <c r="AR463" s="222"/>
      <c r="AS463" s="222"/>
      <c r="AT463" s="222"/>
      <c r="AU463" s="222"/>
      <c r="AV463" s="222"/>
      <c r="AW463" s="222"/>
      <c r="AX463" s="222"/>
      <c r="AY463" s="222"/>
      <c r="AZ463" s="222"/>
      <c r="BA463" s="222"/>
      <c r="BB463" s="222"/>
      <c r="BC463" s="222"/>
      <c r="BD463" s="222"/>
      <c r="BE463" s="222"/>
      <c r="BF463" s="222"/>
      <c r="BG463" s="222"/>
      <c r="BH463" s="222"/>
      <c r="BI463" s="222"/>
      <c r="BJ463" s="222"/>
      <c r="BK463" s="222"/>
      <c r="BL463" s="222"/>
      <c r="BM463" s="222"/>
      <c r="BN463" s="222"/>
      <c r="BO463" s="222"/>
      <c r="BP463" s="222"/>
      <c r="BQ463" s="222"/>
      <c r="BR463" s="222"/>
      <c r="BS463" s="222"/>
      <c r="BT463" s="222"/>
      <c r="BU463" s="222"/>
      <c r="BV463" s="222"/>
      <c r="BW463" s="222"/>
      <c r="BX463" s="222"/>
      <c r="BY463" s="222"/>
      <c r="BZ463" s="222"/>
      <c r="CA463" s="222"/>
      <c r="CB463" s="222"/>
      <c r="CC463" s="222"/>
      <c r="CD463" s="222"/>
      <c r="CE463" s="222"/>
      <c r="CF463" s="222"/>
      <c r="CG463" s="222"/>
      <c r="CH463" s="222"/>
      <c r="CI463" s="222"/>
      <c r="CJ463" s="222"/>
      <c r="CK463" s="222"/>
      <c r="CL463" s="222"/>
      <c r="CM463" s="222"/>
      <c r="CN463" s="222"/>
      <c r="CO463" s="222"/>
      <c r="CP463" s="222"/>
      <c r="CQ463" s="222"/>
      <c r="CR463" s="222"/>
      <c r="CS463" s="222"/>
    </row>
    <row r="464">
      <c r="A464" s="43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  <c r="AC464" s="222"/>
      <c r="AD464" s="222"/>
      <c r="AE464" s="222"/>
      <c r="AF464" s="222"/>
      <c r="AG464" s="222"/>
      <c r="AH464" s="222"/>
      <c r="AI464" s="222"/>
      <c r="AJ464" s="222"/>
      <c r="AK464" s="222"/>
      <c r="AL464" s="222"/>
      <c r="AM464" s="222"/>
      <c r="AN464" s="222"/>
      <c r="AO464" s="222"/>
      <c r="AP464" s="222"/>
      <c r="AQ464" s="222"/>
      <c r="AR464" s="222"/>
      <c r="AS464" s="222"/>
      <c r="AT464" s="222"/>
      <c r="AU464" s="222"/>
      <c r="AV464" s="222"/>
      <c r="AW464" s="222"/>
      <c r="AX464" s="222"/>
      <c r="AY464" s="222"/>
      <c r="AZ464" s="222"/>
      <c r="BA464" s="222"/>
      <c r="BB464" s="222"/>
      <c r="BC464" s="222"/>
      <c r="BD464" s="222"/>
      <c r="BE464" s="222"/>
      <c r="BF464" s="222"/>
      <c r="BG464" s="222"/>
      <c r="BH464" s="222"/>
      <c r="BI464" s="222"/>
      <c r="BJ464" s="222"/>
      <c r="BK464" s="222"/>
      <c r="BL464" s="222"/>
      <c r="BM464" s="222"/>
      <c r="BN464" s="222"/>
      <c r="BO464" s="222"/>
      <c r="BP464" s="222"/>
      <c r="BQ464" s="222"/>
      <c r="BR464" s="222"/>
      <c r="BS464" s="222"/>
      <c r="BT464" s="222"/>
      <c r="BU464" s="222"/>
      <c r="BV464" s="222"/>
      <c r="BW464" s="222"/>
      <c r="BX464" s="222"/>
      <c r="BY464" s="222"/>
      <c r="BZ464" s="222"/>
      <c r="CA464" s="222"/>
      <c r="CB464" s="222"/>
      <c r="CC464" s="222"/>
      <c r="CD464" s="222"/>
      <c r="CE464" s="222"/>
      <c r="CF464" s="222"/>
      <c r="CG464" s="222"/>
      <c r="CH464" s="222"/>
      <c r="CI464" s="222"/>
      <c r="CJ464" s="222"/>
      <c r="CK464" s="222"/>
      <c r="CL464" s="222"/>
      <c r="CM464" s="222"/>
      <c r="CN464" s="222"/>
      <c r="CO464" s="222"/>
      <c r="CP464" s="222"/>
      <c r="CQ464" s="222"/>
      <c r="CR464" s="222"/>
      <c r="CS464" s="222"/>
    </row>
    <row r="465">
      <c r="A465" s="43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  <c r="AC465" s="222"/>
      <c r="AD465" s="222"/>
      <c r="AE465" s="222"/>
      <c r="AF465" s="222"/>
      <c r="AG465" s="222"/>
      <c r="AH465" s="222"/>
      <c r="AI465" s="222"/>
      <c r="AJ465" s="222"/>
      <c r="AK465" s="222"/>
      <c r="AL465" s="222"/>
      <c r="AM465" s="222"/>
      <c r="AN465" s="222"/>
      <c r="AO465" s="222"/>
      <c r="AP465" s="222"/>
      <c r="AQ465" s="222"/>
      <c r="AR465" s="222"/>
      <c r="AS465" s="222"/>
      <c r="AT465" s="222"/>
      <c r="AU465" s="222"/>
      <c r="AV465" s="222"/>
      <c r="AW465" s="222"/>
      <c r="AX465" s="222"/>
      <c r="AY465" s="222"/>
      <c r="AZ465" s="222"/>
      <c r="BA465" s="222"/>
      <c r="BB465" s="222"/>
      <c r="BC465" s="222"/>
      <c r="BD465" s="222"/>
      <c r="BE465" s="222"/>
      <c r="BF465" s="222"/>
      <c r="BG465" s="222"/>
      <c r="BH465" s="222"/>
      <c r="BI465" s="222"/>
      <c r="BJ465" s="222"/>
      <c r="BK465" s="222"/>
      <c r="BL465" s="222"/>
      <c r="BM465" s="222"/>
      <c r="BN465" s="222"/>
      <c r="BO465" s="222"/>
      <c r="BP465" s="222"/>
      <c r="BQ465" s="222"/>
      <c r="BR465" s="222"/>
      <c r="BS465" s="222"/>
      <c r="BT465" s="222"/>
      <c r="BU465" s="222"/>
      <c r="BV465" s="222"/>
      <c r="BW465" s="222"/>
      <c r="BX465" s="222"/>
      <c r="BY465" s="222"/>
      <c r="BZ465" s="222"/>
      <c r="CA465" s="222"/>
      <c r="CB465" s="222"/>
      <c r="CC465" s="222"/>
      <c r="CD465" s="222"/>
      <c r="CE465" s="222"/>
      <c r="CF465" s="222"/>
      <c r="CG465" s="222"/>
      <c r="CH465" s="222"/>
      <c r="CI465" s="222"/>
      <c r="CJ465" s="222"/>
      <c r="CK465" s="222"/>
      <c r="CL465" s="222"/>
      <c r="CM465" s="222"/>
      <c r="CN465" s="222"/>
      <c r="CO465" s="222"/>
      <c r="CP465" s="222"/>
      <c r="CQ465" s="222"/>
      <c r="CR465" s="222"/>
      <c r="CS465" s="222"/>
    </row>
    <row r="466">
      <c r="A466" s="43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  <c r="AC466" s="222"/>
      <c r="AD466" s="222"/>
      <c r="AE466" s="222"/>
      <c r="AF466" s="222"/>
      <c r="AG466" s="222"/>
      <c r="AH466" s="222"/>
      <c r="AI466" s="222"/>
      <c r="AJ466" s="222"/>
      <c r="AK466" s="222"/>
      <c r="AL466" s="222"/>
      <c r="AM466" s="222"/>
      <c r="AN466" s="222"/>
      <c r="AO466" s="222"/>
      <c r="AP466" s="222"/>
      <c r="AQ466" s="222"/>
      <c r="AR466" s="222"/>
      <c r="AS466" s="222"/>
      <c r="AT466" s="222"/>
      <c r="AU466" s="222"/>
      <c r="AV466" s="222"/>
      <c r="AW466" s="222"/>
      <c r="AX466" s="222"/>
      <c r="AY466" s="222"/>
      <c r="AZ466" s="222"/>
      <c r="BA466" s="222"/>
      <c r="BB466" s="222"/>
      <c r="BC466" s="222"/>
      <c r="BD466" s="222"/>
      <c r="BE466" s="222"/>
      <c r="BF466" s="222"/>
      <c r="BG466" s="222"/>
      <c r="BH466" s="222"/>
      <c r="BI466" s="222"/>
      <c r="BJ466" s="222"/>
      <c r="BK466" s="222"/>
      <c r="BL466" s="222"/>
      <c r="BM466" s="222"/>
      <c r="BN466" s="222"/>
      <c r="BO466" s="222"/>
      <c r="BP466" s="222"/>
      <c r="BQ466" s="222"/>
      <c r="BR466" s="222"/>
      <c r="BS466" s="222"/>
      <c r="BT466" s="222"/>
      <c r="BU466" s="222"/>
      <c r="BV466" s="222"/>
      <c r="BW466" s="222"/>
      <c r="BX466" s="222"/>
      <c r="BY466" s="222"/>
      <c r="BZ466" s="222"/>
      <c r="CA466" s="222"/>
      <c r="CB466" s="222"/>
      <c r="CC466" s="222"/>
      <c r="CD466" s="222"/>
      <c r="CE466" s="222"/>
      <c r="CF466" s="222"/>
      <c r="CG466" s="222"/>
      <c r="CH466" s="222"/>
      <c r="CI466" s="222"/>
      <c r="CJ466" s="222"/>
      <c r="CK466" s="222"/>
      <c r="CL466" s="222"/>
      <c r="CM466" s="222"/>
      <c r="CN466" s="222"/>
      <c r="CO466" s="222"/>
      <c r="CP466" s="222"/>
      <c r="CQ466" s="222"/>
      <c r="CR466" s="222"/>
      <c r="CS466" s="222"/>
    </row>
    <row r="467">
      <c r="A467" s="43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  <c r="AC467" s="222"/>
      <c r="AD467" s="222"/>
      <c r="AE467" s="222"/>
      <c r="AF467" s="222"/>
      <c r="AG467" s="222"/>
      <c r="AH467" s="222"/>
      <c r="AI467" s="222"/>
      <c r="AJ467" s="222"/>
      <c r="AK467" s="222"/>
      <c r="AL467" s="222"/>
      <c r="AM467" s="222"/>
      <c r="AN467" s="222"/>
      <c r="AO467" s="222"/>
      <c r="AP467" s="222"/>
      <c r="AQ467" s="222"/>
      <c r="AR467" s="222"/>
      <c r="AS467" s="222"/>
      <c r="AT467" s="222"/>
      <c r="AU467" s="222"/>
      <c r="AV467" s="222"/>
      <c r="AW467" s="222"/>
      <c r="AX467" s="222"/>
      <c r="AY467" s="222"/>
      <c r="AZ467" s="222"/>
      <c r="BA467" s="222"/>
      <c r="BB467" s="222"/>
      <c r="BC467" s="222"/>
      <c r="BD467" s="222"/>
      <c r="BE467" s="222"/>
      <c r="BF467" s="222"/>
      <c r="BG467" s="222"/>
      <c r="BH467" s="222"/>
      <c r="BI467" s="222"/>
      <c r="BJ467" s="222"/>
      <c r="BK467" s="222"/>
      <c r="BL467" s="222"/>
      <c r="BM467" s="222"/>
      <c r="BN467" s="222"/>
      <c r="BO467" s="222"/>
      <c r="BP467" s="222"/>
      <c r="BQ467" s="222"/>
      <c r="BR467" s="222"/>
      <c r="BS467" s="222"/>
      <c r="BT467" s="222"/>
      <c r="BU467" s="222"/>
      <c r="BV467" s="222"/>
      <c r="BW467" s="222"/>
      <c r="BX467" s="222"/>
      <c r="BY467" s="222"/>
      <c r="BZ467" s="222"/>
      <c r="CA467" s="222"/>
      <c r="CB467" s="222"/>
      <c r="CC467" s="222"/>
      <c r="CD467" s="222"/>
      <c r="CE467" s="222"/>
      <c r="CF467" s="222"/>
      <c r="CG467" s="222"/>
      <c r="CH467" s="222"/>
      <c r="CI467" s="222"/>
      <c r="CJ467" s="222"/>
      <c r="CK467" s="222"/>
      <c r="CL467" s="222"/>
      <c r="CM467" s="222"/>
      <c r="CN467" s="222"/>
      <c r="CO467" s="222"/>
      <c r="CP467" s="222"/>
      <c r="CQ467" s="222"/>
      <c r="CR467" s="222"/>
      <c r="CS467" s="222"/>
    </row>
    <row r="468">
      <c r="A468" s="43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  <c r="AC468" s="222"/>
      <c r="AD468" s="222"/>
      <c r="AE468" s="222"/>
      <c r="AF468" s="222"/>
      <c r="AG468" s="222"/>
      <c r="AH468" s="222"/>
      <c r="AI468" s="222"/>
      <c r="AJ468" s="222"/>
      <c r="AK468" s="222"/>
      <c r="AL468" s="222"/>
      <c r="AM468" s="222"/>
      <c r="AN468" s="222"/>
      <c r="AO468" s="222"/>
      <c r="AP468" s="222"/>
      <c r="AQ468" s="222"/>
      <c r="AR468" s="222"/>
      <c r="AS468" s="222"/>
      <c r="AT468" s="222"/>
      <c r="AU468" s="222"/>
      <c r="AV468" s="222"/>
      <c r="AW468" s="222"/>
      <c r="AX468" s="222"/>
      <c r="AY468" s="222"/>
      <c r="AZ468" s="222"/>
      <c r="BA468" s="222"/>
      <c r="BB468" s="222"/>
      <c r="BC468" s="222"/>
      <c r="BD468" s="222"/>
      <c r="BE468" s="222"/>
      <c r="BF468" s="222"/>
      <c r="BG468" s="222"/>
      <c r="BH468" s="222"/>
      <c r="BI468" s="222"/>
      <c r="BJ468" s="222"/>
      <c r="BK468" s="222"/>
      <c r="BL468" s="222"/>
      <c r="BM468" s="222"/>
      <c r="BN468" s="222"/>
      <c r="BO468" s="222"/>
      <c r="BP468" s="222"/>
      <c r="BQ468" s="222"/>
      <c r="BR468" s="222"/>
      <c r="BS468" s="222"/>
      <c r="BT468" s="222"/>
      <c r="BU468" s="222"/>
      <c r="BV468" s="222"/>
      <c r="BW468" s="222"/>
      <c r="BX468" s="222"/>
      <c r="BY468" s="222"/>
      <c r="BZ468" s="222"/>
      <c r="CA468" s="222"/>
      <c r="CB468" s="222"/>
      <c r="CC468" s="222"/>
      <c r="CD468" s="222"/>
      <c r="CE468" s="222"/>
      <c r="CF468" s="222"/>
      <c r="CG468" s="222"/>
      <c r="CH468" s="222"/>
      <c r="CI468" s="222"/>
      <c r="CJ468" s="222"/>
      <c r="CK468" s="222"/>
      <c r="CL468" s="222"/>
      <c r="CM468" s="222"/>
      <c r="CN468" s="222"/>
      <c r="CO468" s="222"/>
      <c r="CP468" s="222"/>
      <c r="CQ468" s="222"/>
      <c r="CR468" s="222"/>
      <c r="CS468" s="222"/>
    </row>
    <row r="469">
      <c r="A469" s="43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  <c r="AC469" s="222"/>
      <c r="AD469" s="222"/>
      <c r="AE469" s="222"/>
      <c r="AF469" s="222"/>
      <c r="AG469" s="222"/>
      <c r="AH469" s="222"/>
      <c r="AI469" s="222"/>
      <c r="AJ469" s="222"/>
      <c r="AK469" s="222"/>
      <c r="AL469" s="222"/>
      <c r="AM469" s="222"/>
      <c r="AN469" s="222"/>
      <c r="AO469" s="222"/>
      <c r="AP469" s="222"/>
      <c r="AQ469" s="222"/>
      <c r="AR469" s="222"/>
      <c r="AS469" s="222"/>
      <c r="AT469" s="222"/>
      <c r="AU469" s="222"/>
      <c r="AV469" s="222"/>
      <c r="AW469" s="222"/>
      <c r="AX469" s="222"/>
      <c r="AY469" s="222"/>
      <c r="AZ469" s="222"/>
      <c r="BA469" s="222"/>
      <c r="BB469" s="222"/>
      <c r="BC469" s="222"/>
      <c r="BD469" s="222"/>
      <c r="BE469" s="222"/>
      <c r="BF469" s="222"/>
      <c r="BG469" s="222"/>
      <c r="BH469" s="222"/>
      <c r="BI469" s="222"/>
      <c r="BJ469" s="222"/>
      <c r="BK469" s="222"/>
      <c r="BL469" s="222"/>
      <c r="BM469" s="222"/>
      <c r="BN469" s="222"/>
      <c r="BO469" s="222"/>
      <c r="BP469" s="222"/>
      <c r="BQ469" s="222"/>
      <c r="BR469" s="222"/>
      <c r="BS469" s="222"/>
      <c r="BT469" s="222"/>
      <c r="BU469" s="222"/>
      <c r="BV469" s="222"/>
      <c r="BW469" s="222"/>
      <c r="BX469" s="222"/>
      <c r="BY469" s="222"/>
      <c r="BZ469" s="222"/>
      <c r="CA469" s="222"/>
      <c r="CB469" s="222"/>
      <c r="CC469" s="222"/>
      <c r="CD469" s="222"/>
      <c r="CE469" s="222"/>
      <c r="CF469" s="222"/>
      <c r="CG469" s="222"/>
      <c r="CH469" s="222"/>
      <c r="CI469" s="222"/>
      <c r="CJ469" s="222"/>
      <c r="CK469" s="222"/>
      <c r="CL469" s="222"/>
      <c r="CM469" s="222"/>
      <c r="CN469" s="222"/>
      <c r="CO469" s="222"/>
      <c r="CP469" s="222"/>
      <c r="CQ469" s="222"/>
      <c r="CR469" s="222"/>
      <c r="CS469" s="222"/>
    </row>
    <row r="470">
      <c r="A470" s="43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  <c r="AC470" s="222"/>
      <c r="AD470" s="222"/>
      <c r="AE470" s="222"/>
      <c r="AF470" s="222"/>
      <c r="AG470" s="222"/>
      <c r="AH470" s="222"/>
      <c r="AI470" s="222"/>
      <c r="AJ470" s="222"/>
      <c r="AK470" s="222"/>
      <c r="AL470" s="222"/>
      <c r="AM470" s="222"/>
      <c r="AN470" s="222"/>
      <c r="AO470" s="222"/>
      <c r="AP470" s="222"/>
      <c r="AQ470" s="222"/>
      <c r="AR470" s="222"/>
      <c r="AS470" s="222"/>
      <c r="AT470" s="222"/>
      <c r="AU470" s="222"/>
      <c r="AV470" s="222"/>
      <c r="AW470" s="222"/>
      <c r="AX470" s="222"/>
      <c r="AY470" s="222"/>
      <c r="AZ470" s="222"/>
      <c r="BA470" s="222"/>
      <c r="BB470" s="222"/>
      <c r="BC470" s="222"/>
      <c r="BD470" s="222"/>
      <c r="BE470" s="222"/>
      <c r="BF470" s="222"/>
      <c r="BG470" s="222"/>
      <c r="BH470" s="222"/>
      <c r="BI470" s="222"/>
      <c r="BJ470" s="222"/>
      <c r="BK470" s="222"/>
      <c r="BL470" s="222"/>
      <c r="BM470" s="222"/>
      <c r="BN470" s="222"/>
      <c r="BO470" s="222"/>
      <c r="BP470" s="222"/>
      <c r="BQ470" s="222"/>
      <c r="BR470" s="222"/>
      <c r="BS470" s="222"/>
      <c r="BT470" s="222"/>
      <c r="BU470" s="222"/>
      <c r="BV470" s="222"/>
      <c r="BW470" s="222"/>
      <c r="BX470" s="222"/>
      <c r="BY470" s="222"/>
      <c r="BZ470" s="222"/>
      <c r="CA470" s="222"/>
      <c r="CB470" s="222"/>
      <c r="CC470" s="222"/>
      <c r="CD470" s="222"/>
      <c r="CE470" s="222"/>
      <c r="CF470" s="222"/>
      <c r="CG470" s="222"/>
      <c r="CH470" s="222"/>
      <c r="CI470" s="222"/>
      <c r="CJ470" s="222"/>
      <c r="CK470" s="222"/>
      <c r="CL470" s="222"/>
      <c r="CM470" s="222"/>
      <c r="CN470" s="222"/>
      <c r="CO470" s="222"/>
      <c r="CP470" s="222"/>
      <c r="CQ470" s="222"/>
      <c r="CR470" s="222"/>
      <c r="CS470" s="222"/>
    </row>
    <row r="471">
      <c r="A471" s="43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  <c r="AC471" s="222"/>
      <c r="AD471" s="222"/>
      <c r="AE471" s="222"/>
      <c r="AF471" s="222"/>
      <c r="AG471" s="222"/>
      <c r="AH471" s="222"/>
      <c r="AI471" s="222"/>
      <c r="AJ471" s="222"/>
      <c r="AK471" s="222"/>
      <c r="AL471" s="222"/>
      <c r="AM471" s="222"/>
      <c r="AN471" s="222"/>
      <c r="AO471" s="222"/>
      <c r="AP471" s="222"/>
      <c r="AQ471" s="222"/>
      <c r="AR471" s="222"/>
      <c r="AS471" s="222"/>
      <c r="AT471" s="222"/>
      <c r="AU471" s="222"/>
      <c r="AV471" s="222"/>
      <c r="AW471" s="222"/>
      <c r="AX471" s="222"/>
      <c r="AY471" s="222"/>
      <c r="AZ471" s="222"/>
      <c r="BA471" s="222"/>
      <c r="BB471" s="222"/>
      <c r="BC471" s="222"/>
      <c r="BD471" s="222"/>
      <c r="BE471" s="222"/>
      <c r="BF471" s="222"/>
      <c r="BG471" s="222"/>
      <c r="BH471" s="222"/>
      <c r="BI471" s="222"/>
      <c r="BJ471" s="222"/>
      <c r="BK471" s="222"/>
      <c r="BL471" s="222"/>
      <c r="BM471" s="222"/>
      <c r="BN471" s="222"/>
      <c r="BO471" s="222"/>
      <c r="BP471" s="222"/>
      <c r="BQ471" s="222"/>
      <c r="BR471" s="222"/>
      <c r="BS471" s="222"/>
      <c r="BT471" s="222"/>
      <c r="BU471" s="222"/>
      <c r="BV471" s="222"/>
      <c r="BW471" s="222"/>
      <c r="BX471" s="222"/>
      <c r="BY471" s="222"/>
      <c r="BZ471" s="222"/>
      <c r="CA471" s="222"/>
      <c r="CB471" s="222"/>
      <c r="CC471" s="222"/>
      <c r="CD471" s="222"/>
      <c r="CE471" s="222"/>
      <c r="CF471" s="222"/>
      <c r="CG471" s="222"/>
      <c r="CH471" s="222"/>
      <c r="CI471" s="222"/>
      <c r="CJ471" s="222"/>
      <c r="CK471" s="222"/>
      <c r="CL471" s="222"/>
      <c r="CM471" s="222"/>
      <c r="CN471" s="222"/>
      <c r="CO471" s="222"/>
      <c r="CP471" s="222"/>
      <c r="CQ471" s="222"/>
      <c r="CR471" s="222"/>
      <c r="CS471" s="222"/>
    </row>
    <row r="472">
      <c r="A472" s="43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  <c r="AC472" s="222"/>
      <c r="AD472" s="222"/>
      <c r="AE472" s="222"/>
      <c r="AF472" s="222"/>
      <c r="AG472" s="222"/>
      <c r="AH472" s="222"/>
      <c r="AI472" s="222"/>
      <c r="AJ472" s="222"/>
      <c r="AK472" s="222"/>
      <c r="AL472" s="222"/>
      <c r="AM472" s="222"/>
      <c r="AN472" s="222"/>
      <c r="AO472" s="222"/>
      <c r="AP472" s="222"/>
      <c r="AQ472" s="222"/>
      <c r="AR472" s="222"/>
      <c r="AS472" s="222"/>
      <c r="AT472" s="222"/>
      <c r="AU472" s="222"/>
      <c r="AV472" s="222"/>
      <c r="AW472" s="222"/>
      <c r="AX472" s="222"/>
      <c r="AY472" s="222"/>
      <c r="AZ472" s="222"/>
      <c r="BA472" s="222"/>
      <c r="BB472" s="222"/>
      <c r="BC472" s="222"/>
      <c r="BD472" s="222"/>
      <c r="BE472" s="222"/>
      <c r="BF472" s="222"/>
      <c r="BG472" s="222"/>
      <c r="BH472" s="222"/>
      <c r="BI472" s="222"/>
      <c r="BJ472" s="222"/>
      <c r="BK472" s="222"/>
      <c r="BL472" s="222"/>
      <c r="BM472" s="222"/>
      <c r="BN472" s="222"/>
      <c r="BO472" s="222"/>
      <c r="BP472" s="222"/>
      <c r="BQ472" s="222"/>
      <c r="BR472" s="222"/>
      <c r="BS472" s="222"/>
      <c r="BT472" s="222"/>
      <c r="BU472" s="222"/>
      <c r="BV472" s="222"/>
      <c r="BW472" s="222"/>
      <c r="BX472" s="222"/>
      <c r="BY472" s="222"/>
      <c r="BZ472" s="222"/>
      <c r="CA472" s="222"/>
      <c r="CB472" s="222"/>
      <c r="CC472" s="222"/>
      <c r="CD472" s="222"/>
      <c r="CE472" s="222"/>
      <c r="CF472" s="222"/>
      <c r="CG472" s="222"/>
      <c r="CH472" s="222"/>
      <c r="CI472" s="222"/>
      <c r="CJ472" s="222"/>
      <c r="CK472" s="222"/>
      <c r="CL472" s="222"/>
      <c r="CM472" s="222"/>
      <c r="CN472" s="222"/>
      <c r="CO472" s="222"/>
      <c r="CP472" s="222"/>
      <c r="CQ472" s="222"/>
      <c r="CR472" s="222"/>
      <c r="CS472" s="222"/>
    </row>
    <row r="473">
      <c r="A473" s="43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  <c r="AC473" s="222"/>
      <c r="AD473" s="222"/>
      <c r="AE473" s="222"/>
      <c r="AF473" s="222"/>
      <c r="AG473" s="222"/>
      <c r="AH473" s="222"/>
      <c r="AI473" s="222"/>
      <c r="AJ473" s="222"/>
      <c r="AK473" s="222"/>
      <c r="AL473" s="222"/>
      <c r="AM473" s="222"/>
      <c r="AN473" s="222"/>
      <c r="AO473" s="222"/>
      <c r="AP473" s="222"/>
      <c r="AQ473" s="222"/>
      <c r="AR473" s="222"/>
      <c r="AS473" s="222"/>
      <c r="AT473" s="222"/>
      <c r="AU473" s="222"/>
      <c r="AV473" s="222"/>
      <c r="AW473" s="222"/>
      <c r="AX473" s="222"/>
      <c r="AY473" s="222"/>
      <c r="AZ473" s="222"/>
      <c r="BA473" s="222"/>
      <c r="BB473" s="222"/>
      <c r="BC473" s="222"/>
      <c r="BD473" s="222"/>
      <c r="BE473" s="222"/>
      <c r="BF473" s="222"/>
      <c r="BG473" s="222"/>
      <c r="BH473" s="222"/>
      <c r="BI473" s="222"/>
      <c r="BJ473" s="222"/>
      <c r="BK473" s="222"/>
      <c r="BL473" s="222"/>
      <c r="BM473" s="222"/>
      <c r="BN473" s="222"/>
      <c r="BO473" s="222"/>
      <c r="BP473" s="222"/>
      <c r="BQ473" s="222"/>
      <c r="BR473" s="222"/>
      <c r="BS473" s="222"/>
      <c r="BT473" s="222"/>
      <c r="BU473" s="222"/>
      <c r="BV473" s="222"/>
      <c r="BW473" s="222"/>
      <c r="BX473" s="222"/>
      <c r="BY473" s="222"/>
      <c r="BZ473" s="222"/>
      <c r="CA473" s="222"/>
      <c r="CB473" s="222"/>
      <c r="CC473" s="222"/>
      <c r="CD473" s="222"/>
      <c r="CE473" s="222"/>
      <c r="CF473" s="222"/>
      <c r="CG473" s="222"/>
      <c r="CH473" s="222"/>
      <c r="CI473" s="222"/>
      <c r="CJ473" s="222"/>
      <c r="CK473" s="222"/>
      <c r="CL473" s="222"/>
      <c r="CM473" s="222"/>
      <c r="CN473" s="222"/>
      <c r="CO473" s="222"/>
      <c r="CP473" s="222"/>
      <c r="CQ473" s="222"/>
      <c r="CR473" s="222"/>
      <c r="CS473" s="222"/>
    </row>
    <row r="474">
      <c r="A474" s="43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  <c r="AC474" s="222"/>
      <c r="AD474" s="222"/>
      <c r="AE474" s="222"/>
      <c r="AF474" s="222"/>
      <c r="AG474" s="222"/>
      <c r="AH474" s="222"/>
      <c r="AI474" s="222"/>
      <c r="AJ474" s="222"/>
      <c r="AK474" s="222"/>
      <c r="AL474" s="222"/>
      <c r="AM474" s="222"/>
      <c r="AN474" s="222"/>
      <c r="AO474" s="222"/>
      <c r="AP474" s="222"/>
      <c r="AQ474" s="222"/>
      <c r="AR474" s="222"/>
      <c r="AS474" s="222"/>
      <c r="AT474" s="222"/>
      <c r="AU474" s="222"/>
      <c r="AV474" s="222"/>
      <c r="AW474" s="222"/>
      <c r="AX474" s="222"/>
      <c r="AY474" s="222"/>
      <c r="AZ474" s="222"/>
      <c r="BA474" s="222"/>
      <c r="BB474" s="222"/>
      <c r="BC474" s="222"/>
      <c r="BD474" s="222"/>
      <c r="BE474" s="222"/>
      <c r="BF474" s="222"/>
      <c r="BG474" s="222"/>
      <c r="BH474" s="222"/>
      <c r="BI474" s="222"/>
      <c r="BJ474" s="222"/>
      <c r="BK474" s="222"/>
      <c r="BL474" s="222"/>
      <c r="BM474" s="222"/>
      <c r="BN474" s="222"/>
      <c r="BO474" s="222"/>
      <c r="BP474" s="222"/>
      <c r="BQ474" s="222"/>
      <c r="BR474" s="222"/>
      <c r="BS474" s="222"/>
      <c r="BT474" s="222"/>
      <c r="BU474" s="222"/>
      <c r="BV474" s="222"/>
      <c r="BW474" s="222"/>
      <c r="BX474" s="222"/>
      <c r="BY474" s="222"/>
      <c r="BZ474" s="222"/>
      <c r="CA474" s="222"/>
      <c r="CB474" s="222"/>
      <c r="CC474" s="222"/>
      <c r="CD474" s="222"/>
      <c r="CE474" s="222"/>
      <c r="CF474" s="222"/>
      <c r="CG474" s="222"/>
      <c r="CH474" s="222"/>
      <c r="CI474" s="222"/>
      <c r="CJ474" s="222"/>
      <c r="CK474" s="222"/>
      <c r="CL474" s="222"/>
      <c r="CM474" s="222"/>
      <c r="CN474" s="222"/>
      <c r="CO474" s="222"/>
      <c r="CP474" s="222"/>
      <c r="CQ474" s="222"/>
      <c r="CR474" s="222"/>
      <c r="CS474" s="222"/>
    </row>
    <row r="475">
      <c r="A475" s="43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  <c r="AC475" s="222"/>
      <c r="AD475" s="222"/>
      <c r="AE475" s="222"/>
      <c r="AF475" s="222"/>
      <c r="AG475" s="222"/>
      <c r="AH475" s="222"/>
      <c r="AI475" s="222"/>
      <c r="AJ475" s="222"/>
      <c r="AK475" s="222"/>
      <c r="AL475" s="222"/>
      <c r="AM475" s="222"/>
      <c r="AN475" s="222"/>
      <c r="AO475" s="222"/>
      <c r="AP475" s="222"/>
      <c r="AQ475" s="222"/>
      <c r="AR475" s="222"/>
      <c r="AS475" s="222"/>
      <c r="AT475" s="222"/>
      <c r="AU475" s="222"/>
      <c r="AV475" s="222"/>
      <c r="AW475" s="222"/>
      <c r="AX475" s="222"/>
      <c r="AY475" s="222"/>
      <c r="AZ475" s="222"/>
      <c r="BA475" s="222"/>
      <c r="BB475" s="222"/>
      <c r="BC475" s="222"/>
      <c r="BD475" s="222"/>
      <c r="BE475" s="222"/>
      <c r="BF475" s="222"/>
      <c r="BG475" s="222"/>
      <c r="BH475" s="222"/>
      <c r="BI475" s="222"/>
      <c r="BJ475" s="222"/>
      <c r="BK475" s="222"/>
      <c r="BL475" s="222"/>
      <c r="BM475" s="222"/>
      <c r="BN475" s="222"/>
      <c r="BO475" s="222"/>
      <c r="BP475" s="222"/>
      <c r="BQ475" s="222"/>
      <c r="BR475" s="222"/>
      <c r="BS475" s="222"/>
      <c r="BT475" s="222"/>
      <c r="BU475" s="222"/>
      <c r="BV475" s="222"/>
      <c r="BW475" s="222"/>
      <c r="BX475" s="222"/>
      <c r="BY475" s="222"/>
      <c r="BZ475" s="222"/>
      <c r="CA475" s="222"/>
      <c r="CB475" s="222"/>
      <c r="CC475" s="222"/>
      <c r="CD475" s="222"/>
      <c r="CE475" s="222"/>
      <c r="CF475" s="222"/>
      <c r="CG475" s="222"/>
      <c r="CH475" s="222"/>
      <c r="CI475" s="222"/>
      <c r="CJ475" s="222"/>
      <c r="CK475" s="222"/>
      <c r="CL475" s="222"/>
      <c r="CM475" s="222"/>
      <c r="CN475" s="222"/>
      <c r="CO475" s="222"/>
      <c r="CP475" s="222"/>
      <c r="CQ475" s="222"/>
      <c r="CR475" s="222"/>
      <c r="CS475" s="222"/>
    </row>
    <row r="476">
      <c r="A476" s="43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  <c r="AC476" s="222"/>
      <c r="AD476" s="222"/>
      <c r="AE476" s="222"/>
      <c r="AF476" s="222"/>
      <c r="AG476" s="222"/>
      <c r="AH476" s="222"/>
      <c r="AI476" s="222"/>
      <c r="AJ476" s="222"/>
      <c r="AK476" s="222"/>
      <c r="AL476" s="222"/>
      <c r="AM476" s="222"/>
      <c r="AN476" s="222"/>
      <c r="AO476" s="222"/>
      <c r="AP476" s="222"/>
      <c r="AQ476" s="222"/>
      <c r="AR476" s="222"/>
      <c r="AS476" s="222"/>
      <c r="AT476" s="222"/>
      <c r="AU476" s="222"/>
      <c r="AV476" s="222"/>
      <c r="AW476" s="222"/>
      <c r="AX476" s="222"/>
      <c r="AY476" s="222"/>
      <c r="AZ476" s="222"/>
      <c r="BA476" s="222"/>
      <c r="BB476" s="222"/>
      <c r="BC476" s="222"/>
      <c r="BD476" s="222"/>
      <c r="BE476" s="222"/>
      <c r="BF476" s="222"/>
      <c r="BG476" s="222"/>
      <c r="BH476" s="222"/>
      <c r="BI476" s="222"/>
      <c r="BJ476" s="222"/>
      <c r="BK476" s="222"/>
      <c r="BL476" s="222"/>
      <c r="BM476" s="222"/>
      <c r="BN476" s="222"/>
      <c r="BO476" s="222"/>
      <c r="BP476" s="222"/>
      <c r="BQ476" s="222"/>
      <c r="BR476" s="222"/>
      <c r="BS476" s="222"/>
      <c r="BT476" s="222"/>
      <c r="BU476" s="222"/>
      <c r="BV476" s="222"/>
      <c r="BW476" s="222"/>
      <c r="BX476" s="222"/>
      <c r="BY476" s="222"/>
      <c r="BZ476" s="222"/>
      <c r="CA476" s="222"/>
      <c r="CB476" s="222"/>
      <c r="CC476" s="222"/>
      <c r="CD476" s="222"/>
      <c r="CE476" s="222"/>
      <c r="CF476" s="222"/>
      <c r="CG476" s="222"/>
      <c r="CH476" s="222"/>
      <c r="CI476" s="222"/>
      <c r="CJ476" s="222"/>
      <c r="CK476" s="222"/>
      <c r="CL476" s="222"/>
      <c r="CM476" s="222"/>
      <c r="CN476" s="222"/>
      <c r="CO476" s="222"/>
      <c r="CP476" s="222"/>
      <c r="CQ476" s="222"/>
      <c r="CR476" s="222"/>
      <c r="CS476" s="222"/>
    </row>
    <row r="477">
      <c r="A477" s="43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2"/>
      <c r="AG477" s="222"/>
      <c r="AH477" s="222"/>
      <c r="AI477" s="222"/>
      <c r="AJ477" s="222"/>
      <c r="AK477" s="222"/>
      <c r="AL477" s="222"/>
      <c r="AM477" s="222"/>
      <c r="AN477" s="222"/>
      <c r="AO477" s="222"/>
      <c r="AP477" s="222"/>
      <c r="AQ477" s="222"/>
      <c r="AR477" s="222"/>
      <c r="AS477" s="222"/>
      <c r="AT477" s="222"/>
      <c r="AU477" s="222"/>
      <c r="AV477" s="222"/>
      <c r="AW477" s="222"/>
      <c r="AX477" s="222"/>
      <c r="AY477" s="222"/>
      <c r="AZ477" s="222"/>
      <c r="BA477" s="222"/>
      <c r="BB477" s="222"/>
      <c r="BC477" s="222"/>
      <c r="BD477" s="222"/>
      <c r="BE477" s="222"/>
      <c r="BF477" s="222"/>
      <c r="BG477" s="222"/>
      <c r="BH477" s="222"/>
      <c r="BI477" s="222"/>
      <c r="BJ477" s="222"/>
      <c r="BK477" s="222"/>
      <c r="BL477" s="222"/>
      <c r="BM477" s="222"/>
      <c r="BN477" s="222"/>
      <c r="BO477" s="222"/>
      <c r="BP477" s="222"/>
      <c r="BQ477" s="222"/>
      <c r="BR477" s="222"/>
      <c r="BS477" s="222"/>
      <c r="BT477" s="222"/>
      <c r="BU477" s="222"/>
      <c r="BV477" s="222"/>
      <c r="BW477" s="222"/>
      <c r="BX477" s="222"/>
      <c r="BY477" s="222"/>
      <c r="BZ477" s="222"/>
      <c r="CA477" s="222"/>
      <c r="CB477" s="222"/>
      <c r="CC477" s="222"/>
      <c r="CD477" s="222"/>
      <c r="CE477" s="222"/>
      <c r="CF477" s="222"/>
      <c r="CG477" s="222"/>
      <c r="CH477" s="222"/>
      <c r="CI477" s="222"/>
      <c r="CJ477" s="222"/>
      <c r="CK477" s="222"/>
      <c r="CL477" s="222"/>
      <c r="CM477" s="222"/>
      <c r="CN477" s="222"/>
      <c r="CO477" s="222"/>
      <c r="CP477" s="222"/>
      <c r="CQ477" s="222"/>
      <c r="CR477" s="222"/>
      <c r="CS477" s="222"/>
    </row>
    <row r="478">
      <c r="A478" s="43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  <c r="AC478" s="222"/>
      <c r="AD478" s="222"/>
      <c r="AE478" s="222"/>
      <c r="AF478" s="222"/>
      <c r="AG478" s="222"/>
      <c r="AH478" s="222"/>
      <c r="AI478" s="222"/>
      <c r="AJ478" s="222"/>
      <c r="AK478" s="222"/>
      <c r="AL478" s="222"/>
      <c r="AM478" s="222"/>
      <c r="AN478" s="222"/>
      <c r="AO478" s="222"/>
      <c r="AP478" s="222"/>
      <c r="AQ478" s="222"/>
      <c r="AR478" s="222"/>
      <c r="AS478" s="222"/>
      <c r="AT478" s="222"/>
      <c r="AU478" s="222"/>
      <c r="AV478" s="222"/>
      <c r="AW478" s="222"/>
      <c r="AX478" s="222"/>
      <c r="AY478" s="222"/>
      <c r="AZ478" s="222"/>
      <c r="BA478" s="222"/>
      <c r="BB478" s="222"/>
      <c r="BC478" s="222"/>
      <c r="BD478" s="222"/>
      <c r="BE478" s="222"/>
      <c r="BF478" s="222"/>
      <c r="BG478" s="222"/>
      <c r="BH478" s="222"/>
      <c r="BI478" s="222"/>
      <c r="BJ478" s="222"/>
      <c r="BK478" s="222"/>
      <c r="BL478" s="222"/>
      <c r="BM478" s="222"/>
      <c r="BN478" s="222"/>
      <c r="BO478" s="222"/>
      <c r="BP478" s="222"/>
      <c r="BQ478" s="222"/>
      <c r="BR478" s="222"/>
      <c r="BS478" s="222"/>
      <c r="BT478" s="222"/>
      <c r="BU478" s="222"/>
      <c r="BV478" s="222"/>
      <c r="BW478" s="222"/>
      <c r="BX478" s="222"/>
      <c r="BY478" s="222"/>
      <c r="BZ478" s="222"/>
      <c r="CA478" s="222"/>
      <c r="CB478" s="222"/>
      <c r="CC478" s="222"/>
      <c r="CD478" s="222"/>
      <c r="CE478" s="222"/>
      <c r="CF478" s="222"/>
      <c r="CG478" s="222"/>
      <c r="CH478" s="222"/>
      <c r="CI478" s="222"/>
      <c r="CJ478" s="222"/>
      <c r="CK478" s="222"/>
      <c r="CL478" s="222"/>
      <c r="CM478" s="222"/>
      <c r="CN478" s="222"/>
      <c r="CO478" s="222"/>
      <c r="CP478" s="222"/>
      <c r="CQ478" s="222"/>
      <c r="CR478" s="222"/>
      <c r="CS478" s="222"/>
    </row>
    <row r="479">
      <c r="A479" s="43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  <c r="AC479" s="222"/>
      <c r="AD479" s="222"/>
      <c r="AE479" s="222"/>
      <c r="AF479" s="222"/>
      <c r="AG479" s="222"/>
      <c r="AH479" s="222"/>
      <c r="AI479" s="222"/>
      <c r="AJ479" s="222"/>
      <c r="AK479" s="222"/>
      <c r="AL479" s="222"/>
      <c r="AM479" s="222"/>
      <c r="AN479" s="222"/>
      <c r="AO479" s="222"/>
      <c r="AP479" s="222"/>
      <c r="AQ479" s="222"/>
      <c r="AR479" s="222"/>
      <c r="AS479" s="222"/>
      <c r="AT479" s="222"/>
      <c r="AU479" s="222"/>
      <c r="AV479" s="222"/>
      <c r="AW479" s="222"/>
      <c r="AX479" s="222"/>
      <c r="AY479" s="222"/>
      <c r="AZ479" s="222"/>
      <c r="BA479" s="222"/>
      <c r="BB479" s="222"/>
      <c r="BC479" s="222"/>
      <c r="BD479" s="222"/>
      <c r="BE479" s="222"/>
      <c r="BF479" s="222"/>
      <c r="BG479" s="222"/>
      <c r="BH479" s="222"/>
      <c r="BI479" s="222"/>
      <c r="BJ479" s="222"/>
      <c r="BK479" s="222"/>
      <c r="BL479" s="222"/>
      <c r="BM479" s="222"/>
      <c r="BN479" s="222"/>
      <c r="BO479" s="222"/>
      <c r="BP479" s="222"/>
      <c r="BQ479" s="222"/>
      <c r="BR479" s="222"/>
      <c r="BS479" s="222"/>
      <c r="BT479" s="222"/>
      <c r="BU479" s="222"/>
      <c r="BV479" s="222"/>
      <c r="BW479" s="222"/>
      <c r="BX479" s="222"/>
      <c r="BY479" s="222"/>
      <c r="BZ479" s="222"/>
      <c r="CA479" s="222"/>
      <c r="CB479" s="222"/>
      <c r="CC479" s="222"/>
      <c r="CD479" s="222"/>
      <c r="CE479" s="222"/>
      <c r="CF479" s="222"/>
      <c r="CG479" s="222"/>
      <c r="CH479" s="222"/>
      <c r="CI479" s="222"/>
      <c r="CJ479" s="222"/>
      <c r="CK479" s="222"/>
      <c r="CL479" s="222"/>
      <c r="CM479" s="222"/>
      <c r="CN479" s="222"/>
      <c r="CO479" s="222"/>
      <c r="CP479" s="222"/>
      <c r="CQ479" s="222"/>
      <c r="CR479" s="222"/>
      <c r="CS479" s="222"/>
    </row>
    <row r="480">
      <c r="A480" s="43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  <c r="AC480" s="222"/>
      <c r="AD480" s="222"/>
      <c r="AE480" s="222"/>
      <c r="AF480" s="222"/>
      <c r="AG480" s="222"/>
      <c r="AH480" s="222"/>
      <c r="AI480" s="222"/>
      <c r="AJ480" s="222"/>
      <c r="AK480" s="222"/>
      <c r="AL480" s="222"/>
      <c r="AM480" s="222"/>
      <c r="AN480" s="222"/>
      <c r="AO480" s="222"/>
      <c r="AP480" s="222"/>
      <c r="AQ480" s="222"/>
      <c r="AR480" s="222"/>
      <c r="AS480" s="222"/>
      <c r="AT480" s="222"/>
      <c r="AU480" s="222"/>
      <c r="AV480" s="222"/>
      <c r="AW480" s="222"/>
      <c r="AX480" s="222"/>
      <c r="AY480" s="222"/>
      <c r="AZ480" s="222"/>
      <c r="BA480" s="222"/>
      <c r="BB480" s="222"/>
      <c r="BC480" s="222"/>
      <c r="BD480" s="222"/>
      <c r="BE480" s="222"/>
      <c r="BF480" s="222"/>
      <c r="BG480" s="222"/>
      <c r="BH480" s="222"/>
      <c r="BI480" s="222"/>
      <c r="BJ480" s="222"/>
      <c r="BK480" s="222"/>
      <c r="BL480" s="222"/>
      <c r="BM480" s="222"/>
      <c r="BN480" s="222"/>
      <c r="BO480" s="222"/>
      <c r="BP480" s="222"/>
      <c r="BQ480" s="222"/>
      <c r="BR480" s="222"/>
      <c r="BS480" s="222"/>
      <c r="BT480" s="222"/>
      <c r="BU480" s="222"/>
      <c r="BV480" s="222"/>
      <c r="BW480" s="222"/>
      <c r="BX480" s="222"/>
      <c r="BY480" s="222"/>
      <c r="BZ480" s="222"/>
      <c r="CA480" s="222"/>
      <c r="CB480" s="222"/>
      <c r="CC480" s="222"/>
      <c r="CD480" s="222"/>
      <c r="CE480" s="222"/>
      <c r="CF480" s="222"/>
      <c r="CG480" s="222"/>
      <c r="CH480" s="222"/>
      <c r="CI480" s="222"/>
      <c r="CJ480" s="222"/>
      <c r="CK480" s="222"/>
      <c r="CL480" s="222"/>
      <c r="CM480" s="222"/>
      <c r="CN480" s="222"/>
      <c r="CO480" s="222"/>
      <c r="CP480" s="222"/>
      <c r="CQ480" s="222"/>
      <c r="CR480" s="222"/>
      <c r="CS480" s="222"/>
    </row>
    <row r="481">
      <c r="A481" s="43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  <c r="AC481" s="222"/>
      <c r="AD481" s="222"/>
      <c r="AE481" s="222"/>
      <c r="AF481" s="222"/>
      <c r="AG481" s="222"/>
      <c r="AH481" s="222"/>
      <c r="AI481" s="222"/>
      <c r="AJ481" s="222"/>
      <c r="AK481" s="222"/>
      <c r="AL481" s="222"/>
      <c r="AM481" s="222"/>
      <c r="AN481" s="222"/>
      <c r="AO481" s="222"/>
      <c r="AP481" s="222"/>
      <c r="AQ481" s="222"/>
      <c r="AR481" s="222"/>
      <c r="AS481" s="222"/>
      <c r="AT481" s="222"/>
      <c r="AU481" s="222"/>
      <c r="AV481" s="222"/>
      <c r="AW481" s="222"/>
      <c r="AX481" s="222"/>
      <c r="AY481" s="222"/>
      <c r="AZ481" s="222"/>
      <c r="BA481" s="222"/>
      <c r="BB481" s="222"/>
      <c r="BC481" s="222"/>
      <c r="BD481" s="222"/>
      <c r="BE481" s="222"/>
      <c r="BF481" s="222"/>
      <c r="BG481" s="222"/>
      <c r="BH481" s="222"/>
      <c r="BI481" s="222"/>
      <c r="BJ481" s="222"/>
      <c r="BK481" s="222"/>
      <c r="BL481" s="222"/>
      <c r="BM481" s="222"/>
      <c r="BN481" s="222"/>
      <c r="BO481" s="222"/>
      <c r="BP481" s="222"/>
      <c r="BQ481" s="222"/>
      <c r="BR481" s="222"/>
      <c r="BS481" s="222"/>
      <c r="BT481" s="222"/>
      <c r="BU481" s="222"/>
      <c r="BV481" s="222"/>
      <c r="BW481" s="222"/>
      <c r="BX481" s="222"/>
      <c r="BY481" s="222"/>
      <c r="BZ481" s="222"/>
      <c r="CA481" s="222"/>
      <c r="CB481" s="222"/>
      <c r="CC481" s="222"/>
      <c r="CD481" s="222"/>
      <c r="CE481" s="222"/>
      <c r="CF481" s="222"/>
      <c r="CG481" s="222"/>
      <c r="CH481" s="222"/>
      <c r="CI481" s="222"/>
      <c r="CJ481" s="222"/>
      <c r="CK481" s="222"/>
      <c r="CL481" s="222"/>
      <c r="CM481" s="222"/>
      <c r="CN481" s="222"/>
      <c r="CO481" s="222"/>
      <c r="CP481" s="222"/>
      <c r="CQ481" s="222"/>
      <c r="CR481" s="222"/>
      <c r="CS481" s="222"/>
    </row>
    <row r="482">
      <c r="A482" s="43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  <c r="AC482" s="222"/>
      <c r="AD482" s="222"/>
      <c r="AE482" s="222"/>
      <c r="AF482" s="222"/>
      <c r="AG482" s="222"/>
      <c r="AH482" s="222"/>
      <c r="AI482" s="222"/>
      <c r="AJ482" s="222"/>
      <c r="AK482" s="222"/>
      <c r="AL482" s="222"/>
      <c r="AM482" s="222"/>
      <c r="AN482" s="222"/>
      <c r="AO482" s="222"/>
      <c r="AP482" s="222"/>
      <c r="AQ482" s="222"/>
      <c r="AR482" s="222"/>
      <c r="AS482" s="222"/>
      <c r="AT482" s="222"/>
      <c r="AU482" s="222"/>
      <c r="AV482" s="222"/>
      <c r="AW482" s="222"/>
      <c r="AX482" s="222"/>
      <c r="AY482" s="222"/>
      <c r="AZ482" s="222"/>
      <c r="BA482" s="222"/>
      <c r="BB482" s="222"/>
      <c r="BC482" s="222"/>
      <c r="BD482" s="222"/>
      <c r="BE482" s="222"/>
      <c r="BF482" s="222"/>
      <c r="BG482" s="222"/>
      <c r="BH482" s="222"/>
      <c r="BI482" s="222"/>
      <c r="BJ482" s="222"/>
      <c r="BK482" s="222"/>
      <c r="BL482" s="222"/>
      <c r="BM482" s="222"/>
      <c r="BN482" s="222"/>
      <c r="BO482" s="222"/>
      <c r="BP482" s="222"/>
      <c r="BQ482" s="222"/>
      <c r="BR482" s="222"/>
      <c r="BS482" s="222"/>
      <c r="BT482" s="222"/>
      <c r="BU482" s="222"/>
      <c r="BV482" s="222"/>
      <c r="BW482" s="222"/>
      <c r="BX482" s="222"/>
      <c r="BY482" s="222"/>
      <c r="BZ482" s="222"/>
      <c r="CA482" s="222"/>
      <c r="CB482" s="222"/>
      <c r="CC482" s="222"/>
      <c r="CD482" s="222"/>
      <c r="CE482" s="222"/>
      <c r="CF482" s="222"/>
      <c r="CG482" s="222"/>
      <c r="CH482" s="222"/>
      <c r="CI482" s="222"/>
      <c r="CJ482" s="222"/>
      <c r="CK482" s="222"/>
      <c r="CL482" s="222"/>
      <c r="CM482" s="222"/>
      <c r="CN482" s="222"/>
      <c r="CO482" s="222"/>
      <c r="CP482" s="222"/>
      <c r="CQ482" s="222"/>
      <c r="CR482" s="222"/>
      <c r="CS482" s="222"/>
    </row>
    <row r="483">
      <c r="A483" s="43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  <c r="AC483" s="222"/>
      <c r="AD483" s="222"/>
      <c r="AE483" s="222"/>
      <c r="AF483" s="222"/>
      <c r="AG483" s="222"/>
      <c r="AH483" s="222"/>
      <c r="AI483" s="222"/>
      <c r="AJ483" s="222"/>
      <c r="AK483" s="222"/>
      <c r="AL483" s="222"/>
      <c r="AM483" s="222"/>
      <c r="AN483" s="222"/>
      <c r="AO483" s="222"/>
      <c r="AP483" s="222"/>
      <c r="AQ483" s="222"/>
      <c r="AR483" s="222"/>
      <c r="AS483" s="222"/>
      <c r="AT483" s="222"/>
      <c r="AU483" s="222"/>
      <c r="AV483" s="222"/>
      <c r="AW483" s="222"/>
      <c r="AX483" s="222"/>
      <c r="AY483" s="222"/>
      <c r="AZ483" s="222"/>
      <c r="BA483" s="222"/>
      <c r="BB483" s="222"/>
      <c r="BC483" s="222"/>
      <c r="BD483" s="222"/>
      <c r="BE483" s="222"/>
      <c r="BF483" s="222"/>
      <c r="BG483" s="222"/>
      <c r="BH483" s="222"/>
      <c r="BI483" s="222"/>
      <c r="BJ483" s="222"/>
      <c r="BK483" s="222"/>
      <c r="BL483" s="222"/>
      <c r="BM483" s="222"/>
      <c r="BN483" s="222"/>
      <c r="BO483" s="222"/>
      <c r="BP483" s="222"/>
      <c r="BQ483" s="222"/>
      <c r="BR483" s="222"/>
      <c r="BS483" s="222"/>
      <c r="BT483" s="222"/>
      <c r="BU483" s="222"/>
      <c r="BV483" s="222"/>
      <c r="BW483" s="222"/>
      <c r="BX483" s="222"/>
      <c r="BY483" s="222"/>
      <c r="BZ483" s="222"/>
      <c r="CA483" s="222"/>
      <c r="CB483" s="222"/>
      <c r="CC483" s="222"/>
      <c r="CD483" s="222"/>
      <c r="CE483" s="222"/>
      <c r="CF483" s="222"/>
      <c r="CG483" s="222"/>
      <c r="CH483" s="222"/>
      <c r="CI483" s="222"/>
      <c r="CJ483" s="222"/>
      <c r="CK483" s="222"/>
      <c r="CL483" s="222"/>
      <c r="CM483" s="222"/>
      <c r="CN483" s="222"/>
      <c r="CO483" s="222"/>
      <c r="CP483" s="222"/>
      <c r="CQ483" s="222"/>
      <c r="CR483" s="222"/>
      <c r="CS483" s="222"/>
    </row>
    <row r="484">
      <c r="A484" s="43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22"/>
      <c r="AE484" s="222"/>
      <c r="AF484" s="222"/>
      <c r="AG484" s="222"/>
      <c r="AH484" s="222"/>
      <c r="AI484" s="222"/>
      <c r="AJ484" s="222"/>
      <c r="AK484" s="222"/>
      <c r="AL484" s="222"/>
      <c r="AM484" s="222"/>
      <c r="AN484" s="222"/>
      <c r="AO484" s="222"/>
      <c r="AP484" s="222"/>
      <c r="AQ484" s="222"/>
      <c r="AR484" s="222"/>
      <c r="AS484" s="222"/>
      <c r="AT484" s="222"/>
      <c r="AU484" s="222"/>
      <c r="AV484" s="222"/>
      <c r="AW484" s="222"/>
      <c r="AX484" s="222"/>
      <c r="AY484" s="222"/>
      <c r="AZ484" s="222"/>
      <c r="BA484" s="222"/>
      <c r="BB484" s="222"/>
      <c r="BC484" s="222"/>
      <c r="BD484" s="222"/>
      <c r="BE484" s="222"/>
      <c r="BF484" s="222"/>
      <c r="BG484" s="222"/>
      <c r="BH484" s="222"/>
      <c r="BI484" s="222"/>
      <c r="BJ484" s="222"/>
      <c r="BK484" s="222"/>
      <c r="BL484" s="222"/>
      <c r="BM484" s="222"/>
      <c r="BN484" s="222"/>
      <c r="BO484" s="222"/>
      <c r="BP484" s="222"/>
      <c r="BQ484" s="222"/>
      <c r="BR484" s="222"/>
      <c r="BS484" s="222"/>
      <c r="BT484" s="222"/>
      <c r="BU484" s="222"/>
      <c r="BV484" s="222"/>
      <c r="BW484" s="222"/>
      <c r="BX484" s="222"/>
      <c r="BY484" s="222"/>
      <c r="BZ484" s="222"/>
      <c r="CA484" s="222"/>
      <c r="CB484" s="222"/>
      <c r="CC484" s="222"/>
      <c r="CD484" s="222"/>
      <c r="CE484" s="222"/>
      <c r="CF484" s="222"/>
      <c r="CG484" s="222"/>
      <c r="CH484" s="222"/>
      <c r="CI484" s="222"/>
      <c r="CJ484" s="222"/>
      <c r="CK484" s="222"/>
      <c r="CL484" s="222"/>
      <c r="CM484" s="222"/>
      <c r="CN484" s="222"/>
      <c r="CO484" s="222"/>
      <c r="CP484" s="222"/>
      <c r="CQ484" s="222"/>
      <c r="CR484" s="222"/>
      <c r="CS484" s="222"/>
    </row>
    <row r="485">
      <c r="A485" s="43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  <c r="AC485" s="222"/>
      <c r="AD485" s="222"/>
      <c r="AE485" s="222"/>
      <c r="AF485" s="222"/>
      <c r="AG485" s="222"/>
      <c r="AH485" s="222"/>
      <c r="AI485" s="222"/>
      <c r="AJ485" s="222"/>
      <c r="AK485" s="222"/>
      <c r="AL485" s="222"/>
      <c r="AM485" s="222"/>
      <c r="AN485" s="222"/>
      <c r="AO485" s="222"/>
      <c r="AP485" s="222"/>
      <c r="AQ485" s="222"/>
      <c r="AR485" s="222"/>
      <c r="AS485" s="222"/>
      <c r="AT485" s="222"/>
      <c r="AU485" s="222"/>
      <c r="AV485" s="222"/>
      <c r="AW485" s="222"/>
      <c r="AX485" s="222"/>
      <c r="AY485" s="222"/>
      <c r="AZ485" s="222"/>
      <c r="BA485" s="222"/>
      <c r="BB485" s="222"/>
      <c r="BC485" s="222"/>
      <c r="BD485" s="222"/>
      <c r="BE485" s="222"/>
      <c r="BF485" s="222"/>
      <c r="BG485" s="222"/>
      <c r="BH485" s="222"/>
      <c r="BI485" s="222"/>
      <c r="BJ485" s="222"/>
      <c r="BK485" s="222"/>
      <c r="BL485" s="222"/>
      <c r="BM485" s="222"/>
      <c r="BN485" s="222"/>
      <c r="BO485" s="222"/>
      <c r="BP485" s="222"/>
      <c r="BQ485" s="222"/>
      <c r="BR485" s="222"/>
      <c r="BS485" s="222"/>
      <c r="BT485" s="222"/>
      <c r="BU485" s="222"/>
      <c r="BV485" s="222"/>
      <c r="BW485" s="222"/>
      <c r="BX485" s="222"/>
      <c r="BY485" s="222"/>
      <c r="BZ485" s="222"/>
      <c r="CA485" s="222"/>
      <c r="CB485" s="222"/>
      <c r="CC485" s="222"/>
      <c r="CD485" s="222"/>
      <c r="CE485" s="222"/>
      <c r="CF485" s="222"/>
      <c r="CG485" s="222"/>
      <c r="CH485" s="222"/>
      <c r="CI485" s="222"/>
      <c r="CJ485" s="222"/>
      <c r="CK485" s="222"/>
      <c r="CL485" s="222"/>
      <c r="CM485" s="222"/>
      <c r="CN485" s="222"/>
      <c r="CO485" s="222"/>
      <c r="CP485" s="222"/>
      <c r="CQ485" s="222"/>
      <c r="CR485" s="222"/>
      <c r="CS485" s="222"/>
    </row>
    <row r="486">
      <c r="A486" s="43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  <c r="AC486" s="222"/>
      <c r="AD486" s="222"/>
      <c r="AE486" s="222"/>
      <c r="AF486" s="222"/>
      <c r="AG486" s="222"/>
      <c r="AH486" s="222"/>
      <c r="AI486" s="222"/>
      <c r="AJ486" s="222"/>
      <c r="AK486" s="222"/>
      <c r="AL486" s="222"/>
      <c r="AM486" s="222"/>
      <c r="AN486" s="222"/>
      <c r="AO486" s="222"/>
      <c r="AP486" s="222"/>
      <c r="AQ486" s="222"/>
      <c r="AR486" s="222"/>
      <c r="AS486" s="222"/>
      <c r="AT486" s="222"/>
      <c r="AU486" s="222"/>
      <c r="AV486" s="222"/>
      <c r="AW486" s="222"/>
      <c r="AX486" s="222"/>
      <c r="AY486" s="222"/>
      <c r="AZ486" s="222"/>
      <c r="BA486" s="222"/>
      <c r="BB486" s="222"/>
      <c r="BC486" s="222"/>
      <c r="BD486" s="222"/>
      <c r="BE486" s="222"/>
      <c r="BF486" s="222"/>
      <c r="BG486" s="222"/>
      <c r="BH486" s="222"/>
      <c r="BI486" s="222"/>
      <c r="BJ486" s="222"/>
      <c r="BK486" s="222"/>
      <c r="BL486" s="222"/>
      <c r="BM486" s="222"/>
      <c r="BN486" s="222"/>
      <c r="BO486" s="222"/>
      <c r="BP486" s="222"/>
      <c r="BQ486" s="222"/>
      <c r="BR486" s="222"/>
      <c r="BS486" s="222"/>
      <c r="BT486" s="222"/>
      <c r="BU486" s="222"/>
      <c r="BV486" s="222"/>
      <c r="BW486" s="222"/>
      <c r="BX486" s="222"/>
      <c r="BY486" s="222"/>
      <c r="BZ486" s="222"/>
      <c r="CA486" s="222"/>
      <c r="CB486" s="222"/>
      <c r="CC486" s="222"/>
      <c r="CD486" s="222"/>
      <c r="CE486" s="222"/>
      <c r="CF486" s="222"/>
      <c r="CG486" s="222"/>
      <c r="CH486" s="222"/>
      <c r="CI486" s="222"/>
      <c r="CJ486" s="222"/>
      <c r="CK486" s="222"/>
      <c r="CL486" s="222"/>
      <c r="CM486" s="222"/>
      <c r="CN486" s="222"/>
      <c r="CO486" s="222"/>
      <c r="CP486" s="222"/>
      <c r="CQ486" s="222"/>
      <c r="CR486" s="222"/>
      <c r="CS486" s="222"/>
    </row>
    <row r="487">
      <c r="A487" s="43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  <c r="AE487" s="222"/>
      <c r="AF487" s="222"/>
      <c r="AG487" s="222"/>
      <c r="AH487" s="222"/>
      <c r="AI487" s="222"/>
      <c r="AJ487" s="222"/>
      <c r="AK487" s="222"/>
      <c r="AL487" s="222"/>
      <c r="AM487" s="222"/>
      <c r="AN487" s="222"/>
      <c r="AO487" s="222"/>
      <c r="AP487" s="222"/>
      <c r="AQ487" s="222"/>
      <c r="AR487" s="222"/>
      <c r="AS487" s="222"/>
      <c r="AT487" s="222"/>
      <c r="AU487" s="222"/>
      <c r="AV487" s="222"/>
      <c r="AW487" s="222"/>
      <c r="AX487" s="222"/>
      <c r="AY487" s="222"/>
      <c r="AZ487" s="222"/>
      <c r="BA487" s="222"/>
      <c r="BB487" s="222"/>
      <c r="BC487" s="222"/>
      <c r="BD487" s="222"/>
      <c r="BE487" s="222"/>
      <c r="BF487" s="222"/>
      <c r="BG487" s="222"/>
      <c r="BH487" s="222"/>
      <c r="BI487" s="222"/>
      <c r="BJ487" s="222"/>
      <c r="BK487" s="222"/>
      <c r="BL487" s="222"/>
      <c r="BM487" s="222"/>
      <c r="BN487" s="222"/>
      <c r="BO487" s="222"/>
      <c r="BP487" s="222"/>
      <c r="BQ487" s="222"/>
      <c r="BR487" s="222"/>
      <c r="BS487" s="222"/>
      <c r="BT487" s="222"/>
      <c r="BU487" s="222"/>
      <c r="BV487" s="222"/>
      <c r="BW487" s="222"/>
      <c r="BX487" s="222"/>
      <c r="BY487" s="222"/>
      <c r="BZ487" s="222"/>
      <c r="CA487" s="222"/>
      <c r="CB487" s="222"/>
      <c r="CC487" s="222"/>
      <c r="CD487" s="222"/>
      <c r="CE487" s="222"/>
      <c r="CF487" s="222"/>
      <c r="CG487" s="222"/>
      <c r="CH487" s="222"/>
      <c r="CI487" s="222"/>
      <c r="CJ487" s="222"/>
      <c r="CK487" s="222"/>
      <c r="CL487" s="222"/>
      <c r="CM487" s="222"/>
      <c r="CN487" s="222"/>
      <c r="CO487" s="222"/>
      <c r="CP487" s="222"/>
      <c r="CQ487" s="222"/>
      <c r="CR487" s="222"/>
      <c r="CS487" s="222"/>
    </row>
    <row r="488">
      <c r="A488" s="43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  <c r="AC488" s="222"/>
      <c r="AD488" s="222"/>
      <c r="AE488" s="222"/>
      <c r="AF488" s="222"/>
      <c r="AG488" s="222"/>
      <c r="AH488" s="222"/>
      <c r="AI488" s="222"/>
      <c r="AJ488" s="222"/>
      <c r="AK488" s="222"/>
      <c r="AL488" s="222"/>
      <c r="AM488" s="222"/>
      <c r="AN488" s="222"/>
      <c r="AO488" s="222"/>
      <c r="AP488" s="222"/>
      <c r="AQ488" s="222"/>
      <c r="AR488" s="222"/>
      <c r="AS488" s="222"/>
      <c r="AT488" s="222"/>
      <c r="AU488" s="222"/>
      <c r="AV488" s="222"/>
      <c r="AW488" s="222"/>
      <c r="AX488" s="222"/>
      <c r="AY488" s="222"/>
      <c r="AZ488" s="222"/>
      <c r="BA488" s="222"/>
      <c r="BB488" s="222"/>
      <c r="BC488" s="222"/>
      <c r="BD488" s="222"/>
      <c r="BE488" s="222"/>
      <c r="BF488" s="222"/>
      <c r="BG488" s="222"/>
      <c r="BH488" s="222"/>
      <c r="BI488" s="222"/>
      <c r="BJ488" s="222"/>
      <c r="BK488" s="222"/>
      <c r="BL488" s="222"/>
      <c r="BM488" s="222"/>
      <c r="BN488" s="222"/>
      <c r="BO488" s="222"/>
      <c r="BP488" s="222"/>
      <c r="BQ488" s="222"/>
      <c r="BR488" s="222"/>
      <c r="BS488" s="222"/>
      <c r="BT488" s="222"/>
      <c r="BU488" s="222"/>
      <c r="BV488" s="222"/>
      <c r="BW488" s="222"/>
      <c r="BX488" s="222"/>
      <c r="BY488" s="222"/>
      <c r="BZ488" s="222"/>
      <c r="CA488" s="222"/>
      <c r="CB488" s="222"/>
      <c r="CC488" s="222"/>
      <c r="CD488" s="222"/>
      <c r="CE488" s="222"/>
      <c r="CF488" s="222"/>
      <c r="CG488" s="222"/>
      <c r="CH488" s="222"/>
      <c r="CI488" s="222"/>
      <c r="CJ488" s="222"/>
      <c r="CK488" s="222"/>
      <c r="CL488" s="222"/>
      <c r="CM488" s="222"/>
      <c r="CN488" s="222"/>
      <c r="CO488" s="222"/>
      <c r="CP488" s="222"/>
      <c r="CQ488" s="222"/>
      <c r="CR488" s="222"/>
      <c r="CS488" s="222"/>
    </row>
    <row r="489">
      <c r="A489" s="43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  <c r="AC489" s="222"/>
      <c r="AD489" s="222"/>
      <c r="AE489" s="222"/>
      <c r="AF489" s="222"/>
      <c r="AG489" s="222"/>
      <c r="AH489" s="222"/>
      <c r="AI489" s="222"/>
      <c r="AJ489" s="222"/>
      <c r="AK489" s="222"/>
      <c r="AL489" s="222"/>
      <c r="AM489" s="222"/>
      <c r="AN489" s="222"/>
      <c r="AO489" s="222"/>
      <c r="AP489" s="222"/>
      <c r="AQ489" s="222"/>
      <c r="AR489" s="222"/>
      <c r="AS489" s="222"/>
      <c r="AT489" s="222"/>
      <c r="AU489" s="222"/>
      <c r="AV489" s="222"/>
      <c r="AW489" s="222"/>
      <c r="AX489" s="222"/>
      <c r="AY489" s="222"/>
      <c r="AZ489" s="222"/>
      <c r="BA489" s="222"/>
      <c r="BB489" s="222"/>
      <c r="BC489" s="222"/>
      <c r="BD489" s="222"/>
      <c r="BE489" s="222"/>
      <c r="BF489" s="222"/>
      <c r="BG489" s="222"/>
      <c r="BH489" s="222"/>
      <c r="BI489" s="222"/>
      <c r="BJ489" s="222"/>
      <c r="BK489" s="222"/>
      <c r="BL489" s="222"/>
      <c r="BM489" s="222"/>
      <c r="BN489" s="222"/>
      <c r="BO489" s="222"/>
      <c r="BP489" s="222"/>
      <c r="BQ489" s="222"/>
      <c r="BR489" s="222"/>
      <c r="BS489" s="222"/>
      <c r="BT489" s="222"/>
      <c r="BU489" s="222"/>
      <c r="BV489" s="222"/>
      <c r="BW489" s="222"/>
      <c r="BX489" s="222"/>
      <c r="BY489" s="222"/>
      <c r="BZ489" s="222"/>
      <c r="CA489" s="222"/>
      <c r="CB489" s="222"/>
      <c r="CC489" s="222"/>
      <c r="CD489" s="222"/>
      <c r="CE489" s="222"/>
      <c r="CF489" s="222"/>
      <c r="CG489" s="222"/>
      <c r="CH489" s="222"/>
      <c r="CI489" s="222"/>
      <c r="CJ489" s="222"/>
      <c r="CK489" s="222"/>
      <c r="CL489" s="222"/>
      <c r="CM489" s="222"/>
      <c r="CN489" s="222"/>
      <c r="CO489" s="222"/>
      <c r="CP489" s="222"/>
      <c r="CQ489" s="222"/>
      <c r="CR489" s="222"/>
      <c r="CS489" s="222"/>
    </row>
    <row r="490">
      <c r="A490" s="43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  <c r="AC490" s="222"/>
      <c r="AD490" s="222"/>
      <c r="AE490" s="222"/>
      <c r="AF490" s="222"/>
      <c r="AG490" s="222"/>
      <c r="AH490" s="222"/>
      <c r="AI490" s="222"/>
      <c r="AJ490" s="222"/>
      <c r="AK490" s="222"/>
      <c r="AL490" s="222"/>
      <c r="AM490" s="222"/>
      <c r="AN490" s="222"/>
      <c r="AO490" s="222"/>
      <c r="AP490" s="222"/>
      <c r="AQ490" s="222"/>
      <c r="AR490" s="222"/>
      <c r="AS490" s="222"/>
      <c r="AT490" s="222"/>
      <c r="AU490" s="222"/>
      <c r="AV490" s="222"/>
      <c r="AW490" s="222"/>
      <c r="AX490" s="222"/>
      <c r="AY490" s="222"/>
      <c r="AZ490" s="222"/>
      <c r="BA490" s="222"/>
      <c r="BB490" s="222"/>
      <c r="BC490" s="222"/>
      <c r="BD490" s="222"/>
      <c r="BE490" s="222"/>
      <c r="BF490" s="222"/>
      <c r="BG490" s="222"/>
      <c r="BH490" s="222"/>
      <c r="BI490" s="222"/>
      <c r="BJ490" s="222"/>
      <c r="BK490" s="222"/>
      <c r="BL490" s="222"/>
      <c r="BM490" s="222"/>
      <c r="BN490" s="222"/>
      <c r="BO490" s="222"/>
      <c r="BP490" s="222"/>
      <c r="BQ490" s="222"/>
      <c r="BR490" s="222"/>
      <c r="BS490" s="222"/>
      <c r="BT490" s="222"/>
      <c r="BU490" s="222"/>
      <c r="BV490" s="222"/>
      <c r="BW490" s="222"/>
      <c r="BX490" s="222"/>
      <c r="BY490" s="222"/>
      <c r="BZ490" s="222"/>
      <c r="CA490" s="222"/>
      <c r="CB490" s="222"/>
      <c r="CC490" s="222"/>
      <c r="CD490" s="222"/>
      <c r="CE490" s="222"/>
      <c r="CF490" s="222"/>
      <c r="CG490" s="222"/>
      <c r="CH490" s="222"/>
      <c r="CI490" s="222"/>
      <c r="CJ490" s="222"/>
      <c r="CK490" s="222"/>
      <c r="CL490" s="222"/>
      <c r="CM490" s="222"/>
      <c r="CN490" s="222"/>
      <c r="CO490" s="222"/>
      <c r="CP490" s="222"/>
      <c r="CQ490" s="222"/>
      <c r="CR490" s="222"/>
      <c r="CS490" s="222"/>
    </row>
    <row r="491">
      <c r="A491" s="43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  <c r="AC491" s="222"/>
      <c r="AD491" s="222"/>
      <c r="AE491" s="222"/>
      <c r="AF491" s="222"/>
      <c r="AG491" s="222"/>
      <c r="AH491" s="222"/>
      <c r="AI491" s="222"/>
      <c r="AJ491" s="222"/>
      <c r="AK491" s="222"/>
      <c r="AL491" s="222"/>
      <c r="AM491" s="222"/>
      <c r="AN491" s="222"/>
      <c r="AO491" s="222"/>
      <c r="AP491" s="222"/>
      <c r="AQ491" s="222"/>
      <c r="AR491" s="222"/>
      <c r="AS491" s="222"/>
      <c r="AT491" s="222"/>
      <c r="AU491" s="222"/>
      <c r="AV491" s="222"/>
      <c r="AW491" s="222"/>
      <c r="AX491" s="222"/>
      <c r="AY491" s="222"/>
      <c r="AZ491" s="222"/>
      <c r="BA491" s="222"/>
      <c r="BB491" s="222"/>
      <c r="BC491" s="222"/>
      <c r="BD491" s="222"/>
      <c r="BE491" s="222"/>
      <c r="BF491" s="222"/>
      <c r="BG491" s="222"/>
      <c r="BH491" s="222"/>
      <c r="BI491" s="222"/>
      <c r="BJ491" s="222"/>
      <c r="BK491" s="222"/>
      <c r="BL491" s="222"/>
      <c r="BM491" s="222"/>
      <c r="BN491" s="222"/>
      <c r="BO491" s="222"/>
      <c r="BP491" s="222"/>
      <c r="BQ491" s="222"/>
      <c r="BR491" s="222"/>
      <c r="BS491" s="222"/>
      <c r="BT491" s="222"/>
      <c r="BU491" s="222"/>
      <c r="BV491" s="222"/>
      <c r="BW491" s="222"/>
      <c r="BX491" s="222"/>
      <c r="BY491" s="222"/>
      <c r="BZ491" s="222"/>
      <c r="CA491" s="222"/>
      <c r="CB491" s="222"/>
      <c r="CC491" s="222"/>
      <c r="CD491" s="222"/>
      <c r="CE491" s="222"/>
      <c r="CF491" s="222"/>
      <c r="CG491" s="222"/>
      <c r="CH491" s="222"/>
      <c r="CI491" s="222"/>
      <c r="CJ491" s="222"/>
      <c r="CK491" s="222"/>
      <c r="CL491" s="222"/>
      <c r="CM491" s="222"/>
      <c r="CN491" s="222"/>
      <c r="CO491" s="222"/>
      <c r="CP491" s="222"/>
      <c r="CQ491" s="222"/>
      <c r="CR491" s="222"/>
      <c r="CS491" s="222"/>
    </row>
    <row r="492">
      <c r="A492" s="43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  <c r="AC492" s="222"/>
      <c r="AD492" s="222"/>
      <c r="AE492" s="222"/>
      <c r="AF492" s="222"/>
      <c r="AG492" s="222"/>
      <c r="AH492" s="222"/>
      <c r="AI492" s="222"/>
      <c r="AJ492" s="222"/>
      <c r="AK492" s="222"/>
      <c r="AL492" s="222"/>
      <c r="AM492" s="222"/>
      <c r="AN492" s="222"/>
      <c r="AO492" s="222"/>
      <c r="AP492" s="222"/>
      <c r="AQ492" s="222"/>
      <c r="AR492" s="222"/>
      <c r="AS492" s="222"/>
      <c r="AT492" s="222"/>
      <c r="AU492" s="222"/>
      <c r="AV492" s="222"/>
      <c r="AW492" s="222"/>
      <c r="AX492" s="222"/>
      <c r="AY492" s="222"/>
      <c r="AZ492" s="222"/>
      <c r="BA492" s="222"/>
      <c r="BB492" s="222"/>
      <c r="BC492" s="222"/>
      <c r="BD492" s="222"/>
      <c r="BE492" s="222"/>
      <c r="BF492" s="222"/>
      <c r="BG492" s="222"/>
      <c r="BH492" s="222"/>
      <c r="BI492" s="222"/>
      <c r="BJ492" s="222"/>
      <c r="BK492" s="222"/>
      <c r="BL492" s="222"/>
      <c r="BM492" s="222"/>
      <c r="BN492" s="222"/>
      <c r="BO492" s="222"/>
      <c r="BP492" s="222"/>
      <c r="BQ492" s="222"/>
      <c r="BR492" s="222"/>
      <c r="BS492" s="222"/>
      <c r="BT492" s="222"/>
      <c r="BU492" s="222"/>
      <c r="BV492" s="222"/>
      <c r="BW492" s="222"/>
      <c r="BX492" s="222"/>
      <c r="BY492" s="222"/>
      <c r="BZ492" s="222"/>
      <c r="CA492" s="222"/>
      <c r="CB492" s="222"/>
      <c r="CC492" s="222"/>
      <c r="CD492" s="222"/>
      <c r="CE492" s="222"/>
      <c r="CF492" s="222"/>
      <c r="CG492" s="222"/>
      <c r="CH492" s="222"/>
      <c r="CI492" s="222"/>
      <c r="CJ492" s="222"/>
      <c r="CK492" s="222"/>
      <c r="CL492" s="222"/>
      <c r="CM492" s="222"/>
      <c r="CN492" s="222"/>
      <c r="CO492" s="222"/>
      <c r="CP492" s="222"/>
      <c r="CQ492" s="222"/>
      <c r="CR492" s="222"/>
      <c r="CS492" s="222"/>
    </row>
    <row r="493">
      <c r="A493" s="43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  <c r="AC493" s="222"/>
      <c r="AD493" s="222"/>
      <c r="AE493" s="222"/>
      <c r="AF493" s="222"/>
      <c r="AG493" s="222"/>
      <c r="AH493" s="222"/>
      <c r="AI493" s="222"/>
      <c r="AJ493" s="222"/>
      <c r="AK493" s="222"/>
      <c r="AL493" s="222"/>
      <c r="AM493" s="222"/>
      <c r="AN493" s="222"/>
      <c r="AO493" s="222"/>
      <c r="AP493" s="222"/>
      <c r="AQ493" s="222"/>
      <c r="AR493" s="222"/>
      <c r="AS493" s="222"/>
      <c r="AT493" s="222"/>
      <c r="AU493" s="222"/>
      <c r="AV493" s="222"/>
      <c r="AW493" s="222"/>
      <c r="AX493" s="222"/>
      <c r="AY493" s="222"/>
      <c r="AZ493" s="222"/>
      <c r="BA493" s="222"/>
      <c r="BB493" s="222"/>
      <c r="BC493" s="222"/>
      <c r="BD493" s="222"/>
      <c r="BE493" s="222"/>
      <c r="BF493" s="222"/>
      <c r="BG493" s="222"/>
      <c r="BH493" s="222"/>
      <c r="BI493" s="222"/>
      <c r="BJ493" s="222"/>
      <c r="BK493" s="222"/>
      <c r="BL493" s="222"/>
      <c r="BM493" s="222"/>
      <c r="BN493" s="222"/>
      <c r="BO493" s="222"/>
      <c r="BP493" s="222"/>
      <c r="BQ493" s="222"/>
      <c r="BR493" s="222"/>
      <c r="BS493" s="222"/>
      <c r="BT493" s="222"/>
      <c r="BU493" s="222"/>
      <c r="BV493" s="222"/>
      <c r="BW493" s="222"/>
      <c r="BX493" s="222"/>
      <c r="BY493" s="222"/>
      <c r="BZ493" s="222"/>
      <c r="CA493" s="222"/>
      <c r="CB493" s="222"/>
      <c r="CC493" s="222"/>
      <c r="CD493" s="222"/>
      <c r="CE493" s="222"/>
      <c r="CF493" s="222"/>
      <c r="CG493" s="222"/>
      <c r="CH493" s="222"/>
      <c r="CI493" s="222"/>
      <c r="CJ493" s="222"/>
      <c r="CK493" s="222"/>
      <c r="CL493" s="222"/>
      <c r="CM493" s="222"/>
      <c r="CN493" s="222"/>
      <c r="CO493" s="222"/>
      <c r="CP493" s="222"/>
      <c r="CQ493" s="222"/>
      <c r="CR493" s="222"/>
      <c r="CS493" s="222"/>
    </row>
    <row r="494">
      <c r="A494" s="43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  <c r="AC494" s="222"/>
      <c r="AD494" s="222"/>
      <c r="AE494" s="222"/>
      <c r="AF494" s="222"/>
      <c r="AG494" s="222"/>
      <c r="AH494" s="222"/>
      <c r="AI494" s="222"/>
      <c r="AJ494" s="222"/>
      <c r="AK494" s="222"/>
      <c r="AL494" s="222"/>
      <c r="AM494" s="222"/>
      <c r="AN494" s="222"/>
      <c r="AO494" s="222"/>
      <c r="AP494" s="222"/>
      <c r="AQ494" s="222"/>
      <c r="AR494" s="222"/>
      <c r="AS494" s="222"/>
      <c r="AT494" s="222"/>
      <c r="AU494" s="222"/>
      <c r="AV494" s="222"/>
      <c r="AW494" s="222"/>
      <c r="AX494" s="222"/>
      <c r="AY494" s="222"/>
      <c r="AZ494" s="222"/>
      <c r="BA494" s="222"/>
      <c r="BB494" s="222"/>
      <c r="BC494" s="222"/>
      <c r="BD494" s="222"/>
      <c r="BE494" s="222"/>
      <c r="BF494" s="222"/>
      <c r="BG494" s="222"/>
      <c r="BH494" s="222"/>
      <c r="BI494" s="222"/>
      <c r="BJ494" s="222"/>
      <c r="BK494" s="222"/>
      <c r="BL494" s="222"/>
      <c r="BM494" s="222"/>
      <c r="BN494" s="222"/>
      <c r="BO494" s="222"/>
      <c r="BP494" s="222"/>
      <c r="BQ494" s="222"/>
      <c r="BR494" s="222"/>
      <c r="BS494" s="222"/>
      <c r="BT494" s="222"/>
      <c r="BU494" s="222"/>
      <c r="BV494" s="222"/>
      <c r="BW494" s="222"/>
      <c r="BX494" s="222"/>
      <c r="BY494" s="222"/>
      <c r="BZ494" s="222"/>
      <c r="CA494" s="222"/>
      <c r="CB494" s="222"/>
      <c r="CC494" s="222"/>
      <c r="CD494" s="222"/>
      <c r="CE494" s="222"/>
      <c r="CF494" s="222"/>
      <c r="CG494" s="222"/>
      <c r="CH494" s="222"/>
      <c r="CI494" s="222"/>
      <c r="CJ494" s="222"/>
      <c r="CK494" s="222"/>
      <c r="CL494" s="222"/>
      <c r="CM494" s="222"/>
      <c r="CN494" s="222"/>
      <c r="CO494" s="222"/>
      <c r="CP494" s="222"/>
      <c r="CQ494" s="222"/>
      <c r="CR494" s="222"/>
      <c r="CS494" s="222"/>
    </row>
    <row r="495">
      <c r="A495" s="43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  <c r="AC495" s="222"/>
      <c r="AD495" s="222"/>
      <c r="AE495" s="222"/>
      <c r="AF495" s="222"/>
      <c r="AG495" s="222"/>
      <c r="AH495" s="222"/>
      <c r="AI495" s="222"/>
      <c r="AJ495" s="222"/>
      <c r="AK495" s="222"/>
      <c r="AL495" s="222"/>
      <c r="AM495" s="222"/>
      <c r="AN495" s="222"/>
      <c r="AO495" s="222"/>
      <c r="AP495" s="222"/>
      <c r="AQ495" s="222"/>
      <c r="AR495" s="222"/>
      <c r="AS495" s="222"/>
      <c r="AT495" s="222"/>
      <c r="AU495" s="222"/>
      <c r="AV495" s="222"/>
      <c r="AW495" s="222"/>
      <c r="AX495" s="222"/>
      <c r="AY495" s="222"/>
      <c r="AZ495" s="222"/>
      <c r="BA495" s="222"/>
      <c r="BB495" s="222"/>
      <c r="BC495" s="222"/>
      <c r="BD495" s="222"/>
      <c r="BE495" s="222"/>
      <c r="BF495" s="222"/>
      <c r="BG495" s="222"/>
      <c r="BH495" s="222"/>
      <c r="BI495" s="222"/>
      <c r="BJ495" s="222"/>
      <c r="BK495" s="222"/>
      <c r="BL495" s="222"/>
      <c r="BM495" s="222"/>
      <c r="BN495" s="222"/>
      <c r="BO495" s="222"/>
      <c r="BP495" s="222"/>
      <c r="BQ495" s="222"/>
      <c r="BR495" s="222"/>
      <c r="BS495" s="222"/>
      <c r="BT495" s="222"/>
      <c r="BU495" s="222"/>
      <c r="BV495" s="222"/>
      <c r="BW495" s="222"/>
      <c r="BX495" s="222"/>
      <c r="BY495" s="222"/>
      <c r="BZ495" s="222"/>
      <c r="CA495" s="222"/>
      <c r="CB495" s="222"/>
      <c r="CC495" s="222"/>
      <c r="CD495" s="222"/>
      <c r="CE495" s="222"/>
      <c r="CF495" s="222"/>
      <c r="CG495" s="222"/>
      <c r="CH495" s="222"/>
      <c r="CI495" s="222"/>
      <c r="CJ495" s="222"/>
      <c r="CK495" s="222"/>
      <c r="CL495" s="222"/>
      <c r="CM495" s="222"/>
      <c r="CN495" s="222"/>
      <c r="CO495" s="222"/>
      <c r="CP495" s="222"/>
      <c r="CQ495" s="222"/>
      <c r="CR495" s="222"/>
      <c r="CS495" s="222"/>
    </row>
    <row r="496">
      <c r="A496" s="43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  <c r="AC496" s="222"/>
      <c r="AD496" s="222"/>
      <c r="AE496" s="222"/>
      <c r="AF496" s="222"/>
      <c r="AG496" s="222"/>
      <c r="AH496" s="222"/>
      <c r="AI496" s="222"/>
      <c r="AJ496" s="222"/>
      <c r="AK496" s="222"/>
      <c r="AL496" s="222"/>
      <c r="AM496" s="222"/>
      <c r="AN496" s="222"/>
      <c r="AO496" s="222"/>
      <c r="AP496" s="222"/>
      <c r="AQ496" s="222"/>
      <c r="AR496" s="222"/>
      <c r="AS496" s="222"/>
      <c r="AT496" s="222"/>
      <c r="AU496" s="222"/>
      <c r="AV496" s="222"/>
      <c r="AW496" s="222"/>
      <c r="AX496" s="222"/>
      <c r="AY496" s="222"/>
      <c r="AZ496" s="222"/>
      <c r="BA496" s="222"/>
      <c r="BB496" s="222"/>
      <c r="BC496" s="222"/>
      <c r="BD496" s="222"/>
      <c r="BE496" s="222"/>
      <c r="BF496" s="222"/>
      <c r="BG496" s="222"/>
      <c r="BH496" s="222"/>
      <c r="BI496" s="222"/>
      <c r="BJ496" s="222"/>
      <c r="BK496" s="222"/>
      <c r="BL496" s="222"/>
      <c r="BM496" s="222"/>
      <c r="BN496" s="222"/>
      <c r="BO496" s="222"/>
      <c r="BP496" s="222"/>
      <c r="BQ496" s="222"/>
      <c r="BR496" s="222"/>
      <c r="BS496" s="222"/>
      <c r="BT496" s="222"/>
      <c r="BU496" s="222"/>
      <c r="BV496" s="222"/>
      <c r="BW496" s="222"/>
      <c r="BX496" s="222"/>
      <c r="BY496" s="222"/>
      <c r="BZ496" s="222"/>
      <c r="CA496" s="222"/>
      <c r="CB496" s="222"/>
      <c r="CC496" s="222"/>
      <c r="CD496" s="222"/>
      <c r="CE496" s="222"/>
      <c r="CF496" s="222"/>
      <c r="CG496" s="222"/>
      <c r="CH496" s="222"/>
      <c r="CI496" s="222"/>
      <c r="CJ496" s="222"/>
      <c r="CK496" s="222"/>
      <c r="CL496" s="222"/>
      <c r="CM496" s="222"/>
      <c r="CN496" s="222"/>
      <c r="CO496" s="222"/>
      <c r="CP496" s="222"/>
      <c r="CQ496" s="222"/>
      <c r="CR496" s="222"/>
      <c r="CS496" s="222"/>
    </row>
    <row r="497">
      <c r="A497" s="43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  <c r="AC497" s="222"/>
      <c r="AD497" s="222"/>
      <c r="AE497" s="222"/>
      <c r="AF497" s="222"/>
      <c r="AG497" s="222"/>
      <c r="AH497" s="222"/>
      <c r="AI497" s="222"/>
      <c r="AJ497" s="222"/>
      <c r="AK497" s="222"/>
      <c r="AL497" s="222"/>
      <c r="AM497" s="222"/>
      <c r="AN497" s="222"/>
      <c r="AO497" s="222"/>
      <c r="AP497" s="222"/>
      <c r="AQ497" s="222"/>
      <c r="AR497" s="222"/>
      <c r="AS497" s="222"/>
      <c r="AT497" s="222"/>
      <c r="AU497" s="222"/>
      <c r="AV497" s="222"/>
      <c r="AW497" s="222"/>
      <c r="AX497" s="222"/>
      <c r="AY497" s="222"/>
      <c r="AZ497" s="222"/>
      <c r="BA497" s="222"/>
      <c r="BB497" s="222"/>
      <c r="BC497" s="222"/>
      <c r="BD497" s="222"/>
      <c r="BE497" s="222"/>
      <c r="BF497" s="222"/>
      <c r="BG497" s="222"/>
      <c r="BH497" s="222"/>
      <c r="BI497" s="222"/>
      <c r="BJ497" s="222"/>
      <c r="BK497" s="222"/>
      <c r="BL497" s="222"/>
      <c r="BM497" s="222"/>
      <c r="BN497" s="222"/>
      <c r="BO497" s="222"/>
      <c r="BP497" s="222"/>
      <c r="BQ497" s="222"/>
      <c r="BR497" s="222"/>
      <c r="BS497" s="222"/>
      <c r="BT497" s="222"/>
      <c r="BU497" s="222"/>
      <c r="BV497" s="222"/>
      <c r="BW497" s="222"/>
      <c r="BX497" s="222"/>
      <c r="BY497" s="222"/>
      <c r="BZ497" s="222"/>
      <c r="CA497" s="222"/>
      <c r="CB497" s="222"/>
      <c r="CC497" s="222"/>
      <c r="CD497" s="222"/>
      <c r="CE497" s="222"/>
      <c r="CF497" s="222"/>
      <c r="CG497" s="222"/>
      <c r="CH497" s="222"/>
      <c r="CI497" s="222"/>
      <c r="CJ497" s="222"/>
      <c r="CK497" s="222"/>
      <c r="CL497" s="222"/>
      <c r="CM497" s="222"/>
      <c r="CN497" s="222"/>
      <c r="CO497" s="222"/>
      <c r="CP497" s="222"/>
      <c r="CQ497" s="222"/>
      <c r="CR497" s="222"/>
      <c r="CS497" s="222"/>
    </row>
    <row r="498">
      <c r="A498" s="43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  <c r="AC498" s="222"/>
      <c r="AD498" s="222"/>
      <c r="AE498" s="222"/>
      <c r="AF498" s="222"/>
      <c r="AG498" s="222"/>
      <c r="AH498" s="222"/>
      <c r="AI498" s="222"/>
      <c r="AJ498" s="222"/>
      <c r="AK498" s="222"/>
      <c r="AL498" s="222"/>
      <c r="AM498" s="222"/>
      <c r="AN498" s="222"/>
      <c r="AO498" s="222"/>
      <c r="AP498" s="222"/>
      <c r="AQ498" s="222"/>
      <c r="AR498" s="222"/>
      <c r="AS498" s="222"/>
      <c r="AT498" s="222"/>
      <c r="AU498" s="222"/>
      <c r="AV498" s="222"/>
      <c r="AW498" s="222"/>
      <c r="AX498" s="222"/>
      <c r="AY498" s="222"/>
      <c r="AZ498" s="222"/>
      <c r="BA498" s="222"/>
      <c r="BB498" s="222"/>
      <c r="BC498" s="222"/>
      <c r="BD498" s="222"/>
      <c r="BE498" s="222"/>
      <c r="BF498" s="222"/>
      <c r="BG498" s="222"/>
      <c r="BH498" s="222"/>
      <c r="BI498" s="222"/>
      <c r="BJ498" s="222"/>
      <c r="BK498" s="222"/>
      <c r="BL498" s="222"/>
      <c r="BM498" s="222"/>
      <c r="BN498" s="222"/>
      <c r="BO498" s="222"/>
      <c r="BP498" s="222"/>
      <c r="BQ498" s="222"/>
      <c r="BR498" s="222"/>
      <c r="BS498" s="222"/>
      <c r="BT498" s="222"/>
      <c r="BU498" s="222"/>
      <c r="BV498" s="222"/>
      <c r="BW498" s="222"/>
      <c r="BX498" s="222"/>
      <c r="BY498" s="222"/>
      <c r="BZ498" s="222"/>
      <c r="CA498" s="222"/>
      <c r="CB498" s="222"/>
      <c r="CC498" s="222"/>
      <c r="CD498" s="222"/>
      <c r="CE498" s="222"/>
      <c r="CF498" s="222"/>
      <c r="CG498" s="222"/>
      <c r="CH498" s="222"/>
      <c r="CI498" s="222"/>
      <c r="CJ498" s="222"/>
      <c r="CK498" s="222"/>
      <c r="CL498" s="222"/>
      <c r="CM498" s="222"/>
      <c r="CN498" s="222"/>
      <c r="CO498" s="222"/>
      <c r="CP498" s="222"/>
      <c r="CQ498" s="222"/>
      <c r="CR498" s="222"/>
      <c r="CS498" s="222"/>
    </row>
    <row r="499">
      <c r="A499" s="43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  <c r="AC499" s="222"/>
      <c r="AD499" s="222"/>
      <c r="AE499" s="222"/>
      <c r="AF499" s="222"/>
      <c r="AG499" s="222"/>
      <c r="AH499" s="222"/>
      <c r="AI499" s="222"/>
      <c r="AJ499" s="222"/>
      <c r="AK499" s="222"/>
      <c r="AL499" s="222"/>
      <c r="AM499" s="222"/>
      <c r="AN499" s="222"/>
      <c r="AO499" s="222"/>
      <c r="AP499" s="222"/>
      <c r="AQ499" s="222"/>
      <c r="AR499" s="222"/>
      <c r="AS499" s="222"/>
      <c r="AT499" s="222"/>
      <c r="AU499" s="222"/>
      <c r="AV499" s="222"/>
      <c r="AW499" s="222"/>
      <c r="AX499" s="222"/>
      <c r="AY499" s="222"/>
      <c r="AZ499" s="222"/>
      <c r="BA499" s="222"/>
      <c r="BB499" s="222"/>
      <c r="BC499" s="222"/>
      <c r="BD499" s="222"/>
      <c r="BE499" s="222"/>
      <c r="BF499" s="222"/>
      <c r="BG499" s="222"/>
      <c r="BH499" s="222"/>
      <c r="BI499" s="222"/>
      <c r="BJ499" s="222"/>
      <c r="BK499" s="222"/>
      <c r="BL499" s="222"/>
      <c r="BM499" s="222"/>
      <c r="BN499" s="222"/>
      <c r="BO499" s="222"/>
      <c r="BP499" s="222"/>
      <c r="BQ499" s="222"/>
      <c r="BR499" s="222"/>
      <c r="BS499" s="222"/>
      <c r="BT499" s="222"/>
      <c r="BU499" s="222"/>
      <c r="BV499" s="222"/>
      <c r="BW499" s="222"/>
      <c r="BX499" s="222"/>
      <c r="BY499" s="222"/>
      <c r="BZ499" s="222"/>
      <c r="CA499" s="222"/>
      <c r="CB499" s="222"/>
      <c r="CC499" s="222"/>
      <c r="CD499" s="222"/>
      <c r="CE499" s="222"/>
      <c r="CF499" s="222"/>
      <c r="CG499" s="222"/>
      <c r="CH499" s="222"/>
      <c r="CI499" s="222"/>
      <c r="CJ499" s="222"/>
      <c r="CK499" s="222"/>
      <c r="CL499" s="222"/>
      <c r="CM499" s="222"/>
      <c r="CN499" s="222"/>
      <c r="CO499" s="222"/>
      <c r="CP499" s="222"/>
      <c r="CQ499" s="222"/>
      <c r="CR499" s="222"/>
      <c r="CS499" s="222"/>
    </row>
    <row r="500">
      <c r="A500" s="43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  <c r="AC500" s="222"/>
      <c r="AD500" s="222"/>
      <c r="AE500" s="222"/>
      <c r="AF500" s="222"/>
      <c r="AG500" s="222"/>
      <c r="AH500" s="222"/>
      <c r="AI500" s="222"/>
      <c r="AJ500" s="222"/>
      <c r="AK500" s="222"/>
      <c r="AL500" s="222"/>
      <c r="AM500" s="222"/>
      <c r="AN500" s="222"/>
      <c r="AO500" s="222"/>
      <c r="AP500" s="222"/>
      <c r="AQ500" s="222"/>
      <c r="AR500" s="222"/>
      <c r="AS500" s="222"/>
      <c r="AT500" s="222"/>
      <c r="AU500" s="222"/>
      <c r="AV500" s="222"/>
      <c r="AW500" s="222"/>
      <c r="AX500" s="222"/>
      <c r="AY500" s="222"/>
      <c r="AZ500" s="222"/>
      <c r="BA500" s="222"/>
      <c r="BB500" s="222"/>
      <c r="BC500" s="222"/>
      <c r="BD500" s="222"/>
      <c r="BE500" s="222"/>
      <c r="BF500" s="222"/>
      <c r="BG500" s="222"/>
      <c r="BH500" s="222"/>
      <c r="BI500" s="222"/>
      <c r="BJ500" s="222"/>
      <c r="BK500" s="222"/>
      <c r="BL500" s="222"/>
      <c r="BM500" s="222"/>
      <c r="BN500" s="222"/>
      <c r="BO500" s="222"/>
      <c r="BP500" s="222"/>
      <c r="BQ500" s="222"/>
      <c r="BR500" s="222"/>
      <c r="BS500" s="222"/>
      <c r="BT500" s="222"/>
      <c r="BU500" s="222"/>
      <c r="BV500" s="222"/>
      <c r="BW500" s="222"/>
      <c r="BX500" s="222"/>
      <c r="BY500" s="222"/>
      <c r="BZ500" s="222"/>
      <c r="CA500" s="222"/>
      <c r="CB500" s="222"/>
      <c r="CC500" s="222"/>
      <c r="CD500" s="222"/>
      <c r="CE500" s="222"/>
      <c r="CF500" s="222"/>
      <c r="CG500" s="222"/>
      <c r="CH500" s="222"/>
      <c r="CI500" s="222"/>
      <c r="CJ500" s="222"/>
      <c r="CK500" s="222"/>
      <c r="CL500" s="222"/>
      <c r="CM500" s="222"/>
      <c r="CN500" s="222"/>
      <c r="CO500" s="222"/>
      <c r="CP500" s="222"/>
      <c r="CQ500" s="222"/>
      <c r="CR500" s="222"/>
      <c r="CS500" s="222"/>
    </row>
    <row r="501">
      <c r="A501" s="43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  <c r="AC501" s="222"/>
      <c r="AD501" s="222"/>
      <c r="AE501" s="222"/>
      <c r="AF501" s="222"/>
      <c r="AG501" s="222"/>
      <c r="AH501" s="222"/>
      <c r="AI501" s="222"/>
      <c r="AJ501" s="222"/>
      <c r="AK501" s="222"/>
      <c r="AL501" s="222"/>
      <c r="AM501" s="222"/>
      <c r="AN501" s="222"/>
      <c r="AO501" s="222"/>
      <c r="AP501" s="222"/>
      <c r="AQ501" s="222"/>
      <c r="AR501" s="222"/>
      <c r="AS501" s="222"/>
      <c r="AT501" s="222"/>
      <c r="AU501" s="222"/>
      <c r="AV501" s="222"/>
      <c r="AW501" s="222"/>
      <c r="AX501" s="222"/>
      <c r="AY501" s="222"/>
      <c r="AZ501" s="222"/>
      <c r="BA501" s="222"/>
      <c r="BB501" s="222"/>
      <c r="BC501" s="222"/>
      <c r="BD501" s="222"/>
      <c r="BE501" s="222"/>
      <c r="BF501" s="222"/>
      <c r="BG501" s="222"/>
      <c r="BH501" s="222"/>
      <c r="BI501" s="222"/>
      <c r="BJ501" s="222"/>
      <c r="BK501" s="222"/>
      <c r="BL501" s="222"/>
      <c r="BM501" s="222"/>
      <c r="BN501" s="222"/>
      <c r="BO501" s="222"/>
      <c r="BP501" s="222"/>
      <c r="BQ501" s="222"/>
      <c r="BR501" s="222"/>
      <c r="BS501" s="222"/>
      <c r="BT501" s="222"/>
      <c r="BU501" s="222"/>
      <c r="BV501" s="222"/>
      <c r="BW501" s="222"/>
      <c r="BX501" s="222"/>
      <c r="BY501" s="222"/>
      <c r="BZ501" s="222"/>
      <c r="CA501" s="222"/>
      <c r="CB501" s="222"/>
      <c r="CC501" s="222"/>
      <c r="CD501" s="222"/>
      <c r="CE501" s="222"/>
      <c r="CF501" s="222"/>
      <c r="CG501" s="222"/>
      <c r="CH501" s="222"/>
      <c r="CI501" s="222"/>
      <c r="CJ501" s="222"/>
      <c r="CK501" s="222"/>
      <c r="CL501" s="222"/>
      <c r="CM501" s="222"/>
      <c r="CN501" s="222"/>
      <c r="CO501" s="222"/>
      <c r="CP501" s="222"/>
      <c r="CQ501" s="222"/>
      <c r="CR501" s="222"/>
      <c r="CS501" s="222"/>
    </row>
    <row r="502">
      <c r="A502" s="43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  <c r="AC502" s="222"/>
      <c r="AD502" s="222"/>
      <c r="AE502" s="222"/>
      <c r="AF502" s="222"/>
      <c r="AG502" s="222"/>
      <c r="AH502" s="222"/>
      <c r="AI502" s="222"/>
      <c r="AJ502" s="222"/>
      <c r="AK502" s="222"/>
      <c r="AL502" s="222"/>
      <c r="AM502" s="222"/>
      <c r="AN502" s="222"/>
      <c r="AO502" s="222"/>
      <c r="AP502" s="222"/>
      <c r="AQ502" s="222"/>
      <c r="AR502" s="222"/>
      <c r="AS502" s="222"/>
      <c r="AT502" s="222"/>
      <c r="AU502" s="222"/>
      <c r="AV502" s="222"/>
      <c r="AW502" s="222"/>
      <c r="AX502" s="222"/>
      <c r="AY502" s="222"/>
      <c r="AZ502" s="222"/>
      <c r="BA502" s="222"/>
      <c r="BB502" s="222"/>
      <c r="BC502" s="222"/>
      <c r="BD502" s="222"/>
      <c r="BE502" s="222"/>
      <c r="BF502" s="222"/>
      <c r="BG502" s="222"/>
      <c r="BH502" s="222"/>
      <c r="BI502" s="222"/>
      <c r="BJ502" s="222"/>
      <c r="BK502" s="222"/>
      <c r="BL502" s="222"/>
      <c r="BM502" s="222"/>
      <c r="BN502" s="222"/>
      <c r="BO502" s="222"/>
      <c r="BP502" s="222"/>
      <c r="BQ502" s="222"/>
      <c r="BR502" s="222"/>
      <c r="BS502" s="222"/>
      <c r="BT502" s="222"/>
      <c r="BU502" s="222"/>
      <c r="BV502" s="222"/>
      <c r="BW502" s="222"/>
      <c r="BX502" s="222"/>
      <c r="BY502" s="222"/>
      <c r="BZ502" s="222"/>
      <c r="CA502" s="222"/>
      <c r="CB502" s="222"/>
      <c r="CC502" s="222"/>
      <c r="CD502" s="222"/>
      <c r="CE502" s="222"/>
      <c r="CF502" s="222"/>
      <c r="CG502" s="222"/>
      <c r="CH502" s="222"/>
      <c r="CI502" s="222"/>
      <c r="CJ502" s="222"/>
      <c r="CK502" s="222"/>
      <c r="CL502" s="222"/>
      <c r="CM502" s="222"/>
      <c r="CN502" s="222"/>
      <c r="CO502" s="222"/>
      <c r="CP502" s="222"/>
      <c r="CQ502" s="222"/>
      <c r="CR502" s="222"/>
      <c r="CS502" s="222"/>
    </row>
    <row r="503">
      <c r="A503" s="43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  <c r="AC503" s="222"/>
      <c r="AD503" s="222"/>
      <c r="AE503" s="222"/>
      <c r="AF503" s="222"/>
      <c r="AG503" s="222"/>
      <c r="AH503" s="222"/>
      <c r="AI503" s="222"/>
      <c r="AJ503" s="222"/>
      <c r="AK503" s="222"/>
      <c r="AL503" s="222"/>
      <c r="AM503" s="222"/>
      <c r="AN503" s="222"/>
      <c r="AO503" s="222"/>
      <c r="AP503" s="222"/>
      <c r="AQ503" s="222"/>
      <c r="AR503" s="222"/>
      <c r="AS503" s="222"/>
      <c r="AT503" s="222"/>
      <c r="AU503" s="222"/>
      <c r="AV503" s="222"/>
      <c r="AW503" s="222"/>
      <c r="AX503" s="222"/>
      <c r="AY503" s="222"/>
      <c r="AZ503" s="222"/>
      <c r="BA503" s="222"/>
      <c r="BB503" s="222"/>
      <c r="BC503" s="222"/>
      <c r="BD503" s="222"/>
      <c r="BE503" s="222"/>
      <c r="BF503" s="222"/>
      <c r="BG503" s="222"/>
      <c r="BH503" s="222"/>
      <c r="BI503" s="222"/>
      <c r="BJ503" s="222"/>
      <c r="BK503" s="222"/>
      <c r="BL503" s="222"/>
      <c r="BM503" s="222"/>
      <c r="BN503" s="222"/>
      <c r="BO503" s="222"/>
      <c r="BP503" s="222"/>
      <c r="BQ503" s="222"/>
      <c r="BR503" s="222"/>
      <c r="BS503" s="222"/>
      <c r="BT503" s="222"/>
      <c r="BU503" s="222"/>
      <c r="BV503" s="222"/>
      <c r="BW503" s="222"/>
      <c r="BX503" s="222"/>
      <c r="BY503" s="222"/>
      <c r="BZ503" s="222"/>
      <c r="CA503" s="222"/>
      <c r="CB503" s="222"/>
      <c r="CC503" s="222"/>
      <c r="CD503" s="222"/>
      <c r="CE503" s="222"/>
      <c r="CF503" s="222"/>
      <c r="CG503" s="222"/>
      <c r="CH503" s="222"/>
      <c r="CI503" s="222"/>
      <c r="CJ503" s="222"/>
      <c r="CK503" s="222"/>
      <c r="CL503" s="222"/>
      <c r="CM503" s="222"/>
      <c r="CN503" s="222"/>
      <c r="CO503" s="222"/>
      <c r="CP503" s="222"/>
      <c r="CQ503" s="222"/>
      <c r="CR503" s="222"/>
      <c r="CS503" s="222"/>
    </row>
    <row r="504">
      <c r="A504" s="43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  <c r="AC504" s="222"/>
      <c r="AD504" s="222"/>
      <c r="AE504" s="222"/>
      <c r="AF504" s="222"/>
      <c r="AG504" s="222"/>
      <c r="AH504" s="222"/>
      <c r="AI504" s="222"/>
      <c r="AJ504" s="222"/>
      <c r="AK504" s="222"/>
      <c r="AL504" s="222"/>
      <c r="AM504" s="222"/>
      <c r="AN504" s="222"/>
      <c r="AO504" s="222"/>
      <c r="AP504" s="222"/>
      <c r="AQ504" s="222"/>
      <c r="AR504" s="222"/>
      <c r="AS504" s="222"/>
      <c r="AT504" s="222"/>
      <c r="AU504" s="222"/>
      <c r="AV504" s="222"/>
      <c r="AW504" s="222"/>
      <c r="AX504" s="222"/>
      <c r="AY504" s="222"/>
      <c r="AZ504" s="222"/>
      <c r="BA504" s="222"/>
      <c r="BB504" s="222"/>
      <c r="BC504" s="222"/>
      <c r="BD504" s="222"/>
      <c r="BE504" s="222"/>
      <c r="BF504" s="222"/>
      <c r="BG504" s="222"/>
      <c r="BH504" s="222"/>
      <c r="BI504" s="222"/>
      <c r="BJ504" s="222"/>
      <c r="BK504" s="222"/>
      <c r="BL504" s="222"/>
      <c r="BM504" s="222"/>
      <c r="BN504" s="222"/>
      <c r="BO504" s="222"/>
      <c r="BP504" s="222"/>
      <c r="BQ504" s="222"/>
      <c r="BR504" s="222"/>
      <c r="BS504" s="222"/>
      <c r="BT504" s="222"/>
      <c r="BU504" s="222"/>
      <c r="BV504" s="222"/>
      <c r="BW504" s="222"/>
      <c r="BX504" s="222"/>
      <c r="BY504" s="222"/>
      <c r="BZ504" s="222"/>
      <c r="CA504" s="222"/>
      <c r="CB504" s="222"/>
      <c r="CC504" s="222"/>
      <c r="CD504" s="222"/>
      <c r="CE504" s="222"/>
      <c r="CF504" s="222"/>
      <c r="CG504" s="222"/>
      <c r="CH504" s="222"/>
      <c r="CI504" s="222"/>
      <c r="CJ504" s="222"/>
      <c r="CK504" s="222"/>
      <c r="CL504" s="222"/>
      <c r="CM504" s="222"/>
      <c r="CN504" s="222"/>
      <c r="CO504" s="222"/>
      <c r="CP504" s="222"/>
      <c r="CQ504" s="222"/>
      <c r="CR504" s="222"/>
      <c r="CS504" s="222"/>
    </row>
    <row r="505">
      <c r="A505" s="43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  <c r="AC505" s="222"/>
      <c r="AD505" s="222"/>
      <c r="AE505" s="222"/>
      <c r="AF505" s="222"/>
      <c r="AG505" s="222"/>
      <c r="AH505" s="222"/>
      <c r="AI505" s="222"/>
      <c r="AJ505" s="222"/>
      <c r="AK505" s="222"/>
      <c r="AL505" s="222"/>
      <c r="AM505" s="222"/>
      <c r="AN505" s="222"/>
      <c r="AO505" s="222"/>
      <c r="AP505" s="222"/>
      <c r="AQ505" s="222"/>
      <c r="AR505" s="222"/>
      <c r="AS505" s="222"/>
      <c r="AT505" s="222"/>
      <c r="AU505" s="222"/>
      <c r="AV505" s="222"/>
      <c r="AW505" s="222"/>
      <c r="AX505" s="222"/>
      <c r="AY505" s="222"/>
      <c r="AZ505" s="222"/>
      <c r="BA505" s="222"/>
      <c r="BB505" s="222"/>
      <c r="BC505" s="222"/>
      <c r="BD505" s="222"/>
      <c r="BE505" s="222"/>
      <c r="BF505" s="222"/>
      <c r="BG505" s="222"/>
      <c r="BH505" s="222"/>
      <c r="BI505" s="222"/>
      <c r="BJ505" s="222"/>
      <c r="BK505" s="222"/>
      <c r="BL505" s="222"/>
      <c r="BM505" s="222"/>
      <c r="BN505" s="222"/>
      <c r="BO505" s="222"/>
      <c r="BP505" s="222"/>
      <c r="BQ505" s="222"/>
      <c r="BR505" s="222"/>
      <c r="BS505" s="222"/>
      <c r="BT505" s="222"/>
      <c r="BU505" s="222"/>
      <c r="BV505" s="222"/>
      <c r="BW505" s="222"/>
      <c r="BX505" s="222"/>
      <c r="BY505" s="222"/>
      <c r="BZ505" s="222"/>
      <c r="CA505" s="222"/>
      <c r="CB505" s="222"/>
      <c r="CC505" s="222"/>
      <c r="CD505" s="222"/>
      <c r="CE505" s="222"/>
      <c r="CF505" s="222"/>
      <c r="CG505" s="222"/>
      <c r="CH505" s="222"/>
      <c r="CI505" s="222"/>
      <c r="CJ505" s="222"/>
      <c r="CK505" s="222"/>
      <c r="CL505" s="222"/>
      <c r="CM505" s="222"/>
      <c r="CN505" s="222"/>
      <c r="CO505" s="222"/>
      <c r="CP505" s="222"/>
      <c r="CQ505" s="222"/>
      <c r="CR505" s="222"/>
      <c r="CS505" s="222"/>
    </row>
    <row r="506">
      <c r="A506" s="43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  <c r="AC506" s="222"/>
      <c r="AD506" s="222"/>
      <c r="AE506" s="222"/>
      <c r="AF506" s="222"/>
      <c r="AG506" s="222"/>
      <c r="AH506" s="222"/>
      <c r="AI506" s="222"/>
      <c r="AJ506" s="222"/>
      <c r="AK506" s="222"/>
      <c r="AL506" s="222"/>
      <c r="AM506" s="222"/>
      <c r="AN506" s="222"/>
      <c r="AO506" s="222"/>
      <c r="AP506" s="222"/>
      <c r="AQ506" s="222"/>
      <c r="AR506" s="222"/>
      <c r="AS506" s="222"/>
      <c r="AT506" s="222"/>
      <c r="AU506" s="222"/>
      <c r="AV506" s="222"/>
      <c r="AW506" s="222"/>
      <c r="AX506" s="222"/>
      <c r="AY506" s="222"/>
      <c r="AZ506" s="222"/>
      <c r="BA506" s="222"/>
      <c r="BB506" s="222"/>
      <c r="BC506" s="222"/>
      <c r="BD506" s="222"/>
      <c r="BE506" s="222"/>
      <c r="BF506" s="222"/>
      <c r="BG506" s="222"/>
      <c r="BH506" s="222"/>
      <c r="BI506" s="222"/>
      <c r="BJ506" s="222"/>
      <c r="BK506" s="222"/>
      <c r="BL506" s="222"/>
      <c r="BM506" s="222"/>
      <c r="BN506" s="222"/>
      <c r="BO506" s="222"/>
      <c r="BP506" s="222"/>
      <c r="BQ506" s="222"/>
      <c r="BR506" s="222"/>
      <c r="BS506" s="222"/>
      <c r="BT506" s="222"/>
      <c r="BU506" s="222"/>
      <c r="BV506" s="222"/>
      <c r="BW506" s="222"/>
      <c r="BX506" s="222"/>
      <c r="BY506" s="222"/>
      <c r="BZ506" s="222"/>
      <c r="CA506" s="222"/>
      <c r="CB506" s="222"/>
      <c r="CC506" s="222"/>
      <c r="CD506" s="222"/>
      <c r="CE506" s="222"/>
      <c r="CF506" s="222"/>
      <c r="CG506" s="222"/>
      <c r="CH506" s="222"/>
      <c r="CI506" s="222"/>
      <c r="CJ506" s="222"/>
      <c r="CK506" s="222"/>
      <c r="CL506" s="222"/>
      <c r="CM506" s="222"/>
      <c r="CN506" s="222"/>
      <c r="CO506" s="222"/>
      <c r="CP506" s="222"/>
      <c r="CQ506" s="222"/>
      <c r="CR506" s="222"/>
      <c r="CS506" s="222"/>
    </row>
    <row r="507">
      <c r="A507" s="43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  <c r="AC507" s="222"/>
      <c r="AD507" s="222"/>
      <c r="AE507" s="222"/>
      <c r="AF507" s="222"/>
      <c r="AG507" s="222"/>
      <c r="AH507" s="222"/>
      <c r="AI507" s="222"/>
      <c r="AJ507" s="222"/>
      <c r="AK507" s="222"/>
      <c r="AL507" s="222"/>
      <c r="AM507" s="222"/>
      <c r="AN507" s="222"/>
      <c r="AO507" s="222"/>
      <c r="AP507" s="222"/>
      <c r="AQ507" s="222"/>
      <c r="AR507" s="222"/>
      <c r="AS507" s="222"/>
      <c r="AT507" s="222"/>
      <c r="AU507" s="222"/>
      <c r="AV507" s="222"/>
      <c r="AW507" s="222"/>
      <c r="AX507" s="222"/>
      <c r="AY507" s="222"/>
      <c r="AZ507" s="222"/>
      <c r="BA507" s="222"/>
      <c r="BB507" s="222"/>
      <c r="BC507" s="222"/>
      <c r="BD507" s="222"/>
      <c r="BE507" s="222"/>
      <c r="BF507" s="222"/>
      <c r="BG507" s="222"/>
      <c r="BH507" s="222"/>
      <c r="BI507" s="222"/>
      <c r="BJ507" s="222"/>
      <c r="BK507" s="222"/>
      <c r="BL507" s="222"/>
      <c r="BM507" s="222"/>
      <c r="BN507" s="222"/>
      <c r="BO507" s="222"/>
      <c r="BP507" s="222"/>
      <c r="BQ507" s="222"/>
      <c r="BR507" s="222"/>
      <c r="BS507" s="222"/>
      <c r="BT507" s="222"/>
      <c r="BU507" s="222"/>
      <c r="BV507" s="222"/>
      <c r="BW507" s="222"/>
      <c r="BX507" s="222"/>
      <c r="BY507" s="222"/>
      <c r="BZ507" s="222"/>
      <c r="CA507" s="222"/>
      <c r="CB507" s="222"/>
      <c r="CC507" s="222"/>
      <c r="CD507" s="222"/>
      <c r="CE507" s="222"/>
      <c r="CF507" s="222"/>
      <c r="CG507" s="222"/>
      <c r="CH507" s="222"/>
      <c r="CI507" s="222"/>
      <c r="CJ507" s="222"/>
      <c r="CK507" s="222"/>
      <c r="CL507" s="222"/>
      <c r="CM507" s="222"/>
      <c r="CN507" s="222"/>
      <c r="CO507" s="222"/>
      <c r="CP507" s="222"/>
      <c r="CQ507" s="222"/>
      <c r="CR507" s="222"/>
      <c r="CS507" s="222"/>
    </row>
    <row r="508">
      <c r="A508" s="43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  <c r="AC508" s="222"/>
      <c r="AD508" s="222"/>
      <c r="AE508" s="222"/>
      <c r="AF508" s="222"/>
      <c r="AG508" s="222"/>
      <c r="AH508" s="222"/>
      <c r="AI508" s="222"/>
      <c r="AJ508" s="222"/>
      <c r="AK508" s="222"/>
      <c r="AL508" s="222"/>
      <c r="AM508" s="222"/>
      <c r="AN508" s="222"/>
      <c r="AO508" s="222"/>
      <c r="AP508" s="222"/>
      <c r="AQ508" s="222"/>
      <c r="AR508" s="222"/>
      <c r="AS508" s="222"/>
      <c r="AT508" s="222"/>
      <c r="AU508" s="222"/>
      <c r="AV508" s="222"/>
      <c r="AW508" s="222"/>
      <c r="AX508" s="222"/>
      <c r="AY508" s="222"/>
      <c r="AZ508" s="222"/>
      <c r="BA508" s="222"/>
      <c r="BB508" s="222"/>
      <c r="BC508" s="222"/>
      <c r="BD508" s="222"/>
      <c r="BE508" s="222"/>
      <c r="BF508" s="222"/>
      <c r="BG508" s="222"/>
      <c r="BH508" s="222"/>
      <c r="BI508" s="222"/>
      <c r="BJ508" s="222"/>
      <c r="BK508" s="222"/>
      <c r="BL508" s="222"/>
      <c r="BM508" s="222"/>
      <c r="BN508" s="222"/>
      <c r="BO508" s="222"/>
      <c r="BP508" s="222"/>
      <c r="BQ508" s="222"/>
      <c r="BR508" s="222"/>
      <c r="BS508" s="222"/>
      <c r="BT508" s="222"/>
      <c r="BU508" s="222"/>
      <c r="BV508" s="222"/>
      <c r="BW508" s="222"/>
      <c r="BX508" s="222"/>
      <c r="BY508" s="222"/>
      <c r="BZ508" s="222"/>
      <c r="CA508" s="222"/>
      <c r="CB508" s="222"/>
      <c r="CC508" s="222"/>
      <c r="CD508" s="222"/>
      <c r="CE508" s="222"/>
      <c r="CF508" s="222"/>
      <c r="CG508" s="222"/>
      <c r="CH508" s="222"/>
      <c r="CI508" s="222"/>
      <c r="CJ508" s="222"/>
      <c r="CK508" s="222"/>
      <c r="CL508" s="222"/>
      <c r="CM508" s="222"/>
      <c r="CN508" s="222"/>
      <c r="CO508" s="222"/>
      <c r="CP508" s="222"/>
      <c r="CQ508" s="222"/>
      <c r="CR508" s="222"/>
      <c r="CS508" s="222"/>
    </row>
    <row r="509">
      <c r="A509" s="43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  <c r="AC509" s="222"/>
      <c r="AD509" s="222"/>
      <c r="AE509" s="222"/>
      <c r="AF509" s="222"/>
      <c r="AG509" s="222"/>
      <c r="AH509" s="222"/>
      <c r="AI509" s="222"/>
      <c r="AJ509" s="222"/>
      <c r="AK509" s="222"/>
      <c r="AL509" s="222"/>
      <c r="AM509" s="222"/>
      <c r="AN509" s="222"/>
      <c r="AO509" s="222"/>
      <c r="AP509" s="222"/>
      <c r="AQ509" s="222"/>
      <c r="AR509" s="222"/>
      <c r="AS509" s="222"/>
      <c r="AT509" s="222"/>
      <c r="AU509" s="222"/>
      <c r="AV509" s="222"/>
      <c r="AW509" s="222"/>
      <c r="AX509" s="222"/>
      <c r="AY509" s="222"/>
      <c r="AZ509" s="222"/>
      <c r="BA509" s="222"/>
      <c r="BB509" s="222"/>
      <c r="BC509" s="222"/>
      <c r="BD509" s="222"/>
      <c r="BE509" s="222"/>
      <c r="BF509" s="222"/>
      <c r="BG509" s="222"/>
      <c r="BH509" s="222"/>
      <c r="BI509" s="222"/>
      <c r="BJ509" s="222"/>
      <c r="BK509" s="222"/>
      <c r="BL509" s="222"/>
      <c r="BM509" s="222"/>
      <c r="BN509" s="222"/>
      <c r="BO509" s="222"/>
      <c r="BP509" s="222"/>
      <c r="BQ509" s="222"/>
      <c r="BR509" s="222"/>
      <c r="BS509" s="222"/>
      <c r="BT509" s="222"/>
      <c r="BU509" s="222"/>
      <c r="BV509" s="222"/>
      <c r="BW509" s="222"/>
      <c r="BX509" s="222"/>
      <c r="BY509" s="222"/>
      <c r="BZ509" s="222"/>
      <c r="CA509" s="222"/>
      <c r="CB509" s="222"/>
      <c r="CC509" s="222"/>
      <c r="CD509" s="222"/>
      <c r="CE509" s="222"/>
      <c r="CF509" s="222"/>
      <c r="CG509" s="222"/>
      <c r="CH509" s="222"/>
      <c r="CI509" s="222"/>
      <c r="CJ509" s="222"/>
      <c r="CK509" s="222"/>
      <c r="CL509" s="222"/>
      <c r="CM509" s="222"/>
      <c r="CN509" s="222"/>
      <c r="CO509" s="222"/>
      <c r="CP509" s="222"/>
      <c r="CQ509" s="222"/>
      <c r="CR509" s="222"/>
      <c r="CS509" s="222"/>
    </row>
    <row r="510">
      <c r="A510" s="43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  <c r="AC510" s="222"/>
      <c r="AD510" s="222"/>
      <c r="AE510" s="222"/>
      <c r="AF510" s="222"/>
      <c r="AG510" s="222"/>
      <c r="AH510" s="222"/>
      <c r="AI510" s="222"/>
      <c r="AJ510" s="222"/>
      <c r="AK510" s="222"/>
      <c r="AL510" s="222"/>
      <c r="AM510" s="222"/>
      <c r="AN510" s="222"/>
      <c r="AO510" s="222"/>
      <c r="AP510" s="222"/>
      <c r="AQ510" s="222"/>
      <c r="AR510" s="222"/>
      <c r="AS510" s="222"/>
      <c r="AT510" s="222"/>
      <c r="AU510" s="222"/>
      <c r="AV510" s="222"/>
      <c r="AW510" s="222"/>
      <c r="AX510" s="222"/>
      <c r="AY510" s="222"/>
      <c r="AZ510" s="222"/>
      <c r="BA510" s="222"/>
      <c r="BB510" s="222"/>
      <c r="BC510" s="222"/>
      <c r="BD510" s="222"/>
      <c r="BE510" s="222"/>
      <c r="BF510" s="222"/>
      <c r="BG510" s="222"/>
      <c r="BH510" s="222"/>
      <c r="BI510" s="222"/>
      <c r="BJ510" s="222"/>
      <c r="BK510" s="222"/>
      <c r="BL510" s="222"/>
      <c r="BM510" s="222"/>
      <c r="BN510" s="222"/>
      <c r="BO510" s="222"/>
      <c r="BP510" s="222"/>
      <c r="BQ510" s="222"/>
      <c r="BR510" s="222"/>
      <c r="BS510" s="222"/>
      <c r="BT510" s="222"/>
      <c r="BU510" s="222"/>
      <c r="BV510" s="222"/>
      <c r="BW510" s="222"/>
      <c r="BX510" s="222"/>
      <c r="BY510" s="222"/>
      <c r="BZ510" s="222"/>
      <c r="CA510" s="222"/>
      <c r="CB510" s="222"/>
      <c r="CC510" s="222"/>
      <c r="CD510" s="222"/>
      <c r="CE510" s="222"/>
      <c r="CF510" s="222"/>
      <c r="CG510" s="222"/>
      <c r="CH510" s="222"/>
      <c r="CI510" s="222"/>
      <c r="CJ510" s="222"/>
      <c r="CK510" s="222"/>
      <c r="CL510" s="222"/>
      <c r="CM510" s="222"/>
      <c r="CN510" s="222"/>
      <c r="CO510" s="222"/>
      <c r="CP510" s="222"/>
      <c r="CQ510" s="222"/>
      <c r="CR510" s="222"/>
      <c r="CS510" s="222"/>
    </row>
    <row r="511">
      <c r="A511" s="43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  <c r="AC511" s="222"/>
      <c r="AD511" s="222"/>
      <c r="AE511" s="222"/>
      <c r="AF511" s="222"/>
      <c r="AG511" s="222"/>
      <c r="AH511" s="222"/>
      <c r="AI511" s="222"/>
      <c r="AJ511" s="222"/>
      <c r="AK511" s="222"/>
      <c r="AL511" s="222"/>
      <c r="AM511" s="222"/>
      <c r="AN511" s="222"/>
      <c r="AO511" s="222"/>
      <c r="AP511" s="222"/>
      <c r="AQ511" s="222"/>
      <c r="AR511" s="222"/>
      <c r="AS511" s="222"/>
      <c r="AT511" s="222"/>
      <c r="AU511" s="222"/>
      <c r="AV511" s="222"/>
      <c r="AW511" s="222"/>
      <c r="AX511" s="222"/>
      <c r="AY511" s="222"/>
      <c r="AZ511" s="222"/>
      <c r="BA511" s="222"/>
      <c r="BB511" s="222"/>
      <c r="BC511" s="222"/>
      <c r="BD511" s="222"/>
      <c r="BE511" s="222"/>
      <c r="BF511" s="222"/>
      <c r="BG511" s="222"/>
      <c r="BH511" s="222"/>
      <c r="BI511" s="222"/>
      <c r="BJ511" s="222"/>
      <c r="BK511" s="222"/>
      <c r="BL511" s="222"/>
      <c r="BM511" s="222"/>
      <c r="BN511" s="222"/>
      <c r="BO511" s="222"/>
      <c r="BP511" s="222"/>
      <c r="BQ511" s="222"/>
      <c r="BR511" s="222"/>
      <c r="BS511" s="222"/>
      <c r="BT511" s="222"/>
      <c r="BU511" s="222"/>
      <c r="BV511" s="222"/>
      <c r="BW511" s="222"/>
      <c r="BX511" s="222"/>
      <c r="BY511" s="222"/>
      <c r="BZ511" s="222"/>
      <c r="CA511" s="222"/>
      <c r="CB511" s="222"/>
      <c r="CC511" s="222"/>
      <c r="CD511" s="222"/>
      <c r="CE511" s="222"/>
      <c r="CF511" s="222"/>
      <c r="CG511" s="222"/>
      <c r="CH511" s="222"/>
      <c r="CI511" s="222"/>
      <c r="CJ511" s="222"/>
      <c r="CK511" s="222"/>
      <c r="CL511" s="222"/>
      <c r="CM511" s="222"/>
      <c r="CN511" s="222"/>
      <c r="CO511" s="222"/>
      <c r="CP511" s="222"/>
      <c r="CQ511" s="222"/>
      <c r="CR511" s="222"/>
      <c r="CS511" s="222"/>
    </row>
    <row r="512">
      <c r="A512" s="43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  <c r="AC512" s="222"/>
      <c r="AD512" s="222"/>
      <c r="AE512" s="222"/>
      <c r="AF512" s="222"/>
      <c r="AG512" s="222"/>
      <c r="AH512" s="222"/>
      <c r="AI512" s="222"/>
      <c r="AJ512" s="222"/>
      <c r="AK512" s="222"/>
      <c r="AL512" s="222"/>
      <c r="AM512" s="222"/>
      <c r="AN512" s="222"/>
      <c r="AO512" s="222"/>
      <c r="AP512" s="222"/>
      <c r="AQ512" s="222"/>
      <c r="AR512" s="222"/>
      <c r="AS512" s="222"/>
      <c r="AT512" s="222"/>
      <c r="AU512" s="222"/>
      <c r="AV512" s="222"/>
      <c r="AW512" s="222"/>
      <c r="AX512" s="222"/>
      <c r="AY512" s="222"/>
      <c r="AZ512" s="222"/>
      <c r="BA512" s="222"/>
      <c r="BB512" s="222"/>
      <c r="BC512" s="222"/>
      <c r="BD512" s="222"/>
      <c r="BE512" s="222"/>
      <c r="BF512" s="222"/>
      <c r="BG512" s="222"/>
      <c r="BH512" s="222"/>
      <c r="BI512" s="222"/>
      <c r="BJ512" s="222"/>
      <c r="BK512" s="222"/>
      <c r="BL512" s="222"/>
      <c r="BM512" s="222"/>
      <c r="BN512" s="222"/>
      <c r="BO512" s="222"/>
      <c r="BP512" s="222"/>
      <c r="BQ512" s="222"/>
      <c r="BR512" s="222"/>
      <c r="BS512" s="222"/>
      <c r="BT512" s="222"/>
      <c r="BU512" s="222"/>
      <c r="BV512" s="222"/>
      <c r="BW512" s="222"/>
      <c r="BX512" s="222"/>
      <c r="BY512" s="222"/>
      <c r="BZ512" s="222"/>
      <c r="CA512" s="222"/>
      <c r="CB512" s="222"/>
      <c r="CC512" s="222"/>
      <c r="CD512" s="222"/>
      <c r="CE512" s="222"/>
      <c r="CF512" s="222"/>
      <c r="CG512" s="222"/>
      <c r="CH512" s="222"/>
      <c r="CI512" s="222"/>
      <c r="CJ512" s="222"/>
      <c r="CK512" s="222"/>
      <c r="CL512" s="222"/>
      <c r="CM512" s="222"/>
      <c r="CN512" s="222"/>
      <c r="CO512" s="222"/>
      <c r="CP512" s="222"/>
      <c r="CQ512" s="222"/>
      <c r="CR512" s="222"/>
      <c r="CS512" s="222"/>
    </row>
    <row r="513">
      <c r="A513" s="43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  <c r="AC513" s="222"/>
      <c r="AD513" s="222"/>
      <c r="AE513" s="222"/>
      <c r="AF513" s="222"/>
      <c r="AG513" s="222"/>
      <c r="AH513" s="222"/>
      <c r="AI513" s="222"/>
      <c r="AJ513" s="222"/>
      <c r="AK513" s="222"/>
      <c r="AL513" s="222"/>
      <c r="AM513" s="222"/>
      <c r="AN513" s="222"/>
      <c r="AO513" s="222"/>
      <c r="AP513" s="222"/>
      <c r="AQ513" s="222"/>
      <c r="AR513" s="222"/>
      <c r="AS513" s="222"/>
      <c r="AT513" s="222"/>
      <c r="AU513" s="222"/>
      <c r="AV513" s="222"/>
      <c r="AW513" s="222"/>
      <c r="AX513" s="222"/>
      <c r="AY513" s="222"/>
      <c r="AZ513" s="222"/>
      <c r="BA513" s="222"/>
      <c r="BB513" s="222"/>
      <c r="BC513" s="222"/>
      <c r="BD513" s="222"/>
      <c r="BE513" s="222"/>
      <c r="BF513" s="222"/>
      <c r="BG513" s="222"/>
      <c r="BH513" s="222"/>
      <c r="BI513" s="222"/>
      <c r="BJ513" s="222"/>
      <c r="BK513" s="222"/>
      <c r="BL513" s="222"/>
      <c r="BM513" s="222"/>
      <c r="BN513" s="222"/>
      <c r="BO513" s="222"/>
      <c r="BP513" s="222"/>
      <c r="BQ513" s="222"/>
      <c r="BR513" s="222"/>
      <c r="BS513" s="222"/>
      <c r="BT513" s="222"/>
      <c r="BU513" s="222"/>
      <c r="BV513" s="222"/>
      <c r="BW513" s="222"/>
      <c r="BX513" s="222"/>
      <c r="BY513" s="222"/>
      <c r="BZ513" s="222"/>
      <c r="CA513" s="222"/>
      <c r="CB513" s="222"/>
      <c r="CC513" s="222"/>
      <c r="CD513" s="222"/>
      <c r="CE513" s="222"/>
      <c r="CF513" s="222"/>
      <c r="CG513" s="222"/>
      <c r="CH513" s="222"/>
      <c r="CI513" s="222"/>
      <c r="CJ513" s="222"/>
      <c r="CK513" s="222"/>
      <c r="CL513" s="222"/>
      <c r="CM513" s="222"/>
      <c r="CN513" s="222"/>
      <c r="CO513" s="222"/>
      <c r="CP513" s="222"/>
      <c r="CQ513" s="222"/>
      <c r="CR513" s="222"/>
      <c r="CS513" s="222"/>
    </row>
    <row r="514">
      <c r="A514" s="43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  <c r="AC514" s="222"/>
      <c r="AD514" s="222"/>
      <c r="AE514" s="222"/>
      <c r="AF514" s="222"/>
      <c r="AG514" s="222"/>
      <c r="AH514" s="222"/>
      <c r="AI514" s="222"/>
      <c r="AJ514" s="222"/>
      <c r="AK514" s="222"/>
      <c r="AL514" s="222"/>
      <c r="AM514" s="222"/>
      <c r="AN514" s="222"/>
      <c r="AO514" s="222"/>
      <c r="AP514" s="222"/>
      <c r="AQ514" s="222"/>
      <c r="AR514" s="222"/>
      <c r="AS514" s="222"/>
      <c r="AT514" s="222"/>
      <c r="AU514" s="222"/>
      <c r="AV514" s="222"/>
      <c r="AW514" s="222"/>
      <c r="AX514" s="222"/>
      <c r="AY514" s="222"/>
      <c r="AZ514" s="222"/>
      <c r="BA514" s="222"/>
      <c r="BB514" s="222"/>
      <c r="BC514" s="222"/>
      <c r="BD514" s="222"/>
      <c r="BE514" s="222"/>
      <c r="BF514" s="222"/>
      <c r="BG514" s="222"/>
      <c r="BH514" s="222"/>
      <c r="BI514" s="222"/>
      <c r="BJ514" s="222"/>
      <c r="BK514" s="222"/>
      <c r="BL514" s="222"/>
      <c r="BM514" s="222"/>
      <c r="BN514" s="222"/>
      <c r="BO514" s="222"/>
      <c r="BP514" s="222"/>
      <c r="BQ514" s="222"/>
      <c r="BR514" s="222"/>
      <c r="BS514" s="222"/>
      <c r="BT514" s="222"/>
      <c r="BU514" s="222"/>
      <c r="BV514" s="222"/>
      <c r="BW514" s="222"/>
      <c r="BX514" s="222"/>
      <c r="BY514" s="222"/>
      <c r="BZ514" s="222"/>
      <c r="CA514" s="222"/>
      <c r="CB514" s="222"/>
      <c r="CC514" s="222"/>
      <c r="CD514" s="222"/>
      <c r="CE514" s="222"/>
      <c r="CF514" s="222"/>
      <c r="CG514" s="222"/>
      <c r="CH514" s="222"/>
      <c r="CI514" s="222"/>
      <c r="CJ514" s="222"/>
      <c r="CK514" s="222"/>
      <c r="CL514" s="222"/>
      <c r="CM514" s="222"/>
      <c r="CN514" s="222"/>
      <c r="CO514" s="222"/>
      <c r="CP514" s="222"/>
      <c r="CQ514" s="222"/>
      <c r="CR514" s="222"/>
      <c r="CS514" s="222"/>
    </row>
    <row r="515">
      <c r="A515" s="43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  <c r="AC515" s="222"/>
      <c r="AD515" s="222"/>
      <c r="AE515" s="222"/>
      <c r="AF515" s="222"/>
      <c r="AG515" s="222"/>
      <c r="AH515" s="222"/>
      <c r="AI515" s="222"/>
      <c r="AJ515" s="222"/>
      <c r="AK515" s="222"/>
      <c r="AL515" s="222"/>
      <c r="AM515" s="222"/>
      <c r="AN515" s="222"/>
      <c r="AO515" s="222"/>
      <c r="AP515" s="222"/>
      <c r="AQ515" s="222"/>
      <c r="AR515" s="222"/>
      <c r="AS515" s="222"/>
      <c r="AT515" s="222"/>
      <c r="AU515" s="222"/>
      <c r="AV515" s="222"/>
      <c r="AW515" s="222"/>
      <c r="AX515" s="222"/>
      <c r="AY515" s="222"/>
      <c r="AZ515" s="222"/>
      <c r="BA515" s="222"/>
      <c r="BB515" s="222"/>
      <c r="BC515" s="222"/>
      <c r="BD515" s="222"/>
      <c r="BE515" s="222"/>
      <c r="BF515" s="222"/>
      <c r="BG515" s="222"/>
      <c r="BH515" s="222"/>
      <c r="BI515" s="222"/>
      <c r="BJ515" s="222"/>
      <c r="BK515" s="222"/>
      <c r="BL515" s="222"/>
      <c r="BM515" s="222"/>
      <c r="BN515" s="222"/>
      <c r="BO515" s="222"/>
      <c r="BP515" s="222"/>
      <c r="BQ515" s="222"/>
      <c r="BR515" s="222"/>
      <c r="BS515" s="222"/>
      <c r="BT515" s="222"/>
      <c r="BU515" s="222"/>
      <c r="BV515" s="222"/>
      <c r="BW515" s="222"/>
      <c r="BX515" s="222"/>
      <c r="BY515" s="222"/>
      <c r="BZ515" s="222"/>
      <c r="CA515" s="222"/>
      <c r="CB515" s="222"/>
      <c r="CC515" s="222"/>
      <c r="CD515" s="222"/>
      <c r="CE515" s="222"/>
      <c r="CF515" s="222"/>
      <c r="CG515" s="222"/>
      <c r="CH515" s="222"/>
      <c r="CI515" s="222"/>
      <c r="CJ515" s="222"/>
      <c r="CK515" s="222"/>
      <c r="CL515" s="222"/>
      <c r="CM515" s="222"/>
      <c r="CN515" s="222"/>
      <c r="CO515" s="222"/>
      <c r="CP515" s="222"/>
      <c r="CQ515" s="222"/>
      <c r="CR515" s="222"/>
      <c r="CS515" s="222"/>
    </row>
    <row r="516">
      <c r="A516" s="43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  <c r="AC516" s="222"/>
      <c r="AD516" s="222"/>
      <c r="AE516" s="222"/>
      <c r="AF516" s="222"/>
      <c r="AG516" s="222"/>
      <c r="AH516" s="222"/>
      <c r="AI516" s="222"/>
      <c r="AJ516" s="222"/>
      <c r="AK516" s="222"/>
      <c r="AL516" s="222"/>
      <c r="AM516" s="222"/>
      <c r="AN516" s="222"/>
      <c r="AO516" s="222"/>
      <c r="AP516" s="222"/>
      <c r="AQ516" s="222"/>
      <c r="AR516" s="222"/>
      <c r="AS516" s="222"/>
      <c r="AT516" s="222"/>
      <c r="AU516" s="222"/>
      <c r="AV516" s="222"/>
      <c r="AW516" s="222"/>
      <c r="AX516" s="222"/>
      <c r="AY516" s="222"/>
      <c r="AZ516" s="222"/>
      <c r="BA516" s="222"/>
      <c r="BB516" s="222"/>
      <c r="BC516" s="222"/>
      <c r="BD516" s="222"/>
      <c r="BE516" s="222"/>
      <c r="BF516" s="222"/>
      <c r="BG516" s="222"/>
      <c r="BH516" s="222"/>
      <c r="BI516" s="222"/>
      <c r="BJ516" s="222"/>
      <c r="BK516" s="222"/>
      <c r="BL516" s="222"/>
      <c r="BM516" s="222"/>
      <c r="BN516" s="222"/>
      <c r="BO516" s="222"/>
      <c r="BP516" s="222"/>
      <c r="BQ516" s="222"/>
      <c r="BR516" s="222"/>
      <c r="BS516" s="222"/>
      <c r="BT516" s="222"/>
      <c r="BU516" s="222"/>
      <c r="BV516" s="222"/>
      <c r="BW516" s="222"/>
      <c r="BX516" s="222"/>
      <c r="BY516" s="222"/>
      <c r="BZ516" s="222"/>
      <c r="CA516" s="222"/>
      <c r="CB516" s="222"/>
      <c r="CC516" s="222"/>
      <c r="CD516" s="222"/>
      <c r="CE516" s="222"/>
      <c r="CF516" s="222"/>
      <c r="CG516" s="222"/>
      <c r="CH516" s="222"/>
      <c r="CI516" s="222"/>
      <c r="CJ516" s="222"/>
      <c r="CK516" s="222"/>
      <c r="CL516" s="222"/>
      <c r="CM516" s="222"/>
      <c r="CN516" s="222"/>
      <c r="CO516" s="222"/>
      <c r="CP516" s="222"/>
      <c r="CQ516" s="222"/>
      <c r="CR516" s="222"/>
      <c r="CS516" s="222"/>
    </row>
    <row r="517">
      <c r="A517" s="43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  <c r="AC517" s="222"/>
      <c r="AD517" s="222"/>
      <c r="AE517" s="222"/>
      <c r="AF517" s="222"/>
      <c r="AG517" s="222"/>
      <c r="AH517" s="222"/>
      <c r="AI517" s="222"/>
      <c r="AJ517" s="222"/>
      <c r="AK517" s="222"/>
      <c r="AL517" s="222"/>
      <c r="AM517" s="222"/>
      <c r="AN517" s="222"/>
      <c r="AO517" s="222"/>
      <c r="AP517" s="222"/>
      <c r="AQ517" s="222"/>
      <c r="AR517" s="222"/>
      <c r="AS517" s="222"/>
      <c r="AT517" s="222"/>
      <c r="AU517" s="222"/>
      <c r="AV517" s="222"/>
      <c r="AW517" s="222"/>
      <c r="AX517" s="222"/>
      <c r="AY517" s="222"/>
      <c r="AZ517" s="222"/>
      <c r="BA517" s="222"/>
      <c r="BB517" s="222"/>
      <c r="BC517" s="222"/>
      <c r="BD517" s="222"/>
      <c r="BE517" s="222"/>
      <c r="BF517" s="222"/>
      <c r="BG517" s="222"/>
      <c r="BH517" s="222"/>
      <c r="BI517" s="222"/>
      <c r="BJ517" s="222"/>
      <c r="BK517" s="222"/>
      <c r="BL517" s="222"/>
      <c r="BM517" s="222"/>
      <c r="BN517" s="222"/>
      <c r="BO517" s="222"/>
      <c r="BP517" s="222"/>
      <c r="BQ517" s="222"/>
      <c r="BR517" s="222"/>
      <c r="BS517" s="222"/>
      <c r="BT517" s="222"/>
      <c r="BU517" s="222"/>
      <c r="BV517" s="222"/>
      <c r="BW517" s="222"/>
      <c r="BX517" s="222"/>
      <c r="BY517" s="222"/>
      <c r="BZ517" s="222"/>
      <c r="CA517" s="222"/>
      <c r="CB517" s="222"/>
      <c r="CC517" s="222"/>
      <c r="CD517" s="222"/>
      <c r="CE517" s="222"/>
      <c r="CF517" s="222"/>
      <c r="CG517" s="222"/>
      <c r="CH517" s="222"/>
      <c r="CI517" s="222"/>
      <c r="CJ517" s="222"/>
      <c r="CK517" s="222"/>
      <c r="CL517" s="222"/>
      <c r="CM517" s="222"/>
      <c r="CN517" s="222"/>
      <c r="CO517" s="222"/>
      <c r="CP517" s="222"/>
      <c r="CQ517" s="222"/>
      <c r="CR517" s="222"/>
      <c r="CS517" s="222"/>
    </row>
    <row r="518">
      <c r="A518" s="43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  <c r="AE518" s="222"/>
      <c r="AF518" s="222"/>
      <c r="AG518" s="222"/>
      <c r="AH518" s="222"/>
      <c r="AI518" s="222"/>
      <c r="AJ518" s="222"/>
      <c r="AK518" s="222"/>
      <c r="AL518" s="222"/>
      <c r="AM518" s="222"/>
      <c r="AN518" s="222"/>
      <c r="AO518" s="222"/>
      <c r="AP518" s="222"/>
      <c r="AQ518" s="222"/>
      <c r="AR518" s="222"/>
      <c r="AS518" s="222"/>
      <c r="AT518" s="222"/>
      <c r="AU518" s="222"/>
      <c r="AV518" s="222"/>
      <c r="AW518" s="222"/>
      <c r="AX518" s="222"/>
      <c r="AY518" s="222"/>
      <c r="AZ518" s="222"/>
      <c r="BA518" s="222"/>
      <c r="BB518" s="222"/>
      <c r="BC518" s="222"/>
      <c r="BD518" s="222"/>
      <c r="BE518" s="222"/>
      <c r="BF518" s="222"/>
      <c r="BG518" s="222"/>
      <c r="BH518" s="222"/>
      <c r="BI518" s="222"/>
      <c r="BJ518" s="222"/>
      <c r="BK518" s="222"/>
      <c r="BL518" s="222"/>
      <c r="BM518" s="222"/>
      <c r="BN518" s="222"/>
      <c r="BO518" s="222"/>
      <c r="BP518" s="222"/>
      <c r="BQ518" s="222"/>
      <c r="BR518" s="222"/>
      <c r="BS518" s="222"/>
      <c r="BT518" s="222"/>
      <c r="BU518" s="222"/>
      <c r="BV518" s="222"/>
      <c r="BW518" s="222"/>
      <c r="BX518" s="222"/>
      <c r="BY518" s="222"/>
      <c r="BZ518" s="222"/>
      <c r="CA518" s="222"/>
      <c r="CB518" s="222"/>
      <c r="CC518" s="222"/>
      <c r="CD518" s="222"/>
      <c r="CE518" s="222"/>
      <c r="CF518" s="222"/>
      <c r="CG518" s="222"/>
      <c r="CH518" s="222"/>
      <c r="CI518" s="222"/>
      <c r="CJ518" s="222"/>
      <c r="CK518" s="222"/>
      <c r="CL518" s="222"/>
      <c r="CM518" s="222"/>
      <c r="CN518" s="222"/>
      <c r="CO518" s="222"/>
      <c r="CP518" s="222"/>
      <c r="CQ518" s="222"/>
      <c r="CR518" s="222"/>
      <c r="CS518" s="222"/>
    </row>
    <row r="519">
      <c r="A519" s="43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  <c r="AC519" s="222"/>
      <c r="AD519" s="222"/>
      <c r="AE519" s="222"/>
      <c r="AF519" s="222"/>
      <c r="AG519" s="222"/>
      <c r="AH519" s="222"/>
      <c r="AI519" s="222"/>
      <c r="AJ519" s="222"/>
      <c r="AK519" s="222"/>
      <c r="AL519" s="222"/>
      <c r="AM519" s="222"/>
      <c r="AN519" s="222"/>
      <c r="AO519" s="222"/>
      <c r="AP519" s="222"/>
      <c r="AQ519" s="222"/>
      <c r="AR519" s="222"/>
      <c r="AS519" s="222"/>
      <c r="AT519" s="222"/>
      <c r="AU519" s="222"/>
      <c r="AV519" s="222"/>
      <c r="AW519" s="222"/>
      <c r="AX519" s="222"/>
      <c r="AY519" s="222"/>
      <c r="AZ519" s="222"/>
      <c r="BA519" s="222"/>
      <c r="BB519" s="222"/>
      <c r="BC519" s="222"/>
      <c r="BD519" s="222"/>
      <c r="BE519" s="222"/>
      <c r="BF519" s="222"/>
      <c r="BG519" s="222"/>
      <c r="BH519" s="222"/>
      <c r="BI519" s="222"/>
      <c r="BJ519" s="222"/>
      <c r="BK519" s="222"/>
      <c r="BL519" s="222"/>
      <c r="BM519" s="222"/>
      <c r="BN519" s="222"/>
      <c r="BO519" s="222"/>
      <c r="BP519" s="222"/>
      <c r="BQ519" s="222"/>
      <c r="BR519" s="222"/>
      <c r="BS519" s="222"/>
      <c r="BT519" s="222"/>
      <c r="BU519" s="222"/>
      <c r="BV519" s="222"/>
      <c r="BW519" s="222"/>
      <c r="BX519" s="222"/>
      <c r="BY519" s="222"/>
      <c r="BZ519" s="222"/>
      <c r="CA519" s="222"/>
      <c r="CB519" s="222"/>
      <c r="CC519" s="222"/>
      <c r="CD519" s="222"/>
      <c r="CE519" s="222"/>
      <c r="CF519" s="222"/>
      <c r="CG519" s="222"/>
      <c r="CH519" s="222"/>
      <c r="CI519" s="222"/>
      <c r="CJ519" s="222"/>
      <c r="CK519" s="222"/>
      <c r="CL519" s="222"/>
      <c r="CM519" s="222"/>
      <c r="CN519" s="222"/>
      <c r="CO519" s="222"/>
      <c r="CP519" s="222"/>
      <c r="CQ519" s="222"/>
      <c r="CR519" s="222"/>
      <c r="CS519" s="222"/>
    </row>
    <row r="520">
      <c r="A520" s="43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  <c r="AC520" s="222"/>
      <c r="AD520" s="222"/>
      <c r="AE520" s="222"/>
      <c r="AF520" s="222"/>
      <c r="AG520" s="222"/>
      <c r="AH520" s="222"/>
      <c r="AI520" s="222"/>
      <c r="AJ520" s="222"/>
      <c r="AK520" s="222"/>
      <c r="AL520" s="222"/>
      <c r="AM520" s="222"/>
      <c r="AN520" s="222"/>
      <c r="AO520" s="222"/>
      <c r="AP520" s="222"/>
      <c r="AQ520" s="222"/>
      <c r="AR520" s="222"/>
      <c r="AS520" s="222"/>
      <c r="AT520" s="222"/>
      <c r="AU520" s="222"/>
      <c r="AV520" s="222"/>
      <c r="AW520" s="222"/>
      <c r="AX520" s="222"/>
      <c r="AY520" s="222"/>
      <c r="AZ520" s="222"/>
      <c r="BA520" s="222"/>
      <c r="BB520" s="222"/>
      <c r="BC520" s="222"/>
      <c r="BD520" s="222"/>
      <c r="BE520" s="222"/>
      <c r="BF520" s="222"/>
      <c r="BG520" s="222"/>
      <c r="BH520" s="222"/>
      <c r="BI520" s="222"/>
      <c r="BJ520" s="222"/>
      <c r="BK520" s="222"/>
      <c r="BL520" s="222"/>
      <c r="BM520" s="222"/>
      <c r="BN520" s="222"/>
      <c r="BO520" s="222"/>
      <c r="BP520" s="222"/>
      <c r="BQ520" s="222"/>
      <c r="BR520" s="222"/>
      <c r="BS520" s="222"/>
      <c r="BT520" s="222"/>
      <c r="BU520" s="222"/>
      <c r="BV520" s="222"/>
      <c r="BW520" s="222"/>
      <c r="BX520" s="222"/>
      <c r="BY520" s="222"/>
      <c r="BZ520" s="222"/>
      <c r="CA520" s="222"/>
      <c r="CB520" s="222"/>
      <c r="CC520" s="222"/>
      <c r="CD520" s="222"/>
      <c r="CE520" s="222"/>
      <c r="CF520" s="222"/>
      <c r="CG520" s="222"/>
      <c r="CH520" s="222"/>
      <c r="CI520" s="222"/>
      <c r="CJ520" s="222"/>
      <c r="CK520" s="222"/>
      <c r="CL520" s="222"/>
      <c r="CM520" s="222"/>
      <c r="CN520" s="222"/>
      <c r="CO520" s="222"/>
      <c r="CP520" s="222"/>
      <c r="CQ520" s="222"/>
      <c r="CR520" s="222"/>
      <c r="CS520" s="222"/>
    </row>
    <row r="521">
      <c r="A521" s="43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  <c r="AC521" s="222"/>
      <c r="AD521" s="222"/>
      <c r="AE521" s="222"/>
      <c r="AF521" s="222"/>
      <c r="AG521" s="222"/>
      <c r="AH521" s="222"/>
      <c r="AI521" s="222"/>
      <c r="AJ521" s="222"/>
      <c r="AK521" s="222"/>
      <c r="AL521" s="222"/>
      <c r="AM521" s="222"/>
      <c r="AN521" s="222"/>
      <c r="AO521" s="222"/>
      <c r="AP521" s="222"/>
      <c r="AQ521" s="222"/>
      <c r="AR521" s="222"/>
      <c r="AS521" s="222"/>
      <c r="AT521" s="222"/>
      <c r="AU521" s="222"/>
      <c r="AV521" s="222"/>
      <c r="AW521" s="222"/>
      <c r="AX521" s="222"/>
      <c r="AY521" s="222"/>
      <c r="AZ521" s="222"/>
      <c r="BA521" s="222"/>
      <c r="BB521" s="222"/>
      <c r="BC521" s="222"/>
      <c r="BD521" s="222"/>
      <c r="BE521" s="222"/>
      <c r="BF521" s="222"/>
      <c r="BG521" s="222"/>
      <c r="BH521" s="222"/>
      <c r="BI521" s="222"/>
      <c r="BJ521" s="222"/>
      <c r="BK521" s="222"/>
      <c r="BL521" s="222"/>
      <c r="BM521" s="222"/>
      <c r="BN521" s="222"/>
      <c r="BO521" s="222"/>
      <c r="BP521" s="222"/>
      <c r="BQ521" s="222"/>
      <c r="BR521" s="222"/>
      <c r="BS521" s="222"/>
      <c r="BT521" s="222"/>
      <c r="BU521" s="222"/>
      <c r="BV521" s="222"/>
      <c r="BW521" s="222"/>
      <c r="BX521" s="222"/>
      <c r="BY521" s="222"/>
      <c r="BZ521" s="222"/>
      <c r="CA521" s="222"/>
      <c r="CB521" s="222"/>
      <c r="CC521" s="222"/>
      <c r="CD521" s="222"/>
      <c r="CE521" s="222"/>
      <c r="CF521" s="222"/>
      <c r="CG521" s="222"/>
      <c r="CH521" s="222"/>
      <c r="CI521" s="222"/>
      <c r="CJ521" s="222"/>
      <c r="CK521" s="222"/>
      <c r="CL521" s="222"/>
      <c r="CM521" s="222"/>
      <c r="CN521" s="222"/>
      <c r="CO521" s="222"/>
      <c r="CP521" s="222"/>
      <c r="CQ521" s="222"/>
      <c r="CR521" s="222"/>
      <c r="CS521" s="222"/>
    </row>
    <row r="522">
      <c r="A522" s="43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  <c r="AC522" s="222"/>
      <c r="AD522" s="222"/>
      <c r="AE522" s="222"/>
      <c r="AF522" s="222"/>
      <c r="AG522" s="222"/>
      <c r="AH522" s="222"/>
      <c r="AI522" s="222"/>
      <c r="AJ522" s="222"/>
      <c r="AK522" s="222"/>
      <c r="AL522" s="222"/>
      <c r="AM522" s="222"/>
      <c r="AN522" s="222"/>
      <c r="AO522" s="222"/>
      <c r="AP522" s="222"/>
      <c r="AQ522" s="222"/>
      <c r="AR522" s="222"/>
      <c r="AS522" s="222"/>
      <c r="AT522" s="222"/>
      <c r="AU522" s="222"/>
      <c r="AV522" s="222"/>
      <c r="AW522" s="222"/>
      <c r="AX522" s="222"/>
      <c r="AY522" s="222"/>
      <c r="AZ522" s="222"/>
      <c r="BA522" s="222"/>
      <c r="BB522" s="222"/>
      <c r="BC522" s="222"/>
      <c r="BD522" s="222"/>
      <c r="BE522" s="222"/>
      <c r="BF522" s="222"/>
      <c r="BG522" s="222"/>
      <c r="BH522" s="222"/>
      <c r="BI522" s="222"/>
      <c r="BJ522" s="222"/>
      <c r="BK522" s="222"/>
      <c r="BL522" s="222"/>
      <c r="BM522" s="222"/>
      <c r="BN522" s="222"/>
      <c r="BO522" s="222"/>
      <c r="BP522" s="222"/>
      <c r="BQ522" s="222"/>
      <c r="BR522" s="222"/>
      <c r="BS522" s="222"/>
      <c r="BT522" s="222"/>
      <c r="BU522" s="222"/>
      <c r="BV522" s="222"/>
      <c r="BW522" s="222"/>
      <c r="BX522" s="222"/>
      <c r="BY522" s="222"/>
      <c r="BZ522" s="222"/>
      <c r="CA522" s="222"/>
      <c r="CB522" s="222"/>
      <c r="CC522" s="222"/>
      <c r="CD522" s="222"/>
      <c r="CE522" s="222"/>
      <c r="CF522" s="222"/>
      <c r="CG522" s="222"/>
      <c r="CH522" s="222"/>
      <c r="CI522" s="222"/>
      <c r="CJ522" s="222"/>
      <c r="CK522" s="222"/>
      <c r="CL522" s="222"/>
      <c r="CM522" s="222"/>
      <c r="CN522" s="222"/>
      <c r="CO522" s="222"/>
      <c r="CP522" s="222"/>
      <c r="CQ522" s="222"/>
      <c r="CR522" s="222"/>
      <c r="CS522" s="222"/>
    </row>
    <row r="523">
      <c r="A523" s="43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  <c r="AC523" s="222"/>
      <c r="AD523" s="222"/>
      <c r="AE523" s="222"/>
      <c r="AF523" s="222"/>
      <c r="AG523" s="222"/>
      <c r="AH523" s="222"/>
      <c r="AI523" s="222"/>
      <c r="AJ523" s="222"/>
      <c r="AK523" s="222"/>
      <c r="AL523" s="222"/>
      <c r="AM523" s="222"/>
      <c r="AN523" s="222"/>
      <c r="AO523" s="222"/>
      <c r="AP523" s="222"/>
      <c r="AQ523" s="222"/>
      <c r="AR523" s="222"/>
      <c r="AS523" s="222"/>
      <c r="AT523" s="222"/>
      <c r="AU523" s="222"/>
      <c r="AV523" s="222"/>
      <c r="AW523" s="222"/>
      <c r="AX523" s="222"/>
      <c r="AY523" s="222"/>
      <c r="AZ523" s="222"/>
      <c r="BA523" s="222"/>
      <c r="BB523" s="222"/>
      <c r="BC523" s="222"/>
      <c r="BD523" s="222"/>
      <c r="BE523" s="222"/>
      <c r="BF523" s="222"/>
      <c r="BG523" s="222"/>
      <c r="BH523" s="222"/>
      <c r="BI523" s="222"/>
      <c r="BJ523" s="222"/>
      <c r="BK523" s="222"/>
      <c r="BL523" s="222"/>
      <c r="BM523" s="222"/>
      <c r="BN523" s="222"/>
      <c r="BO523" s="222"/>
      <c r="BP523" s="222"/>
      <c r="BQ523" s="222"/>
      <c r="BR523" s="222"/>
      <c r="BS523" s="222"/>
      <c r="BT523" s="222"/>
      <c r="BU523" s="222"/>
      <c r="BV523" s="222"/>
      <c r="BW523" s="222"/>
      <c r="BX523" s="222"/>
      <c r="BY523" s="222"/>
      <c r="BZ523" s="222"/>
      <c r="CA523" s="222"/>
      <c r="CB523" s="222"/>
      <c r="CC523" s="222"/>
      <c r="CD523" s="222"/>
      <c r="CE523" s="222"/>
      <c r="CF523" s="222"/>
      <c r="CG523" s="222"/>
      <c r="CH523" s="222"/>
      <c r="CI523" s="222"/>
      <c r="CJ523" s="222"/>
      <c r="CK523" s="222"/>
      <c r="CL523" s="222"/>
      <c r="CM523" s="222"/>
      <c r="CN523" s="222"/>
      <c r="CO523" s="222"/>
      <c r="CP523" s="222"/>
      <c r="CQ523" s="222"/>
      <c r="CR523" s="222"/>
      <c r="CS523" s="222"/>
    </row>
    <row r="524">
      <c r="A524" s="43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  <c r="AC524" s="222"/>
      <c r="AD524" s="222"/>
      <c r="AE524" s="222"/>
      <c r="AF524" s="222"/>
      <c r="AG524" s="222"/>
      <c r="AH524" s="222"/>
      <c r="AI524" s="222"/>
      <c r="AJ524" s="222"/>
      <c r="AK524" s="222"/>
      <c r="AL524" s="222"/>
      <c r="AM524" s="222"/>
      <c r="AN524" s="222"/>
      <c r="AO524" s="222"/>
      <c r="AP524" s="222"/>
      <c r="AQ524" s="222"/>
      <c r="AR524" s="222"/>
      <c r="AS524" s="222"/>
      <c r="AT524" s="222"/>
      <c r="AU524" s="222"/>
      <c r="AV524" s="222"/>
      <c r="AW524" s="222"/>
      <c r="AX524" s="222"/>
      <c r="AY524" s="222"/>
      <c r="AZ524" s="222"/>
      <c r="BA524" s="222"/>
      <c r="BB524" s="222"/>
      <c r="BC524" s="222"/>
      <c r="BD524" s="222"/>
      <c r="BE524" s="222"/>
      <c r="BF524" s="222"/>
      <c r="BG524" s="222"/>
      <c r="BH524" s="222"/>
      <c r="BI524" s="222"/>
      <c r="BJ524" s="222"/>
      <c r="BK524" s="222"/>
      <c r="BL524" s="222"/>
      <c r="BM524" s="222"/>
      <c r="BN524" s="222"/>
      <c r="BO524" s="222"/>
      <c r="BP524" s="222"/>
      <c r="BQ524" s="222"/>
      <c r="BR524" s="222"/>
      <c r="BS524" s="222"/>
      <c r="BT524" s="222"/>
      <c r="BU524" s="222"/>
      <c r="BV524" s="222"/>
      <c r="BW524" s="222"/>
      <c r="BX524" s="222"/>
      <c r="BY524" s="222"/>
      <c r="BZ524" s="222"/>
      <c r="CA524" s="222"/>
      <c r="CB524" s="222"/>
      <c r="CC524" s="222"/>
      <c r="CD524" s="222"/>
      <c r="CE524" s="222"/>
      <c r="CF524" s="222"/>
      <c r="CG524" s="222"/>
      <c r="CH524" s="222"/>
      <c r="CI524" s="222"/>
      <c r="CJ524" s="222"/>
      <c r="CK524" s="222"/>
      <c r="CL524" s="222"/>
      <c r="CM524" s="222"/>
      <c r="CN524" s="222"/>
      <c r="CO524" s="222"/>
      <c r="CP524" s="222"/>
      <c r="CQ524" s="222"/>
      <c r="CR524" s="222"/>
      <c r="CS524" s="222"/>
    </row>
    <row r="525">
      <c r="A525" s="43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  <c r="AC525" s="222"/>
      <c r="AD525" s="222"/>
      <c r="AE525" s="222"/>
      <c r="AF525" s="222"/>
      <c r="AG525" s="222"/>
      <c r="AH525" s="222"/>
      <c r="AI525" s="222"/>
      <c r="AJ525" s="222"/>
      <c r="AK525" s="222"/>
      <c r="AL525" s="222"/>
      <c r="AM525" s="222"/>
      <c r="AN525" s="222"/>
      <c r="AO525" s="222"/>
      <c r="AP525" s="222"/>
      <c r="AQ525" s="222"/>
      <c r="AR525" s="222"/>
      <c r="AS525" s="222"/>
      <c r="AT525" s="222"/>
      <c r="AU525" s="222"/>
      <c r="AV525" s="222"/>
      <c r="AW525" s="222"/>
      <c r="AX525" s="222"/>
      <c r="AY525" s="222"/>
      <c r="AZ525" s="222"/>
      <c r="BA525" s="222"/>
      <c r="BB525" s="222"/>
      <c r="BC525" s="222"/>
      <c r="BD525" s="222"/>
      <c r="BE525" s="222"/>
      <c r="BF525" s="222"/>
      <c r="BG525" s="222"/>
      <c r="BH525" s="222"/>
      <c r="BI525" s="222"/>
      <c r="BJ525" s="222"/>
      <c r="BK525" s="222"/>
      <c r="BL525" s="222"/>
      <c r="BM525" s="222"/>
      <c r="BN525" s="222"/>
      <c r="BO525" s="222"/>
      <c r="BP525" s="222"/>
      <c r="BQ525" s="222"/>
      <c r="BR525" s="222"/>
      <c r="BS525" s="222"/>
      <c r="BT525" s="222"/>
      <c r="BU525" s="222"/>
      <c r="BV525" s="222"/>
      <c r="BW525" s="222"/>
      <c r="BX525" s="222"/>
      <c r="BY525" s="222"/>
      <c r="BZ525" s="222"/>
      <c r="CA525" s="222"/>
      <c r="CB525" s="222"/>
      <c r="CC525" s="222"/>
      <c r="CD525" s="222"/>
      <c r="CE525" s="222"/>
      <c r="CF525" s="222"/>
      <c r="CG525" s="222"/>
      <c r="CH525" s="222"/>
      <c r="CI525" s="222"/>
      <c r="CJ525" s="222"/>
      <c r="CK525" s="222"/>
      <c r="CL525" s="222"/>
      <c r="CM525" s="222"/>
      <c r="CN525" s="222"/>
      <c r="CO525" s="222"/>
      <c r="CP525" s="222"/>
      <c r="CQ525" s="222"/>
      <c r="CR525" s="222"/>
      <c r="CS525" s="222"/>
    </row>
    <row r="526">
      <c r="A526" s="43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  <c r="AC526" s="222"/>
      <c r="AD526" s="222"/>
      <c r="AE526" s="222"/>
      <c r="AF526" s="222"/>
      <c r="AG526" s="222"/>
      <c r="AH526" s="222"/>
      <c r="AI526" s="222"/>
      <c r="AJ526" s="222"/>
      <c r="AK526" s="222"/>
      <c r="AL526" s="222"/>
      <c r="AM526" s="222"/>
      <c r="AN526" s="222"/>
      <c r="AO526" s="222"/>
      <c r="AP526" s="222"/>
      <c r="AQ526" s="222"/>
      <c r="AR526" s="222"/>
      <c r="AS526" s="222"/>
      <c r="AT526" s="222"/>
      <c r="AU526" s="222"/>
      <c r="AV526" s="222"/>
      <c r="AW526" s="222"/>
      <c r="AX526" s="222"/>
      <c r="AY526" s="222"/>
      <c r="AZ526" s="222"/>
      <c r="BA526" s="222"/>
      <c r="BB526" s="222"/>
      <c r="BC526" s="222"/>
      <c r="BD526" s="222"/>
      <c r="BE526" s="222"/>
      <c r="BF526" s="222"/>
      <c r="BG526" s="222"/>
      <c r="BH526" s="222"/>
      <c r="BI526" s="222"/>
      <c r="BJ526" s="222"/>
      <c r="BK526" s="222"/>
      <c r="BL526" s="222"/>
      <c r="BM526" s="222"/>
      <c r="BN526" s="222"/>
      <c r="BO526" s="222"/>
      <c r="BP526" s="222"/>
      <c r="BQ526" s="222"/>
      <c r="BR526" s="222"/>
      <c r="BS526" s="222"/>
      <c r="BT526" s="222"/>
      <c r="BU526" s="222"/>
      <c r="BV526" s="222"/>
      <c r="BW526" s="222"/>
      <c r="BX526" s="222"/>
      <c r="BY526" s="222"/>
      <c r="BZ526" s="222"/>
      <c r="CA526" s="222"/>
      <c r="CB526" s="222"/>
      <c r="CC526" s="222"/>
      <c r="CD526" s="222"/>
      <c r="CE526" s="222"/>
      <c r="CF526" s="222"/>
      <c r="CG526" s="222"/>
      <c r="CH526" s="222"/>
      <c r="CI526" s="222"/>
      <c r="CJ526" s="222"/>
      <c r="CK526" s="222"/>
      <c r="CL526" s="222"/>
      <c r="CM526" s="222"/>
      <c r="CN526" s="222"/>
      <c r="CO526" s="222"/>
      <c r="CP526" s="222"/>
      <c r="CQ526" s="222"/>
      <c r="CR526" s="222"/>
      <c r="CS526" s="222"/>
    </row>
    <row r="527">
      <c r="A527" s="43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  <c r="AC527" s="222"/>
      <c r="AD527" s="222"/>
      <c r="AE527" s="222"/>
      <c r="AF527" s="222"/>
      <c r="AG527" s="222"/>
      <c r="AH527" s="222"/>
      <c r="AI527" s="222"/>
      <c r="AJ527" s="222"/>
      <c r="AK527" s="222"/>
      <c r="AL527" s="222"/>
      <c r="AM527" s="222"/>
      <c r="AN527" s="222"/>
      <c r="AO527" s="222"/>
      <c r="AP527" s="222"/>
      <c r="AQ527" s="222"/>
      <c r="AR527" s="222"/>
      <c r="AS527" s="222"/>
      <c r="AT527" s="222"/>
      <c r="AU527" s="222"/>
      <c r="AV527" s="222"/>
      <c r="AW527" s="222"/>
      <c r="AX527" s="222"/>
      <c r="AY527" s="222"/>
      <c r="AZ527" s="222"/>
      <c r="BA527" s="222"/>
      <c r="BB527" s="222"/>
      <c r="BC527" s="222"/>
      <c r="BD527" s="222"/>
      <c r="BE527" s="222"/>
      <c r="BF527" s="222"/>
      <c r="BG527" s="222"/>
      <c r="BH527" s="222"/>
      <c r="BI527" s="222"/>
      <c r="BJ527" s="222"/>
      <c r="BK527" s="222"/>
      <c r="BL527" s="222"/>
      <c r="BM527" s="222"/>
      <c r="BN527" s="222"/>
      <c r="BO527" s="222"/>
      <c r="BP527" s="222"/>
      <c r="BQ527" s="222"/>
      <c r="BR527" s="222"/>
      <c r="BS527" s="222"/>
      <c r="BT527" s="222"/>
      <c r="BU527" s="222"/>
      <c r="BV527" s="222"/>
      <c r="BW527" s="222"/>
      <c r="BX527" s="222"/>
      <c r="BY527" s="222"/>
      <c r="BZ527" s="222"/>
      <c r="CA527" s="222"/>
      <c r="CB527" s="222"/>
      <c r="CC527" s="222"/>
      <c r="CD527" s="222"/>
      <c r="CE527" s="222"/>
      <c r="CF527" s="222"/>
      <c r="CG527" s="222"/>
      <c r="CH527" s="222"/>
      <c r="CI527" s="222"/>
      <c r="CJ527" s="222"/>
      <c r="CK527" s="222"/>
      <c r="CL527" s="222"/>
      <c r="CM527" s="222"/>
      <c r="CN527" s="222"/>
      <c r="CO527" s="222"/>
      <c r="CP527" s="222"/>
      <c r="CQ527" s="222"/>
      <c r="CR527" s="222"/>
      <c r="CS527" s="222"/>
    </row>
    <row r="528">
      <c r="A528" s="43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  <c r="AC528" s="222"/>
      <c r="AD528" s="222"/>
      <c r="AE528" s="222"/>
      <c r="AF528" s="222"/>
      <c r="AG528" s="222"/>
      <c r="AH528" s="222"/>
      <c r="AI528" s="222"/>
      <c r="AJ528" s="222"/>
      <c r="AK528" s="222"/>
      <c r="AL528" s="222"/>
      <c r="AM528" s="222"/>
      <c r="AN528" s="222"/>
      <c r="AO528" s="222"/>
      <c r="AP528" s="222"/>
      <c r="AQ528" s="222"/>
      <c r="AR528" s="222"/>
      <c r="AS528" s="222"/>
      <c r="AT528" s="222"/>
      <c r="AU528" s="222"/>
      <c r="AV528" s="222"/>
      <c r="AW528" s="222"/>
      <c r="AX528" s="222"/>
      <c r="AY528" s="222"/>
      <c r="AZ528" s="222"/>
      <c r="BA528" s="222"/>
      <c r="BB528" s="222"/>
      <c r="BC528" s="222"/>
      <c r="BD528" s="222"/>
      <c r="BE528" s="222"/>
      <c r="BF528" s="222"/>
      <c r="BG528" s="222"/>
      <c r="BH528" s="222"/>
      <c r="BI528" s="222"/>
      <c r="BJ528" s="222"/>
      <c r="BK528" s="222"/>
      <c r="BL528" s="222"/>
      <c r="BM528" s="222"/>
      <c r="BN528" s="222"/>
      <c r="BO528" s="222"/>
      <c r="BP528" s="222"/>
      <c r="BQ528" s="222"/>
      <c r="BR528" s="222"/>
      <c r="BS528" s="222"/>
      <c r="BT528" s="222"/>
      <c r="BU528" s="222"/>
      <c r="BV528" s="222"/>
      <c r="BW528" s="222"/>
      <c r="BX528" s="222"/>
      <c r="BY528" s="222"/>
      <c r="BZ528" s="222"/>
      <c r="CA528" s="222"/>
      <c r="CB528" s="222"/>
      <c r="CC528" s="222"/>
      <c r="CD528" s="222"/>
      <c r="CE528" s="222"/>
      <c r="CF528" s="222"/>
      <c r="CG528" s="222"/>
      <c r="CH528" s="222"/>
      <c r="CI528" s="222"/>
      <c r="CJ528" s="222"/>
      <c r="CK528" s="222"/>
      <c r="CL528" s="222"/>
      <c r="CM528" s="222"/>
      <c r="CN528" s="222"/>
      <c r="CO528" s="222"/>
      <c r="CP528" s="222"/>
      <c r="CQ528" s="222"/>
      <c r="CR528" s="222"/>
      <c r="CS528" s="222"/>
    </row>
    <row r="529">
      <c r="A529" s="43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  <c r="AC529" s="222"/>
      <c r="AD529" s="222"/>
      <c r="AE529" s="222"/>
      <c r="AF529" s="222"/>
      <c r="AG529" s="222"/>
      <c r="AH529" s="222"/>
      <c r="AI529" s="222"/>
      <c r="AJ529" s="222"/>
      <c r="AK529" s="222"/>
      <c r="AL529" s="222"/>
      <c r="AM529" s="222"/>
      <c r="AN529" s="222"/>
      <c r="AO529" s="222"/>
      <c r="AP529" s="222"/>
      <c r="AQ529" s="222"/>
      <c r="AR529" s="222"/>
      <c r="AS529" s="222"/>
      <c r="AT529" s="222"/>
      <c r="AU529" s="222"/>
      <c r="AV529" s="222"/>
      <c r="AW529" s="222"/>
      <c r="AX529" s="222"/>
      <c r="AY529" s="222"/>
      <c r="AZ529" s="222"/>
      <c r="BA529" s="222"/>
      <c r="BB529" s="222"/>
      <c r="BC529" s="222"/>
      <c r="BD529" s="222"/>
      <c r="BE529" s="222"/>
      <c r="BF529" s="222"/>
      <c r="BG529" s="222"/>
      <c r="BH529" s="222"/>
      <c r="BI529" s="222"/>
      <c r="BJ529" s="222"/>
      <c r="BK529" s="222"/>
      <c r="BL529" s="222"/>
      <c r="BM529" s="222"/>
      <c r="BN529" s="222"/>
      <c r="BO529" s="222"/>
      <c r="BP529" s="222"/>
      <c r="BQ529" s="222"/>
      <c r="BR529" s="222"/>
      <c r="BS529" s="222"/>
      <c r="BT529" s="222"/>
      <c r="BU529" s="222"/>
      <c r="BV529" s="222"/>
      <c r="BW529" s="222"/>
      <c r="BX529" s="222"/>
      <c r="BY529" s="222"/>
      <c r="BZ529" s="222"/>
      <c r="CA529" s="222"/>
      <c r="CB529" s="222"/>
      <c r="CC529" s="222"/>
      <c r="CD529" s="222"/>
      <c r="CE529" s="222"/>
      <c r="CF529" s="222"/>
      <c r="CG529" s="222"/>
      <c r="CH529" s="222"/>
      <c r="CI529" s="222"/>
      <c r="CJ529" s="222"/>
      <c r="CK529" s="222"/>
      <c r="CL529" s="222"/>
      <c r="CM529" s="222"/>
      <c r="CN529" s="222"/>
      <c r="CO529" s="222"/>
      <c r="CP529" s="222"/>
      <c r="CQ529" s="222"/>
      <c r="CR529" s="222"/>
      <c r="CS529" s="222"/>
    </row>
    <row r="530">
      <c r="A530" s="43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2"/>
      <c r="AG530" s="222"/>
      <c r="AH530" s="222"/>
      <c r="AI530" s="222"/>
      <c r="AJ530" s="222"/>
      <c r="AK530" s="222"/>
      <c r="AL530" s="222"/>
      <c r="AM530" s="222"/>
      <c r="AN530" s="222"/>
      <c r="AO530" s="222"/>
      <c r="AP530" s="222"/>
      <c r="AQ530" s="222"/>
      <c r="AR530" s="222"/>
      <c r="AS530" s="222"/>
      <c r="AT530" s="222"/>
      <c r="AU530" s="222"/>
      <c r="AV530" s="222"/>
      <c r="AW530" s="222"/>
      <c r="AX530" s="222"/>
      <c r="AY530" s="222"/>
      <c r="AZ530" s="222"/>
      <c r="BA530" s="222"/>
      <c r="BB530" s="222"/>
      <c r="BC530" s="222"/>
      <c r="BD530" s="222"/>
      <c r="BE530" s="222"/>
      <c r="BF530" s="222"/>
      <c r="BG530" s="222"/>
      <c r="BH530" s="222"/>
      <c r="BI530" s="222"/>
      <c r="BJ530" s="222"/>
      <c r="BK530" s="222"/>
      <c r="BL530" s="222"/>
      <c r="BM530" s="222"/>
      <c r="BN530" s="222"/>
      <c r="BO530" s="222"/>
      <c r="BP530" s="222"/>
      <c r="BQ530" s="222"/>
      <c r="BR530" s="222"/>
      <c r="BS530" s="222"/>
      <c r="BT530" s="222"/>
      <c r="BU530" s="222"/>
      <c r="BV530" s="222"/>
      <c r="BW530" s="222"/>
      <c r="BX530" s="222"/>
      <c r="BY530" s="222"/>
      <c r="BZ530" s="222"/>
      <c r="CA530" s="222"/>
      <c r="CB530" s="222"/>
      <c r="CC530" s="222"/>
      <c r="CD530" s="222"/>
      <c r="CE530" s="222"/>
      <c r="CF530" s="222"/>
      <c r="CG530" s="222"/>
      <c r="CH530" s="222"/>
      <c r="CI530" s="222"/>
      <c r="CJ530" s="222"/>
      <c r="CK530" s="222"/>
      <c r="CL530" s="222"/>
      <c r="CM530" s="222"/>
      <c r="CN530" s="222"/>
      <c r="CO530" s="222"/>
      <c r="CP530" s="222"/>
      <c r="CQ530" s="222"/>
      <c r="CR530" s="222"/>
      <c r="CS530" s="222"/>
    </row>
    <row r="531">
      <c r="A531" s="43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  <c r="AC531" s="222"/>
      <c r="AD531" s="222"/>
      <c r="AE531" s="222"/>
      <c r="AF531" s="222"/>
      <c r="AG531" s="222"/>
      <c r="AH531" s="222"/>
      <c r="AI531" s="222"/>
      <c r="AJ531" s="222"/>
      <c r="AK531" s="222"/>
      <c r="AL531" s="222"/>
      <c r="AM531" s="222"/>
      <c r="AN531" s="222"/>
      <c r="AO531" s="222"/>
      <c r="AP531" s="222"/>
      <c r="AQ531" s="222"/>
      <c r="AR531" s="222"/>
      <c r="AS531" s="222"/>
      <c r="AT531" s="222"/>
      <c r="AU531" s="222"/>
      <c r="AV531" s="222"/>
      <c r="AW531" s="222"/>
      <c r="AX531" s="222"/>
      <c r="AY531" s="222"/>
      <c r="AZ531" s="222"/>
      <c r="BA531" s="222"/>
      <c r="BB531" s="222"/>
      <c r="BC531" s="222"/>
      <c r="BD531" s="222"/>
      <c r="BE531" s="222"/>
      <c r="BF531" s="222"/>
      <c r="BG531" s="222"/>
      <c r="BH531" s="222"/>
      <c r="BI531" s="222"/>
      <c r="BJ531" s="222"/>
      <c r="BK531" s="222"/>
      <c r="BL531" s="222"/>
      <c r="BM531" s="222"/>
      <c r="BN531" s="222"/>
      <c r="BO531" s="222"/>
      <c r="BP531" s="222"/>
      <c r="BQ531" s="222"/>
      <c r="BR531" s="222"/>
      <c r="BS531" s="222"/>
      <c r="BT531" s="222"/>
      <c r="BU531" s="222"/>
      <c r="BV531" s="222"/>
      <c r="BW531" s="222"/>
      <c r="BX531" s="222"/>
      <c r="BY531" s="222"/>
      <c r="BZ531" s="222"/>
      <c r="CA531" s="222"/>
      <c r="CB531" s="222"/>
      <c r="CC531" s="222"/>
      <c r="CD531" s="222"/>
      <c r="CE531" s="222"/>
      <c r="CF531" s="222"/>
      <c r="CG531" s="222"/>
      <c r="CH531" s="222"/>
      <c r="CI531" s="222"/>
      <c r="CJ531" s="222"/>
      <c r="CK531" s="222"/>
      <c r="CL531" s="222"/>
      <c r="CM531" s="222"/>
      <c r="CN531" s="222"/>
      <c r="CO531" s="222"/>
      <c r="CP531" s="222"/>
      <c r="CQ531" s="222"/>
      <c r="CR531" s="222"/>
      <c r="CS531" s="222"/>
    </row>
    <row r="532">
      <c r="A532" s="43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  <c r="AC532" s="222"/>
      <c r="AD532" s="222"/>
      <c r="AE532" s="222"/>
      <c r="AF532" s="222"/>
      <c r="AG532" s="222"/>
      <c r="AH532" s="222"/>
      <c r="AI532" s="222"/>
      <c r="AJ532" s="222"/>
      <c r="AK532" s="222"/>
      <c r="AL532" s="222"/>
      <c r="AM532" s="222"/>
      <c r="AN532" s="222"/>
      <c r="AO532" s="222"/>
      <c r="AP532" s="222"/>
      <c r="AQ532" s="222"/>
      <c r="AR532" s="222"/>
      <c r="AS532" s="222"/>
      <c r="AT532" s="222"/>
      <c r="AU532" s="222"/>
      <c r="AV532" s="222"/>
      <c r="AW532" s="222"/>
      <c r="AX532" s="222"/>
      <c r="AY532" s="222"/>
      <c r="AZ532" s="222"/>
      <c r="BA532" s="222"/>
      <c r="BB532" s="222"/>
      <c r="BC532" s="222"/>
      <c r="BD532" s="222"/>
      <c r="BE532" s="222"/>
      <c r="BF532" s="222"/>
      <c r="BG532" s="222"/>
      <c r="BH532" s="222"/>
      <c r="BI532" s="222"/>
      <c r="BJ532" s="222"/>
      <c r="BK532" s="222"/>
      <c r="BL532" s="222"/>
      <c r="BM532" s="222"/>
      <c r="BN532" s="222"/>
      <c r="BO532" s="222"/>
      <c r="BP532" s="222"/>
      <c r="BQ532" s="222"/>
      <c r="BR532" s="222"/>
      <c r="BS532" s="222"/>
      <c r="BT532" s="222"/>
      <c r="BU532" s="222"/>
      <c r="BV532" s="222"/>
      <c r="BW532" s="222"/>
      <c r="BX532" s="222"/>
      <c r="BY532" s="222"/>
      <c r="BZ532" s="222"/>
      <c r="CA532" s="222"/>
      <c r="CB532" s="222"/>
      <c r="CC532" s="222"/>
      <c r="CD532" s="222"/>
      <c r="CE532" s="222"/>
      <c r="CF532" s="222"/>
      <c r="CG532" s="222"/>
      <c r="CH532" s="222"/>
      <c r="CI532" s="222"/>
      <c r="CJ532" s="222"/>
      <c r="CK532" s="222"/>
      <c r="CL532" s="222"/>
      <c r="CM532" s="222"/>
      <c r="CN532" s="222"/>
      <c r="CO532" s="222"/>
      <c r="CP532" s="222"/>
      <c r="CQ532" s="222"/>
      <c r="CR532" s="222"/>
      <c r="CS532" s="222"/>
    </row>
    <row r="533">
      <c r="A533" s="43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  <c r="AC533" s="222"/>
      <c r="AD533" s="222"/>
      <c r="AE533" s="222"/>
      <c r="AF533" s="222"/>
      <c r="AG533" s="222"/>
      <c r="AH533" s="222"/>
      <c r="AI533" s="222"/>
      <c r="AJ533" s="222"/>
      <c r="AK533" s="222"/>
      <c r="AL533" s="222"/>
      <c r="AM533" s="222"/>
      <c r="AN533" s="222"/>
      <c r="AO533" s="222"/>
      <c r="AP533" s="222"/>
      <c r="AQ533" s="222"/>
      <c r="AR533" s="222"/>
      <c r="AS533" s="222"/>
      <c r="AT533" s="222"/>
      <c r="AU533" s="222"/>
      <c r="AV533" s="222"/>
      <c r="AW533" s="222"/>
      <c r="AX533" s="222"/>
      <c r="AY533" s="222"/>
      <c r="AZ533" s="222"/>
      <c r="BA533" s="222"/>
      <c r="BB533" s="222"/>
      <c r="BC533" s="222"/>
      <c r="BD533" s="222"/>
      <c r="BE533" s="222"/>
      <c r="BF533" s="222"/>
      <c r="BG533" s="222"/>
      <c r="BH533" s="222"/>
      <c r="BI533" s="222"/>
      <c r="BJ533" s="222"/>
      <c r="BK533" s="222"/>
      <c r="BL533" s="222"/>
      <c r="BM533" s="222"/>
      <c r="BN533" s="222"/>
      <c r="BO533" s="222"/>
      <c r="BP533" s="222"/>
      <c r="BQ533" s="222"/>
      <c r="BR533" s="222"/>
      <c r="BS533" s="222"/>
      <c r="BT533" s="222"/>
      <c r="BU533" s="222"/>
      <c r="BV533" s="222"/>
      <c r="BW533" s="222"/>
      <c r="BX533" s="222"/>
      <c r="BY533" s="222"/>
      <c r="BZ533" s="222"/>
      <c r="CA533" s="222"/>
      <c r="CB533" s="222"/>
      <c r="CC533" s="222"/>
      <c r="CD533" s="222"/>
      <c r="CE533" s="222"/>
      <c r="CF533" s="222"/>
      <c r="CG533" s="222"/>
      <c r="CH533" s="222"/>
      <c r="CI533" s="222"/>
      <c r="CJ533" s="222"/>
      <c r="CK533" s="222"/>
      <c r="CL533" s="222"/>
      <c r="CM533" s="222"/>
      <c r="CN533" s="222"/>
      <c r="CO533" s="222"/>
      <c r="CP533" s="222"/>
      <c r="CQ533" s="222"/>
      <c r="CR533" s="222"/>
      <c r="CS533" s="222"/>
    </row>
    <row r="534">
      <c r="A534" s="43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  <c r="AC534" s="222"/>
      <c r="AD534" s="222"/>
      <c r="AE534" s="222"/>
      <c r="AF534" s="222"/>
      <c r="AG534" s="222"/>
      <c r="AH534" s="222"/>
      <c r="AI534" s="222"/>
      <c r="AJ534" s="222"/>
      <c r="AK534" s="222"/>
      <c r="AL534" s="222"/>
      <c r="AM534" s="222"/>
      <c r="AN534" s="222"/>
      <c r="AO534" s="222"/>
      <c r="AP534" s="222"/>
      <c r="AQ534" s="222"/>
      <c r="AR534" s="222"/>
      <c r="AS534" s="222"/>
      <c r="AT534" s="222"/>
      <c r="AU534" s="222"/>
      <c r="AV534" s="222"/>
      <c r="AW534" s="222"/>
      <c r="AX534" s="222"/>
      <c r="AY534" s="222"/>
      <c r="AZ534" s="222"/>
      <c r="BA534" s="222"/>
      <c r="BB534" s="222"/>
      <c r="BC534" s="222"/>
      <c r="BD534" s="222"/>
      <c r="BE534" s="222"/>
      <c r="BF534" s="222"/>
      <c r="BG534" s="222"/>
      <c r="BH534" s="222"/>
      <c r="BI534" s="222"/>
      <c r="BJ534" s="222"/>
      <c r="BK534" s="222"/>
      <c r="BL534" s="222"/>
      <c r="BM534" s="222"/>
      <c r="BN534" s="222"/>
      <c r="BO534" s="222"/>
      <c r="BP534" s="222"/>
      <c r="BQ534" s="222"/>
      <c r="BR534" s="222"/>
      <c r="BS534" s="222"/>
      <c r="BT534" s="222"/>
      <c r="BU534" s="222"/>
      <c r="BV534" s="222"/>
      <c r="BW534" s="222"/>
      <c r="BX534" s="222"/>
      <c r="BY534" s="222"/>
      <c r="BZ534" s="222"/>
      <c r="CA534" s="222"/>
      <c r="CB534" s="222"/>
      <c r="CC534" s="222"/>
      <c r="CD534" s="222"/>
      <c r="CE534" s="222"/>
      <c r="CF534" s="222"/>
      <c r="CG534" s="222"/>
      <c r="CH534" s="222"/>
      <c r="CI534" s="222"/>
      <c r="CJ534" s="222"/>
      <c r="CK534" s="222"/>
      <c r="CL534" s="222"/>
      <c r="CM534" s="222"/>
      <c r="CN534" s="222"/>
      <c r="CO534" s="222"/>
      <c r="CP534" s="222"/>
      <c r="CQ534" s="222"/>
      <c r="CR534" s="222"/>
      <c r="CS534" s="222"/>
    </row>
    <row r="535">
      <c r="A535" s="43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  <c r="AC535" s="222"/>
      <c r="AD535" s="222"/>
      <c r="AE535" s="222"/>
      <c r="AF535" s="222"/>
      <c r="AG535" s="222"/>
      <c r="AH535" s="222"/>
      <c r="AI535" s="222"/>
      <c r="AJ535" s="222"/>
      <c r="AK535" s="222"/>
      <c r="AL535" s="222"/>
      <c r="AM535" s="222"/>
      <c r="AN535" s="222"/>
      <c r="AO535" s="222"/>
      <c r="AP535" s="222"/>
      <c r="AQ535" s="222"/>
      <c r="AR535" s="222"/>
      <c r="AS535" s="222"/>
      <c r="AT535" s="222"/>
      <c r="AU535" s="222"/>
      <c r="AV535" s="222"/>
      <c r="AW535" s="222"/>
      <c r="AX535" s="222"/>
      <c r="AY535" s="222"/>
      <c r="AZ535" s="222"/>
      <c r="BA535" s="222"/>
      <c r="BB535" s="222"/>
      <c r="BC535" s="222"/>
      <c r="BD535" s="222"/>
      <c r="BE535" s="222"/>
      <c r="BF535" s="222"/>
      <c r="BG535" s="222"/>
      <c r="BH535" s="222"/>
      <c r="BI535" s="222"/>
      <c r="BJ535" s="222"/>
      <c r="BK535" s="222"/>
      <c r="BL535" s="222"/>
      <c r="BM535" s="222"/>
      <c r="BN535" s="222"/>
      <c r="BO535" s="222"/>
      <c r="BP535" s="222"/>
      <c r="BQ535" s="222"/>
      <c r="BR535" s="222"/>
      <c r="BS535" s="222"/>
      <c r="BT535" s="222"/>
      <c r="BU535" s="222"/>
      <c r="BV535" s="222"/>
      <c r="BW535" s="222"/>
      <c r="BX535" s="222"/>
      <c r="BY535" s="222"/>
      <c r="BZ535" s="222"/>
      <c r="CA535" s="222"/>
      <c r="CB535" s="222"/>
      <c r="CC535" s="222"/>
      <c r="CD535" s="222"/>
      <c r="CE535" s="222"/>
      <c r="CF535" s="222"/>
      <c r="CG535" s="222"/>
      <c r="CH535" s="222"/>
      <c r="CI535" s="222"/>
      <c r="CJ535" s="222"/>
      <c r="CK535" s="222"/>
      <c r="CL535" s="222"/>
      <c r="CM535" s="222"/>
      <c r="CN535" s="222"/>
      <c r="CO535" s="222"/>
      <c r="CP535" s="222"/>
      <c r="CQ535" s="222"/>
      <c r="CR535" s="222"/>
      <c r="CS535" s="222"/>
    </row>
    <row r="536">
      <c r="A536" s="43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  <c r="AC536" s="222"/>
      <c r="AD536" s="222"/>
      <c r="AE536" s="222"/>
      <c r="AF536" s="222"/>
      <c r="AG536" s="222"/>
      <c r="AH536" s="222"/>
      <c r="AI536" s="222"/>
      <c r="AJ536" s="222"/>
      <c r="AK536" s="222"/>
      <c r="AL536" s="222"/>
      <c r="AM536" s="222"/>
      <c r="AN536" s="222"/>
      <c r="AO536" s="222"/>
      <c r="AP536" s="222"/>
      <c r="AQ536" s="222"/>
      <c r="AR536" s="222"/>
      <c r="AS536" s="222"/>
      <c r="AT536" s="222"/>
      <c r="AU536" s="222"/>
      <c r="AV536" s="222"/>
      <c r="AW536" s="222"/>
      <c r="AX536" s="222"/>
      <c r="AY536" s="222"/>
      <c r="AZ536" s="222"/>
      <c r="BA536" s="222"/>
      <c r="BB536" s="222"/>
      <c r="BC536" s="222"/>
      <c r="BD536" s="222"/>
      <c r="BE536" s="222"/>
      <c r="BF536" s="222"/>
      <c r="BG536" s="222"/>
      <c r="BH536" s="222"/>
      <c r="BI536" s="222"/>
      <c r="BJ536" s="222"/>
      <c r="BK536" s="222"/>
      <c r="BL536" s="222"/>
      <c r="BM536" s="222"/>
      <c r="BN536" s="222"/>
      <c r="BO536" s="222"/>
      <c r="BP536" s="222"/>
      <c r="BQ536" s="222"/>
      <c r="BR536" s="222"/>
      <c r="BS536" s="222"/>
      <c r="BT536" s="222"/>
      <c r="BU536" s="222"/>
      <c r="BV536" s="222"/>
      <c r="BW536" s="222"/>
      <c r="BX536" s="222"/>
      <c r="BY536" s="222"/>
      <c r="BZ536" s="222"/>
      <c r="CA536" s="222"/>
      <c r="CB536" s="222"/>
      <c r="CC536" s="222"/>
      <c r="CD536" s="222"/>
      <c r="CE536" s="222"/>
      <c r="CF536" s="222"/>
      <c r="CG536" s="222"/>
      <c r="CH536" s="222"/>
      <c r="CI536" s="222"/>
      <c r="CJ536" s="222"/>
      <c r="CK536" s="222"/>
      <c r="CL536" s="222"/>
      <c r="CM536" s="222"/>
      <c r="CN536" s="222"/>
      <c r="CO536" s="222"/>
      <c r="CP536" s="222"/>
      <c r="CQ536" s="222"/>
      <c r="CR536" s="222"/>
      <c r="CS536" s="222"/>
    </row>
    <row r="537">
      <c r="A537" s="43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  <c r="AC537" s="222"/>
      <c r="AD537" s="222"/>
      <c r="AE537" s="222"/>
      <c r="AF537" s="222"/>
      <c r="AG537" s="222"/>
      <c r="AH537" s="222"/>
      <c r="AI537" s="222"/>
      <c r="AJ537" s="222"/>
      <c r="AK537" s="222"/>
      <c r="AL537" s="222"/>
      <c r="AM537" s="222"/>
      <c r="AN537" s="222"/>
      <c r="AO537" s="222"/>
      <c r="AP537" s="222"/>
      <c r="AQ537" s="222"/>
      <c r="AR537" s="222"/>
      <c r="AS537" s="222"/>
      <c r="AT537" s="222"/>
      <c r="AU537" s="222"/>
      <c r="AV537" s="222"/>
      <c r="AW537" s="222"/>
      <c r="AX537" s="222"/>
      <c r="AY537" s="222"/>
      <c r="AZ537" s="222"/>
      <c r="BA537" s="222"/>
      <c r="BB537" s="222"/>
      <c r="BC537" s="222"/>
      <c r="BD537" s="222"/>
      <c r="BE537" s="222"/>
      <c r="BF537" s="222"/>
      <c r="BG537" s="222"/>
      <c r="BH537" s="222"/>
      <c r="BI537" s="222"/>
      <c r="BJ537" s="222"/>
      <c r="BK537" s="222"/>
      <c r="BL537" s="222"/>
      <c r="BM537" s="222"/>
      <c r="BN537" s="222"/>
      <c r="BO537" s="222"/>
      <c r="BP537" s="222"/>
      <c r="BQ537" s="222"/>
      <c r="BR537" s="222"/>
      <c r="BS537" s="222"/>
      <c r="BT537" s="222"/>
      <c r="BU537" s="222"/>
      <c r="BV537" s="222"/>
      <c r="BW537" s="222"/>
      <c r="BX537" s="222"/>
      <c r="BY537" s="222"/>
      <c r="BZ537" s="222"/>
      <c r="CA537" s="222"/>
      <c r="CB537" s="222"/>
      <c r="CC537" s="222"/>
      <c r="CD537" s="222"/>
      <c r="CE537" s="222"/>
      <c r="CF537" s="222"/>
      <c r="CG537" s="222"/>
      <c r="CH537" s="222"/>
      <c r="CI537" s="222"/>
      <c r="CJ537" s="222"/>
      <c r="CK537" s="222"/>
      <c r="CL537" s="222"/>
      <c r="CM537" s="222"/>
      <c r="CN537" s="222"/>
      <c r="CO537" s="222"/>
      <c r="CP537" s="222"/>
      <c r="CQ537" s="222"/>
      <c r="CR537" s="222"/>
      <c r="CS537" s="222"/>
    </row>
    <row r="538">
      <c r="A538" s="43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  <c r="AC538" s="222"/>
      <c r="AD538" s="222"/>
      <c r="AE538" s="222"/>
      <c r="AF538" s="222"/>
      <c r="AG538" s="222"/>
      <c r="AH538" s="222"/>
      <c r="AI538" s="222"/>
      <c r="AJ538" s="222"/>
      <c r="AK538" s="222"/>
      <c r="AL538" s="222"/>
      <c r="AM538" s="222"/>
      <c r="AN538" s="222"/>
      <c r="AO538" s="222"/>
      <c r="AP538" s="222"/>
      <c r="AQ538" s="222"/>
      <c r="AR538" s="222"/>
      <c r="AS538" s="222"/>
      <c r="AT538" s="222"/>
      <c r="AU538" s="222"/>
      <c r="AV538" s="222"/>
      <c r="AW538" s="222"/>
      <c r="AX538" s="222"/>
      <c r="AY538" s="222"/>
      <c r="AZ538" s="222"/>
      <c r="BA538" s="222"/>
      <c r="BB538" s="222"/>
      <c r="BC538" s="222"/>
      <c r="BD538" s="222"/>
      <c r="BE538" s="222"/>
      <c r="BF538" s="222"/>
      <c r="BG538" s="222"/>
      <c r="BH538" s="222"/>
      <c r="BI538" s="222"/>
      <c r="BJ538" s="222"/>
      <c r="BK538" s="222"/>
      <c r="BL538" s="222"/>
      <c r="BM538" s="222"/>
      <c r="BN538" s="222"/>
      <c r="BO538" s="222"/>
      <c r="BP538" s="222"/>
      <c r="BQ538" s="222"/>
      <c r="BR538" s="222"/>
      <c r="BS538" s="222"/>
      <c r="BT538" s="222"/>
      <c r="BU538" s="222"/>
      <c r="BV538" s="222"/>
      <c r="BW538" s="222"/>
      <c r="BX538" s="222"/>
      <c r="BY538" s="222"/>
      <c r="BZ538" s="222"/>
      <c r="CA538" s="222"/>
      <c r="CB538" s="222"/>
      <c r="CC538" s="222"/>
      <c r="CD538" s="222"/>
      <c r="CE538" s="222"/>
      <c r="CF538" s="222"/>
      <c r="CG538" s="222"/>
      <c r="CH538" s="222"/>
      <c r="CI538" s="222"/>
      <c r="CJ538" s="222"/>
      <c r="CK538" s="222"/>
      <c r="CL538" s="222"/>
      <c r="CM538" s="222"/>
      <c r="CN538" s="222"/>
      <c r="CO538" s="222"/>
      <c r="CP538" s="222"/>
      <c r="CQ538" s="222"/>
      <c r="CR538" s="222"/>
      <c r="CS538" s="222"/>
    </row>
    <row r="539">
      <c r="A539" s="43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  <c r="AC539" s="222"/>
      <c r="AD539" s="222"/>
      <c r="AE539" s="222"/>
      <c r="AF539" s="222"/>
      <c r="AG539" s="222"/>
      <c r="AH539" s="222"/>
      <c r="AI539" s="222"/>
      <c r="AJ539" s="222"/>
      <c r="AK539" s="222"/>
      <c r="AL539" s="222"/>
      <c r="AM539" s="222"/>
      <c r="AN539" s="222"/>
      <c r="AO539" s="222"/>
      <c r="AP539" s="222"/>
      <c r="AQ539" s="222"/>
      <c r="AR539" s="222"/>
      <c r="AS539" s="222"/>
      <c r="AT539" s="222"/>
      <c r="AU539" s="222"/>
      <c r="AV539" s="222"/>
      <c r="AW539" s="222"/>
      <c r="AX539" s="222"/>
      <c r="AY539" s="222"/>
      <c r="AZ539" s="222"/>
      <c r="BA539" s="222"/>
      <c r="BB539" s="222"/>
      <c r="BC539" s="222"/>
      <c r="BD539" s="222"/>
      <c r="BE539" s="222"/>
      <c r="BF539" s="222"/>
      <c r="BG539" s="222"/>
      <c r="BH539" s="222"/>
      <c r="BI539" s="222"/>
      <c r="BJ539" s="222"/>
      <c r="BK539" s="222"/>
      <c r="BL539" s="222"/>
      <c r="BM539" s="222"/>
      <c r="BN539" s="222"/>
      <c r="BO539" s="222"/>
      <c r="BP539" s="222"/>
      <c r="BQ539" s="222"/>
      <c r="BR539" s="222"/>
      <c r="BS539" s="222"/>
      <c r="BT539" s="222"/>
      <c r="BU539" s="222"/>
      <c r="BV539" s="222"/>
      <c r="BW539" s="222"/>
      <c r="BX539" s="222"/>
      <c r="BY539" s="222"/>
      <c r="BZ539" s="222"/>
      <c r="CA539" s="222"/>
      <c r="CB539" s="222"/>
      <c r="CC539" s="222"/>
      <c r="CD539" s="222"/>
      <c r="CE539" s="222"/>
      <c r="CF539" s="222"/>
      <c r="CG539" s="222"/>
      <c r="CH539" s="222"/>
      <c r="CI539" s="222"/>
      <c r="CJ539" s="222"/>
      <c r="CK539" s="222"/>
      <c r="CL539" s="222"/>
      <c r="CM539" s="222"/>
      <c r="CN539" s="222"/>
      <c r="CO539" s="222"/>
      <c r="CP539" s="222"/>
      <c r="CQ539" s="222"/>
      <c r="CR539" s="222"/>
      <c r="CS539" s="222"/>
    </row>
    <row r="540">
      <c r="A540" s="43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  <c r="AC540" s="222"/>
      <c r="AD540" s="222"/>
      <c r="AE540" s="222"/>
      <c r="AF540" s="222"/>
      <c r="AG540" s="222"/>
      <c r="AH540" s="222"/>
      <c r="AI540" s="222"/>
      <c r="AJ540" s="222"/>
      <c r="AK540" s="222"/>
      <c r="AL540" s="222"/>
      <c r="AM540" s="222"/>
      <c r="AN540" s="222"/>
      <c r="AO540" s="222"/>
      <c r="AP540" s="222"/>
      <c r="AQ540" s="222"/>
      <c r="AR540" s="222"/>
      <c r="AS540" s="222"/>
      <c r="AT540" s="222"/>
      <c r="AU540" s="222"/>
      <c r="AV540" s="222"/>
      <c r="AW540" s="222"/>
      <c r="AX540" s="222"/>
      <c r="AY540" s="222"/>
      <c r="AZ540" s="222"/>
      <c r="BA540" s="222"/>
      <c r="BB540" s="222"/>
      <c r="BC540" s="222"/>
      <c r="BD540" s="222"/>
      <c r="BE540" s="222"/>
      <c r="BF540" s="222"/>
      <c r="BG540" s="222"/>
      <c r="BH540" s="222"/>
      <c r="BI540" s="222"/>
      <c r="BJ540" s="222"/>
      <c r="BK540" s="222"/>
      <c r="BL540" s="222"/>
      <c r="BM540" s="222"/>
      <c r="BN540" s="222"/>
      <c r="BO540" s="222"/>
      <c r="BP540" s="222"/>
      <c r="BQ540" s="222"/>
      <c r="BR540" s="222"/>
      <c r="BS540" s="222"/>
      <c r="BT540" s="222"/>
      <c r="BU540" s="222"/>
      <c r="BV540" s="222"/>
      <c r="BW540" s="222"/>
      <c r="BX540" s="222"/>
      <c r="BY540" s="222"/>
      <c r="BZ540" s="222"/>
      <c r="CA540" s="222"/>
      <c r="CB540" s="222"/>
      <c r="CC540" s="222"/>
      <c r="CD540" s="222"/>
      <c r="CE540" s="222"/>
      <c r="CF540" s="222"/>
      <c r="CG540" s="222"/>
      <c r="CH540" s="222"/>
      <c r="CI540" s="222"/>
      <c r="CJ540" s="222"/>
      <c r="CK540" s="222"/>
      <c r="CL540" s="222"/>
      <c r="CM540" s="222"/>
      <c r="CN540" s="222"/>
      <c r="CO540" s="222"/>
      <c r="CP540" s="222"/>
      <c r="CQ540" s="222"/>
      <c r="CR540" s="222"/>
      <c r="CS540" s="222"/>
    </row>
    <row r="541">
      <c r="A541" s="43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  <c r="AC541" s="222"/>
      <c r="AD541" s="222"/>
      <c r="AE541" s="222"/>
      <c r="AF541" s="222"/>
      <c r="AG541" s="222"/>
      <c r="AH541" s="222"/>
      <c r="AI541" s="222"/>
      <c r="AJ541" s="222"/>
      <c r="AK541" s="222"/>
      <c r="AL541" s="222"/>
      <c r="AM541" s="222"/>
      <c r="AN541" s="222"/>
      <c r="AO541" s="222"/>
      <c r="AP541" s="222"/>
      <c r="AQ541" s="222"/>
      <c r="AR541" s="222"/>
      <c r="AS541" s="222"/>
      <c r="AT541" s="222"/>
      <c r="AU541" s="222"/>
      <c r="AV541" s="222"/>
      <c r="AW541" s="222"/>
      <c r="AX541" s="222"/>
      <c r="AY541" s="222"/>
      <c r="AZ541" s="222"/>
      <c r="BA541" s="222"/>
      <c r="BB541" s="222"/>
      <c r="BC541" s="222"/>
      <c r="BD541" s="222"/>
      <c r="BE541" s="222"/>
      <c r="BF541" s="222"/>
      <c r="BG541" s="222"/>
      <c r="BH541" s="222"/>
      <c r="BI541" s="222"/>
      <c r="BJ541" s="222"/>
      <c r="BK541" s="222"/>
      <c r="BL541" s="222"/>
      <c r="BM541" s="222"/>
      <c r="BN541" s="222"/>
      <c r="BO541" s="222"/>
      <c r="BP541" s="222"/>
      <c r="BQ541" s="222"/>
      <c r="BR541" s="222"/>
      <c r="BS541" s="222"/>
      <c r="BT541" s="222"/>
      <c r="BU541" s="222"/>
      <c r="BV541" s="222"/>
      <c r="BW541" s="222"/>
      <c r="BX541" s="222"/>
      <c r="BY541" s="222"/>
      <c r="BZ541" s="222"/>
      <c r="CA541" s="222"/>
      <c r="CB541" s="222"/>
      <c r="CC541" s="222"/>
      <c r="CD541" s="222"/>
      <c r="CE541" s="222"/>
      <c r="CF541" s="222"/>
      <c r="CG541" s="222"/>
      <c r="CH541" s="222"/>
      <c r="CI541" s="222"/>
      <c r="CJ541" s="222"/>
      <c r="CK541" s="222"/>
      <c r="CL541" s="222"/>
      <c r="CM541" s="222"/>
      <c r="CN541" s="222"/>
      <c r="CO541" s="222"/>
      <c r="CP541" s="222"/>
      <c r="CQ541" s="222"/>
      <c r="CR541" s="222"/>
      <c r="CS541" s="222"/>
    </row>
    <row r="542">
      <c r="A542" s="43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  <c r="AC542" s="222"/>
      <c r="AD542" s="222"/>
      <c r="AE542" s="222"/>
      <c r="AF542" s="222"/>
      <c r="AG542" s="222"/>
      <c r="AH542" s="222"/>
      <c r="AI542" s="222"/>
      <c r="AJ542" s="222"/>
      <c r="AK542" s="222"/>
      <c r="AL542" s="222"/>
      <c r="AM542" s="222"/>
      <c r="AN542" s="222"/>
      <c r="AO542" s="222"/>
      <c r="AP542" s="222"/>
      <c r="AQ542" s="222"/>
      <c r="AR542" s="222"/>
      <c r="AS542" s="222"/>
      <c r="AT542" s="222"/>
      <c r="AU542" s="222"/>
      <c r="AV542" s="222"/>
      <c r="AW542" s="222"/>
      <c r="AX542" s="222"/>
      <c r="AY542" s="222"/>
      <c r="AZ542" s="222"/>
      <c r="BA542" s="222"/>
      <c r="BB542" s="222"/>
      <c r="BC542" s="222"/>
      <c r="BD542" s="222"/>
      <c r="BE542" s="222"/>
      <c r="BF542" s="222"/>
      <c r="BG542" s="222"/>
      <c r="BH542" s="222"/>
      <c r="BI542" s="222"/>
      <c r="BJ542" s="222"/>
      <c r="BK542" s="222"/>
      <c r="BL542" s="222"/>
      <c r="BM542" s="222"/>
      <c r="BN542" s="222"/>
      <c r="BO542" s="222"/>
      <c r="BP542" s="222"/>
      <c r="BQ542" s="222"/>
      <c r="BR542" s="222"/>
      <c r="BS542" s="222"/>
      <c r="BT542" s="222"/>
      <c r="BU542" s="222"/>
      <c r="BV542" s="222"/>
      <c r="BW542" s="222"/>
      <c r="BX542" s="222"/>
      <c r="BY542" s="222"/>
      <c r="BZ542" s="222"/>
      <c r="CA542" s="222"/>
      <c r="CB542" s="222"/>
      <c r="CC542" s="222"/>
      <c r="CD542" s="222"/>
      <c r="CE542" s="222"/>
      <c r="CF542" s="222"/>
      <c r="CG542" s="222"/>
      <c r="CH542" s="222"/>
      <c r="CI542" s="222"/>
      <c r="CJ542" s="222"/>
      <c r="CK542" s="222"/>
      <c r="CL542" s="222"/>
      <c r="CM542" s="222"/>
      <c r="CN542" s="222"/>
      <c r="CO542" s="222"/>
      <c r="CP542" s="222"/>
      <c r="CQ542" s="222"/>
      <c r="CR542" s="222"/>
      <c r="CS542" s="222"/>
    </row>
    <row r="543">
      <c r="A543" s="43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  <c r="AC543" s="222"/>
      <c r="AD543" s="222"/>
      <c r="AE543" s="222"/>
      <c r="AF543" s="222"/>
      <c r="AG543" s="222"/>
      <c r="AH543" s="222"/>
      <c r="AI543" s="222"/>
      <c r="AJ543" s="222"/>
      <c r="AK543" s="222"/>
      <c r="AL543" s="222"/>
      <c r="AM543" s="222"/>
      <c r="AN543" s="222"/>
      <c r="AO543" s="222"/>
      <c r="AP543" s="222"/>
      <c r="AQ543" s="222"/>
      <c r="AR543" s="222"/>
      <c r="AS543" s="222"/>
      <c r="AT543" s="222"/>
      <c r="AU543" s="222"/>
      <c r="AV543" s="222"/>
      <c r="AW543" s="222"/>
      <c r="AX543" s="222"/>
      <c r="AY543" s="222"/>
      <c r="AZ543" s="222"/>
      <c r="BA543" s="222"/>
      <c r="BB543" s="222"/>
      <c r="BC543" s="222"/>
      <c r="BD543" s="222"/>
      <c r="BE543" s="222"/>
      <c r="BF543" s="222"/>
      <c r="BG543" s="222"/>
      <c r="BH543" s="222"/>
      <c r="BI543" s="222"/>
      <c r="BJ543" s="222"/>
      <c r="BK543" s="222"/>
      <c r="BL543" s="222"/>
      <c r="BM543" s="222"/>
      <c r="BN543" s="222"/>
      <c r="BO543" s="222"/>
      <c r="BP543" s="222"/>
      <c r="BQ543" s="222"/>
      <c r="BR543" s="222"/>
      <c r="BS543" s="222"/>
      <c r="BT543" s="222"/>
      <c r="BU543" s="222"/>
      <c r="BV543" s="222"/>
      <c r="BW543" s="222"/>
      <c r="BX543" s="222"/>
      <c r="BY543" s="222"/>
      <c r="BZ543" s="222"/>
      <c r="CA543" s="222"/>
      <c r="CB543" s="222"/>
      <c r="CC543" s="222"/>
      <c r="CD543" s="222"/>
      <c r="CE543" s="222"/>
      <c r="CF543" s="222"/>
      <c r="CG543" s="222"/>
      <c r="CH543" s="222"/>
      <c r="CI543" s="222"/>
      <c r="CJ543" s="222"/>
      <c r="CK543" s="222"/>
      <c r="CL543" s="222"/>
      <c r="CM543" s="222"/>
      <c r="CN543" s="222"/>
      <c r="CO543" s="222"/>
      <c r="CP543" s="222"/>
      <c r="CQ543" s="222"/>
      <c r="CR543" s="222"/>
      <c r="CS543" s="222"/>
    </row>
    <row r="544">
      <c r="A544" s="43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  <c r="AC544" s="222"/>
      <c r="AD544" s="222"/>
      <c r="AE544" s="222"/>
      <c r="AF544" s="222"/>
      <c r="AG544" s="222"/>
      <c r="AH544" s="222"/>
      <c r="AI544" s="222"/>
      <c r="AJ544" s="222"/>
      <c r="AK544" s="222"/>
      <c r="AL544" s="222"/>
      <c r="AM544" s="222"/>
      <c r="AN544" s="222"/>
      <c r="AO544" s="222"/>
      <c r="AP544" s="222"/>
      <c r="AQ544" s="222"/>
      <c r="AR544" s="222"/>
      <c r="AS544" s="222"/>
      <c r="AT544" s="222"/>
      <c r="AU544" s="222"/>
      <c r="AV544" s="222"/>
      <c r="AW544" s="222"/>
      <c r="AX544" s="222"/>
      <c r="AY544" s="222"/>
      <c r="AZ544" s="222"/>
      <c r="BA544" s="222"/>
      <c r="BB544" s="222"/>
      <c r="BC544" s="222"/>
      <c r="BD544" s="222"/>
      <c r="BE544" s="222"/>
      <c r="BF544" s="222"/>
      <c r="BG544" s="222"/>
      <c r="BH544" s="222"/>
      <c r="BI544" s="222"/>
      <c r="BJ544" s="222"/>
      <c r="BK544" s="222"/>
      <c r="BL544" s="222"/>
      <c r="BM544" s="222"/>
      <c r="BN544" s="222"/>
      <c r="BO544" s="222"/>
      <c r="BP544" s="222"/>
      <c r="BQ544" s="222"/>
      <c r="BR544" s="222"/>
      <c r="BS544" s="222"/>
      <c r="BT544" s="222"/>
      <c r="BU544" s="222"/>
      <c r="BV544" s="222"/>
      <c r="BW544" s="222"/>
      <c r="BX544" s="222"/>
      <c r="BY544" s="222"/>
      <c r="BZ544" s="222"/>
      <c r="CA544" s="222"/>
      <c r="CB544" s="222"/>
      <c r="CC544" s="222"/>
      <c r="CD544" s="222"/>
      <c r="CE544" s="222"/>
      <c r="CF544" s="222"/>
      <c r="CG544" s="222"/>
      <c r="CH544" s="222"/>
      <c r="CI544" s="222"/>
      <c r="CJ544" s="222"/>
      <c r="CK544" s="222"/>
      <c r="CL544" s="222"/>
      <c r="CM544" s="222"/>
      <c r="CN544" s="222"/>
      <c r="CO544" s="222"/>
      <c r="CP544" s="222"/>
      <c r="CQ544" s="222"/>
      <c r="CR544" s="222"/>
      <c r="CS544" s="222"/>
    </row>
    <row r="545">
      <c r="A545" s="43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  <c r="AC545" s="222"/>
      <c r="AD545" s="222"/>
      <c r="AE545" s="222"/>
      <c r="AF545" s="222"/>
      <c r="AG545" s="222"/>
      <c r="AH545" s="222"/>
      <c r="AI545" s="222"/>
      <c r="AJ545" s="222"/>
      <c r="AK545" s="222"/>
      <c r="AL545" s="222"/>
      <c r="AM545" s="222"/>
      <c r="AN545" s="222"/>
      <c r="AO545" s="222"/>
      <c r="AP545" s="222"/>
      <c r="AQ545" s="222"/>
      <c r="AR545" s="222"/>
      <c r="AS545" s="222"/>
      <c r="AT545" s="222"/>
      <c r="AU545" s="222"/>
      <c r="AV545" s="222"/>
      <c r="AW545" s="222"/>
      <c r="AX545" s="222"/>
      <c r="AY545" s="222"/>
      <c r="AZ545" s="222"/>
      <c r="BA545" s="222"/>
      <c r="BB545" s="222"/>
      <c r="BC545" s="222"/>
      <c r="BD545" s="222"/>
      <c r="BE545" s="222"/>
      <c r="BF545" s="222"/>
      <c r="BG545" s="222"/>
      <c r="BH545" s="222"/>
      <c r="BI545" s="222"/>
      <c r="BJ545" s="222"/>
      <c r="BK545" s="222"/>
      <c r="BL545" s="222"/>
      <c r="BM545" s="222"/>
      <c r="BN545" s="222"/>
      <c r="BO545" s="222"/>
      <c r="BP545" s="222"/>
      <c r="BQ545" s="222"/>
      <c r="BR545" s="222"/>
      <c r="BS545" s="222"/>
      <c r="BT545" s="222"/>
      <c r="BU545" s="222"/>
      <c r="BV545" s="222"/>
      <c r="BW545" s="222"/>
      <c r="BX545" s="222"/>
      <c r="BY545" s="222"/>
      <c r="BZ545" s="222"/>
      <c r="CA545" s="222"/>
      <c r="CB545" s="222"/>
      <c r="CC545" s="222"/>
      <c r="CD545" s="222"/>
      <c r="CE545" s="222"/>
      <c r="CF545" s="222"/>
      <c r="CG545" s="222"/>
      <c r="CH545" s="222"/>
      <c r="CI545" s="222"/>
      <c r="CJ545" s="222"/>
      <c r="CK545" s="222"/>
      <c r="CL545" s="222"/>
      <c r="CM545" s="222"/>
      <c r="CN545" s="222"/>
      <c r="CO545" s="222"/>
      <c r="CP545" s="222"/>
      <c r="CQ545" s="222"/>
      <c r="CR545" s="222"/>
      <c r="CS545" s="222"/>
    </row>
    <row r="546">
      <c r="A546" s="43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  <c r="AC546" s="222"/>
      <c r="AD546" s="222"/>
      <c r="AE546" s="222"/>
      <c r="AF546" s="222"/>
      <c r="AG546" s="222"/>
      <c r="AH546" s="222"/>
      <c r="AI546" s="222"/>
      <c r="AJ546" s="222"/>
      <c r="AK546" s="222"/>
      <c r="AL546" s="222"/>
      <c r="AM546" s="222"/>
      <c r="AN546" s="222"/>
      <c r="AO546" s="222"/>
      <c r="AP546" s="222"/>
      <c r="AQ546" s="222"/>
      <c r="AR546" s="222"/>
      <c r="AS546" s="222"/>
      <c r="AT546" s="222"/>
      <c r="AU546" s="222"/>
      <c r="AV546" s="222"/>
      <c r="AW546" s="222"/>
      <c r="AX546" s="222"/>
      <c r="AY546" s="222"/>
      <c r="AZ546" s="222"/>
      <c r="BA546" s="222"/>
      <c r="BB546" s="222"/>
      <c r="BC546" s="222"/>
      <c r="BD546" s="222"/>
      <c r="BE546" s="222"/>
      <c r="BF546" s="222"/>
      <c r="BG546" s="222"/>
      <c r="BH546" s="222"/>
      <c r="BI546" s="222"/>
      <c r="BJ546" s="222"/>
      <c r="BK546" s="222"/>
      <c r="BL546" s="222"/>
      <c r="BM546" s="222"/>
      <c r="BN546" s="222"/>
      <c r="BO546" s="222"/>
      <c r="BP546" s="222"/>
      <c r="BQ546" s="222"/>
      <c r="BR546" s="222"/>
      <c r="BS546" s="222"/>
      <c r="BT546" s="222"/>
      <c r="BU546" s="222"/>
      <c r="BV546" s="222"/>
      <c r="BW546" s="222"/>
      <c r="BX546" s="222"/>
      <c r="BY546" s="222"/>
      <c r="BZ546" s="222"/>
      <c r="CA546" s="222"/>
      <c r="CB546" s="222"/>
      <c r="CC546" s="222"/>
      <c r="CD546" s="222"/>
      <c r="CE546" s="222"/>
      <c r="CF546" s="222"/>
      <c r="CG546" s="222"/>
      <c r="CH546" s="222"/>
      <c r="CI546" s="222"/>
      <c r="CJ546" s="222"/>
      <c r="CK546" s="222"/>
      <c r="CL546" s="222"/>
      <c r="CM546" s="222"/>
      <c r="CN546" s="222"/>
      <c r="CO546" s="222"/>
      <c r="CP546" s="222"/>
      <c r="CQ546" s="222"/>
      <c r="CR546" s="222"/>
      <c r="CS546" s="222"/>
    </row>
    <row r="547">
      <c r="A547" s="43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  <c r="AC547" s="222"/>
      <c r="AD547" s="222"/>
      <c r="AE547" s="222"/>
      <c r="AF547" s="222"/>
      <c r="AG547" s="222"/>
      <c r="AH547" s="222"/>
      <c r="AI547" s="222"/>
      <c r="AJ547" s="222"/>
      <c r="AK547" s="222"/>
      <c r="AL547" s="222"/>
      <c r="AM547" s="222"/>
      <c r="AN547" s="222"/>
      <c r="AO547" s="222"/>
      <c r="AP547" s="222"/>
      <c r="AQ547" s="222"/>
      <c r="AR547" s="222"/>
      <c r="AS547" s="222"/>
      <c r="AT547" s="222"/>
      <c r="AU547" s="222"/>
      <c r="AV547" s="222"/>
      <c r="AW547" s="222"/>
      <c r="AX547" s="222"/>
      <c r="AY547" s="222"/>
      <c r="AZ547" s="222"/>
      <c r="BA547" s="222"/>
      <c r="BB547" s="222"/>
      <c r="BC547" s="222"/>
      <c r="BD547" s="222"/>
      <c r="BE547" s="222"/>
      <c r="BF547" s="222"/>
      <c r="BG547" s="222"/>
      <c r="BH547" s="222"/>
      <c r="BI547" s="222"/>
      <c r="BJ547" s="222"/>
      <c r="BK547" s="222"/>
      <c r="BL547" s="222"/>
      <c r="BM547" s="222"/>
      <c r="BN547" s="222"/>
      <c r="BO547" s="222"/>
      <c r="BP547" s="222"/>
      <c r="BQ547" s="222"/>
      <c r="BR547" s="222"/>
      <c r="BS547" s="222"/>
      <c r="BT547" s="222"/>
      <c r="BU547" s="222"/>
      <c r="BV547" s="222"/>
      <c r="BW547" s="222"/>
      <c r="BX547" s="222"/>
      <c r="BY547" s="222"/>
      <c r="BZ547" s="222"/>
      <c r="CA547" s="222"/>
      <c r="CB547" s="222"/>
      <c r="CC547" s="222"/>
      <c r="CD547" s="222"/>
      <c r="CE547" s="222"/>
      <c r="CF547" s="222"/>
      <c r="CG547" s="222"/>
      <c r="CH547" s="222"/>
      <c r="CI547" s="222"/>
      <c r="CJ547" s="222"/>
      <c r="CK547" s="222"/>
      <c r="CL547" s="222"/>
      <c r="CM547" s="222"/>
      <c r="CN547" s="222"/>
      <c r="CO547" s="222"/>
      <c r="CP547" s="222"/>
      <c r="CQ547" s="222"/>
      <c r="CR547" s="222"/>
      <c r="CS547" s="222"/>
    </row>
    <row r="548">
      <c r="A548" s="43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  <c r="AC548" s="222"/>
      <c r="AD548" s="222"/>
      <c r="AE548" s="222"/>
      <c r="AF548" s="222"/>
      <c r="AG548" s="222"/>
      <c r="AH548" s="222"/>
      <c r="AI548" s="222"/>
      <c r="AJ548" s="222"/>
      <c r="AK548" s="222"/>
      <c r="AL548" s="222"/>
      <c r="AM548" s="222"/>
      <c r="AN548" s="222"/>
      <c r="AO548" s="222"/>
      <c r="AP548" s="222"/>
      <c r="AQ548" s="222"/>
      <c r="AR548" s="222"/>
      <c r="AS548" s="222"/>
      <c r="AT548" s="222"/>
      <c r="AU548" s="222"/>
      <c r="AV548" s="222"/>
      <c r="AW548" s="222"/>
      <c r="AX548" s="222"/>
      <c r="AY548" s="222"/>
      <c r="AZ548" s="222"/>
      <c r="BA548" s="222"/>
      <c r="BB548" s="222"/>
      <c r="BC548" s="222"/>
      <c r="BD548" s="222"/>
      <c r="BE548" s="222"/>
      <c r="BF548" s="222"/>
      <c r="BG548" s="222"/>
      <c r="BH548" s="222"/>
      <c r="BI548" s="222"/>
      <c r="BJ548" s="222"/>
      <c r="BK548" s="222"/>
      <c r="BL548" s="222"/>
      <c r="BM548" s="222"/>
      <c r="BN548" s="222"/>
      <c r="BO548" s="222"/>
      <c r="BP548" s="222"/>
      <c r="BQ548" s="222"/>
      <c r="BR548" s="222"/>
      <c r="BS548" s="222"/>
      <c r="BT548" s="222"/>
      <c r="BU548" s="222"/>
      <c r="BV548" s="222"/>
      <c r="BW548" s="222"/>
      <c r="BX548" s="222"/>
      <c r="BY548" s="222"/>
      <c r="BZ548" s="222"/>
      <c r="CA548" s="222"/>
      <c r="CB548" s="222"/>
      <c r="CC548" s="222"/>
      <c r="CD548" s="222"/>
      <c r="CE548" s="222"/>
      <c r="CF548" s="222"/>
      <c r="CG548" s="222"/>
      <c r="CH548" s="222"/>
      <c r="CI548" s="222"/>
      <c r="CJ548" s="222"/>
      <c r="CK548" s="222"/>
      <c r="CL548" s="222"/>
      <c r="CM548" s="222"/>
      <c r="CN548" s="222"/>
      <c r="CO548" s="222"/>
      <c r="CP548" s="222"/>
      <c r="CQ548" s="222"/>
      <c r="CR548" s="222"/>
      <c r="CS548" s="222"/>
    </row>
    <row r="549">
      <c r="A549" s="43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  <c r="AE549" s="222"/>
      <c r="AF549" s="222"/>
      <c r="AG549" s="222"/>
      <c r="AH549" s="222"/>
      <c r="AI549" s="222"/>
      <c r="AJ549" s="222"/>
      <c r="AK549" s="222"/>
      <c r="AL549" s="222"/>
      <c r="AM549" s="222"/>
      <c r="AN549" s="222"/>
      <c r="AO549" s="222"/>
      <c r="AP549" s="222"/>
      <c r="AQ549" s="222"/>
      <c r="AR549" s="222"/>
      <c r="AS549" s="222"/>
      <c r="AT549" s="222"/>
      <c r="AU549" s="222"/>
      <c r="AV549" s="222"/>
      <c r="AW549" s="222"/>
      <c r="AX549" s="222"/>
      <c r="AY549" s="222"/>
      <c r="AZ549" s="222"/>
      <c r="BA549" s="222"/>
      <c r="BB549" s="222"/>
      <c r="BC549" s="222"/>
      <c r="BD549" s="222"/>
      <c r="BE549" s="222"/>
      <c r="BF549" s="222"/>
      <c r="BG549" s="222"/>
      <c r="BH549" s="222"/>
      <c r="BI549" s="222"/>
      <c r="BJ549" s="222"/>
      <c r="BK549" s="222"/>
      <c r="BL549" s="222"/>
      <c r="BM549" s="222"/>
      <c r="BN549" s="222"/>
      <c r="BO549" s="222"/>
      <c r="BP549" s="222"/>
      <c r="BQ549" s="222"/>
      <c r="BR549" s="222"/>
      <c r="BS549" s="222"/>
      <c r="BT549" s="222"/>
      <c r="BU549" s="222"/>
      <c r="BV549" s="222"/>
      <c r="BW549" s="222"/>
      <c r="BX549" s="222"/>
      <c r="BY549" s="222"/>
      <c r="BZ549" s="222"/>
      <c r="CA549" s="222"/>
      <c r="CB549" s="222"/>
      <c r="CC549" s="222"/>
      <c r="CD549" s="222"/>
      <c r="CE549" s="222"/>
      <c r="CF549" s="222"/>
      <c r="CG549" s="222"/>
      <c r="CH549" s="222"/>
      <c r="CI549" s="222"/>
      <c r="CJ549" s="222"/>
      <c r="CK549" s="222"/>
      <c r="CL549" s="222"/>
      <c r="CM549" s="222"/>
      <c r="CN549" s="222"/>
      <c r="CO549" s="222"/>
      <c r="CP549" s="222"/>
      <c r="CQ549" s="222"/>
      <c r="CR549" s="222"/>
      <c r="CS549" s="222"/>
    </row>
    <row r="550">
      <c r="A550" s="43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  <c r="AC550" s="222"/>
      <c r="AD550" s="222"/>
      <c r="AE550" s="222"/>
      <c r="AF550" s="222"/>
      <c r="AG550" s="222"/>
      <c r="AH550" s="222"/>
      <c r="AI550" s="222"/>
      <c r="AJ550" s="222"/>
      <c r="AK550" s="222"/>
      <c r="AL550" s="222"/>
      <c r="AM550" s="222"/>
      <c r="AN550" s="222"/>
      <c r="AO550" s="222"/>
      <c r="AP550" s="222"/>
      <c r="AQ550" s="222"/>
      <c r="AR550" s="222"/>
      <c r="AS550" s="222"/>
      <c r="AT550" s="222"/>
      <c r="AU550" s="222"/>
      <c r="AV550" s="222"/>
      <c r="AW550" s="222"/>
      <c r="AX550" s="222"/>
      <c r="AY550" s="222"/>
      <c r="AZ550" s="222"/>
      <c r="BA550" s="222"/>
      <c r="BB550" s="222"/>
      <c r="BC550" s="222"/>
      <c r="BD550" s="222"/>
      <c r="BE550" s="222"/>
      <c r="BF550" s="222"/>
      <c r="BG550" s="222"/>
      <c r="BH550" s="222"/>
      <c r="BI550" s="222"/>
      <c r="BJ550" s="222"/>
      <c r="BK550" s="222"/>
      <c r="BL550" s="222"/>
      <c r="BM550" s="222"/>
      <c r="BN550" s="222"/>
      <c r="BO550" s="222"/>
      <c r="BP550" s="222"/>
      <c r="BQ550" s="222"/>
      <c r="BR550" s="222"/>
      <c r="BS550" s="222"/>
      <c r="BT550" s="222"/>
      <c r="BU550" s="222"/>
      <c r="BV550" s="222"/>
      <c r="BW550" s="222"/>
      <c r="BX550" s="222"/>
      <c r="BY550" s="222"/>
      <c r="BZ550" s="222"/>
      <c r="CA550" s="222"/>
      <c r="CB550" s="222"/>
      <c r="CC550" s="222"/>
      <c r="CD550" s="222"/>
      <c r="CE550" s="222"/>
      <c r="CF550" s="222"/>
      <c r="CG550" s="222"/>
      <c r="CH550" s="222"/>
      <c r="CI550" s="222"/>
      <c r="CJ550" s="222"/>
      <c r="CK550" s="222"/>
      <c r="CL550" s="222"/>
      <c r="CM550" s="222"/>
      <c r="CN550" s="222"/>
      <c r="CO550" s="222"/>
      <c r="CP550" s="222"/>
      <c r="CQ550" s="222"/>
      <c r="CR550" s="222"/>
      <c r="CS550" s="222"/>
    </row>
    <row r="551">
      <c r="A551" s="43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  <c r="AC551" s="222"/>
      <c r="AD551" s="222"/>
      <c r="AE551" s="222"/>
      <c r="AF551" s="222"/>
      <c r="AG551" s="222"/>
      <c r="AH551" s="222"/>
      <c r="AI551" s="222"/>
      <c r="AJ551" s="222"/>
      <c r="AK551" s="222"/>
      <c r="AL551" s="222"/>
      <c r="AM551" s="222"/>
      <c r="AN551" s="222"/>
      <c r="AO551" s="222"/>
      <c r="AP551" s="222"/>
      <c r="AQ551" s="222"/>
      <c r="AR551" s="222"/>
      <c r="AS551" s="222"/>
      <c r="AT551" s="222"/>
      <c r="AU551" s="222"/>
      <c r="AV551" s="222"/>
      <c r="AW551" s="222"/>
      <c r="AX551" s="222"/>
      <c r="AY551" s="222"/>
      <c r="AZ551" s="222"/>
      <c r="BA551" s="222"/>
      <c r="BB551" s="222"/>
      <c r="BC551" s="222"/>
      <c r="BD551" s="222"/>
      <c r="BE551" s="222"/>
      <c r="BF551" s="222"/>
      <c r="BG551" s="222"/>
      <c r="BH551" s="222"/>
      <c r="BI551" s="222"/>
      <c r="BJ551" s="222"/>
      <c r="BK551" s="222"/>
      <c r="BL551" s="222"/>
      <c r="BM551" s="222"/>
      <c r="BN551" s="222"/>
      <c r="BO551" s="222"/>
      <c r="BP551" s="222"/>
      <c r="BQ551" s="222"/>
      <c r="BR551" s="222"/>
      <c r="BS551" s="222"/>
      <c r="BT551" s="222"/>
      <c r="BU551" s="222"/>
      <c r="BV551" s="222"/>
      <c r="BW551" s="222"/>
      <c r="BX551" s="222"/>
      <c r="BY551" s="222"/>
      <c r="BZ551" s="222"/>
      <c r="CA551" s="222"/>
      <c r="CB551" s="222"/>
      <c r="CC551" s="222"/>
      <c r="CD551" s="222"/>
      <c r="CE551" s="222"/>
      <c r="CF551" s="222"/>
      <c r="CG551" s="222"/>
      <c r="CH551" s="222"/>
      <c r="CI551" s="222"/>
      <c r="CJ551" s="222"/>
      <c r="CK551" s="222"/>
      <c r="CL551" s="222"/>
      <c r="CM551" s="222"/>
      <c r="CN551" s="222"/>
      <c r="CO551" s="222"/>
      <c r="CP551" s="222"/>
      <c r="CQ551" s="222"/>
      <c r="CR551" s="222"/>
      <c r="CS551" s="222"/>
    </row>
    <row r="552">
      <c r="A552" s="43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  <c r="AC552" s="222"/>
      <c r="AD552" s="222"/>
      <c r="AE552" s="222"/>
      <c r="AF552" s="222"/>
      <c r="AG552" s="222"/>
      <c r="AH552" s="222"/>
      <c r="AI552" s="222"/>
      <c r="AJ552" s="222"/>
      <c r="AK552" s="222"/>
      <c r="AL552" s="222"/>
      <c r="AM552" s="222"/>
      <c r="AN552" s="222"/>
      <c r="AO552" s="222"/>
      <c r="AP552" s="222"/>
      <c r="AQ552" s="222"/>
      <c r="AR552" s="222"/>
      <c r="AS552" s="222"/>
      <c r="AT552" s="222"/>
      <c r="AU552" s="222"/>
      <c r="AV552" s="222"/>
      <c r="AW552" s="222"/>
      <c r="AX552" s="222"/>
      <c r="AY552" s="222"/>
      <c r="AZ552" s="222"/>
      <c r="BA552" s="222"/>
      <c r="BB552" s="222"/>
      <c r="BC552" s="222"/>
      <c r="BD552" s="222"/>
      <c r="BE552" s="222"/>
      <c r="BF552" s="222"/>
      <c r="BG552" s="222"/>
      <c r="BH552" s="222"/>
      <c r="BI552" s="222"/>
      <c r="BJ552" s="222"/>
      <c r="BK552" s="222"/>
      <c r="BL552" s="222"/>
      <c r="BM552" s="222"/>
      <c r="BN552" s="222"/>
      <c r="BO552" s="222"/>
      <c r="BP552" s="222"/>
      <c r="BQ552" s="222"/>
      <c r="BR552" s="222"/>
      <c r="BS552" s="222"/>
      <c r="BT552" s="222"/>
      <c r="BU552" s="222"/>
      <c r="BV552" s="222"/>
      <c r="BW552" s="222"/>
      <c r="BX552" s="222"/>
      <c r="BY552" s="222"/>
      <c r="BZ552" s="222"/>
      <c r="CA552" s="222"/>
      <c r="CB552" s="222"/>
      <c r="CC552" s="222"/>
      <c r="CD552" s="222"/>
      <c r="CE552" s="222"/>
      <c r="CF552" s="222"/>
      <c r="CG552" s="222"/>
      <c r="CH552" s="222"/>
      <c r="CI552" s="222"/>
      <c r="CJ552" s="222"/>
      <c r="CK552" s="222"/>
      <c r="CL552" s="222"/>
      <c r="CM552" s="222"/>
      <c r="CN552" s="222"/>
      <c r="CO552" s="222"/>
      <c r="CP552" s="222"/>
      <c r="CQ552" s="222"/>
      <c r="CR552" s="222"/>
      <c r="CS552" s="222"/>
    </row>
    <row r="553">
      <c r="A553" s="43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  <c r="AC553" s="222"/>
      <c r="AD553" s="222"/>
      <c r="AE553" s="222"/>
      <c r="AF553" s="222"/>
      <c r="AG553" s="222"/>
      <c r="AH553" s="222"/>
      <c r="AI553" s="222"/>
      <c r="AJ553" s="222"/>
      <c r="AK553" s="222"/>
      <c r="AL553" s="222"/>
      <c r="AM553" s="222"/>
      <c r="AN553" s="222"/>
      <c r="AO553" s="222"/>
      <c r="AP553" s="222"/>
      <c r="AQ553" s="222"/>
      <c r="AR553" s="222"/>
      <c r="AS553" s="222"/>
      <c r="AT553" s="222"/>
      <c r="AU553" s="222"/>
      <c r="AV553" s="222"/>
      <c r="AW553" s="222"/>
      <c r="AX553" s="222"/>
      <c r="AY553" s="222"/>
      <c r="AZ553" s="222"/>
      <c r="BA553" s="222"/>
      <c r="BB553" s="222"/>
      <c r="BC553" s="222"/>
      <c r="BD553" s="222"/>
      <c r="BE553" s="222"/>
      <c r="BF553" s="222"/>
      <c r="BG553" s="222"/>
      <c r="BH553" s="222"/>
      <c r="BI553" s="222"/>
      <c r="BJ553" s="222"/>
      <c r="BK553" s="222"/>
      <c r="BL553" s="222"/>
      <c r="BM553" s="222"/>
      <c r="BN553" s="222"/>
      <c r="BO553" s="222"/>
      <c r="BP553" s="222"/>
      <c r="BQ553" s="222"/>
      <c r="BR553" s="222"/>
      <c r="BS553" s="222"/>
      <c r="BT553" s="222"/>
      <c r="BU553" s="222"/>
      <c r="BV553" s="222"/>
      <c r="BW553" s="222"/>
      <c r="BX553" s="222"/>
      <c r="BY553" s="222"/>
      <c r="BZ553" s="222"/>
      <c r="CA553" s="222"/>
      <c r="CB553" s="222"/>
      <c r="CC553" s="222"/>
      <c r="CD553" s="222"/>
      <c r="CE553" s="222"/>
      <c r="CF553" s="222"/>
      <c r="CG553" s="222"/>
      <c r="CH553" s="222"/>
      <c r="CI553" s="222"/>
      <c r="CJ553" s="222"/>
      <c r="CK553" s="222"/>
      <c r="CL553" s="222"/>
      <c r="CM553" s="222"/>
      <c r="CN553" s="222"/>
      <c r="CO553" s="222"/>
      <c r="CP553" s="222"/>
      <c r="CQ553" s="222"/>
      <c r="CR553" s="222"/>
      <c r="CS553" s="222"/>
    </row>
    <row r="554">
      <c r="A554" s="43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  <c r="AC554" s="222"/>
      <c r="AD554" s="222"/>
      <c r="AE554" s="222"/>
      <c r="AF554" s="222"/>
      <c r="AG554" s="222"/>
      <c r="AH554" s="222"/>
      <c r="AI554" s="222"/>
      <c r="AJ554" s="222"/>
      <c r="AK554" s="222"/>
      <c r="AL554" s="222"/>
      <c r="AM554" s="222"/>
      <c r="AN554" s="222"/>
      <c r="AO554" s="222"/>
      <c r="AP554" s="222"/>
      <c r="AQ554" s="222"/>
      <c r="AR554" s="222"/>
      <c r="AS554" s="222"/>
      <c r="AT554" s="222"/>
      <c r="AU554" s="222"/>
      <c r="AV554" s="222"/>
      <c r="AW554" s="222"/>
      <c r="AX554" s="222"/>
      <c r="AY554" s="222"/>
      <c r="AZ554" s="222"/>
      <c r="BA554" s="222"/>
      <c r="BB554" s="222"/>
      <c r="BC554" s="222"/>
      <c r="BD554" s="222"/>
      <c r="BE554" s="222"/>
      <c r="BF554" s="222"/>
      <c r="BG554" s="222"/>
      <c r="BH554" s="222"/>
      <c r="BI554" s="222"/>
      <c r="BJ554" s="222"/>
      <c r="BK554" s="222"/>
      <c r="BL554" s="222"/>
      <c r="BM554" s="222"/>
      <c r="BN554" s="222"/>
      <c r="BO554" s="222"/>
      <c r="BP554" s="222"/>
      <c r="BQ554" s="222"/>
      <c r="BR554" s="222"/>
      <c r="BS554" s="222"/>
      <c r="BT554" s="222"/>
      <c r="BU554" s="222"/>
      <c r="BV554" s="222"/>
      <c r="BW554" s="222"/>
      <c r="BX554" s="222"/>
      <c r="BY554" s="222"/>
      <c r="BZ554" s="222"/>
      <c r="CA554" s="222"/>
      <c r="CB554" s="222"/>
      <c r="CC554" s="222"/>
      <c r="CD554" s="222"/>
      <c r="CE554" s="222"/>
      <c r="CF554" s="222"/>
      <c r="CG554" s="222"/>
      <c r="CH554" s="222"/>
      <c r="CI554" s="222"/>
      <c r="CJ554" s="222"/>
      <c r="CK554" s="222"/>
      <c r="CL554" s="222"/>
      <c r="CM554" s="222"/>
      <c r="CN554" s="222"/>
      <c r="CO554" s="222"/>
      <c r="CP554" s="222"/>
      <c r="CQ554" s="222"/>
      <c r="CR554" s="222"/>
      <c r="CS554" s="222"/>
    </row>
    <row r="555">
      <c r="A555" s="43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2"/>
      <c r="AL555" s="222"/>
      <c r="AM555" s="222"/>
      <c r="AN555" s="222"/>
      <c r="AO555" s="222"/>
      <c r="AP555" s="222"/>
      <c r="AQ555" s="222"/>
      <c r="AR555" s="222"/>
      <c r="AS555" s="222"/>
      <c r="AT555" s="222"/>
      <c r="AU555" s="222"/>
      <c r="AV555" s="222"/>
      <c r="AW555" s="222"/>
      <c r="AX555" s="222"/>
      <c r="AY555" s="222"/>
      <c r="AZ555" s="222"/>
      <c r="BA555" s="222"/>
      <c r="BB555" s="222"/>
      <c r="BC555" s="222"/>
      <c r="BD555" s="222"/>
      <c r="BE555" s="222"/>
      <c r="BF555" s="222"/>
      <c r="BG555" s="222"/>
      <c r="BH555" s="222"/>
      <c r="BI555" s="222"/>
      <c r="BJ555" s="222"/>
      <c r="BK555" s="222"/>
      <c r="BL555" s="222"/>
      <c r="BM555" s="222"/>
      <c r="BN555" s="222"/>
      <c r="BO555" s="222"/>
      <c r="BP555" s="222"/>
      <c r="BQ555" s="222"/>
      <c r="BR555" s="222"/>
      <c r="BS555" s="222"/>
      <c r="BT555" s="222"/>
      <c r="BU555" s="222"/>
      <c r="BV555" s="222"/>
      <c r="BW555" s="222"/>
      <c r="BX555" s="222"/>
      <c r="BY555" s="222"/>
      <c r="BZ555" s="222"/>
      <c r="CA555" s="222"/>
      <c r="CB555" s="222"/>
      <c r="CC555" s="222"/>
      <c r="CD555" s="222"/>
      <c r="CE555" s="222"/>
      <c r="CF555" s="222"/>
      <c r="CG555" s="222"/>
      <c r="CH555" s="222"/>
      <c r="CI555" s="222"/>
      <c r="CJ555" s="222"/>
      <c r="CK555" s="222"/>
      <c r="CL555" s="222"/>
      <c r="CM555" s="222"/>
      <c r="CN555" s="222"/>
      <c r="CO555" s="222"/>
      <c r="CP555" s="222"/>
      <c r="CQ555" s="222"/>
      <c r="CR555" s="222"/>
      <c r="CS555" s="222"/>
    </row>
    <row r="556">
      <c r="A556" s="43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  <c r="AC556" s="222"/>
      <c r="AD556" s="222"/>
      <c r="AE556" s="222"/>
      <c r="AF556" s="222"/>
      <c r="AG556" s="222"/>
      <c r="AH556" s="222"/>
      <c r="AI556" s="222"/>
      <c r="AJ556" s="222"/>
      <c r="AK556" s="222"/>
      <c r="AL556" s="222"/>
      <c r="AM556" s="222"/>
      <c r="AN556" s="222"/>
      <c r="AO556" s="222"/>
      <c r="AP556" s="222"/>
      <c r="AQ556" s="222"/>
      <c r="AR556" s="222"/>
      <c r="AS556" s="222"/>
      <c r="AT556" s="222"/>
      <c r="AU556" s="222"/>
      <c r="AV556" s="222"/>
      <c r="AW556" s="222"/>
      <c r="AX556" s="222"/>
      <c r="AY556" s="222"/>
      <c r="AZ556" s="222"/>
      <c r="BA556" s="222"/>
      <c r="BB556" s="222"/>
      <c r="BC556" s="222"/>
      <c r="BD556" s="222"/>
      <c r="BE556" s="222"/>
      <c r="BF556" s="222"/>
      <c r="BG556" s="222"/>
      <c r="BH556" s="222"/>
      <c r="BI556" s="222"/>
      <c r="BJ556" s="222"/>
      <c r="BK556" s="222"/>
      <c r="BL556" s="222"/>
      <c r="BM556" s="222"/>
      <c r="BN556" s="222"/>
      <c r="BO556" s="222"/>
      <c r="BP556" s="222"/>
      <c r="BQ556" s="222"/>
      <c r="BR556" s="222"/>
      <c r="BS556" s="222"/>
      <c r="BT556" s="222"/>
      <c r="BU556" s="222"/>
      <c r="BV556" s="222"/>
      <c r="BW556" s="222"/>
      <c r="BX556" s="222"/>
      <c r="BY556" s="222"/>
      <c r="BZ556" s="222"/>
      <c r="CA556" s="222"/>
      <c r="CB556" s="222"/>
      <c r="CC556" s="222"/>
      <c r="CD556" s="222"/>
      <c r="CE556" s="222"/>
      <c r="CF556" s="222"/>
      <c r="CG556" s="222"/>
      <c r="CH556" s="222"/>
      <c r="CI556" s="222"/>
      <c r="CJ556" s="222"/>
      <c r="CK556" s="222"/>
      <c r="CL556" s="222"/>
      <c r="CM556" s="222"/>
      <c r="CN556" s="222"/>
      <c r="CO556" s="222"/>
      <c r="CP556" s="222"/>
      <c r="CQ556" s="222"/>
      <c r="CR556" s="222"/>
      <c r="CS556" s="222"/>
    </row>
    <row r="557">
      <c r="A557" s="43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  <c r="AC557" s="222"/>
      <c r="AD557" s="222"/>
      <c r="AE557" s="222"/>
      <c r="AF557" s="222"/>
      <c r="AG557" s="222"/>
      <c r="AH557" s="222"/>
      <c r="AI557" s="222"/>
      <c r="AJ557" s="222"/>
      <c r="AK557" s="222"/>
      <c r="AL557" s="222"/>
      <c r="AM557" s="222"/>
      <c r="AN557" s="222"/>
      <c r="AO557" s="222"/>
      <c r="AP557" s="222"/>
      <c r="AQ557" s="222"/>
      <c r="AR557" s="222"/>
      <c r="AS557" s="222"/>
      <c r="AT557" s="222"/>
      <c r="AU557" s="222"/>
      <c r="AV557" s="222"/>
      <c r="AW557" s="222"/>
      <c r="AX557" s="222"/>
      <c r="AY557" s="222"/>
      <c r="AZ557" s="222"/>
      <c r="BA557" s="222"/>
      <c r="BB557" s="222"/>
      <c r="BC557" s="222"/>
      <c r="BD557" s="222"/>
      <c r="BE557" s="222"/>
      <c r="BF557" s="222"/>
      <c r="BG557" s="222"/>
      <c r="BH557" s="222"/>
      <c r="BI557" s="222"/>
      <c r="BJ557" s="222"/>
      <c r="BK557" s="222"/>
      <c r="BL557" s="222"/>
      <c r="BM557" s="222"/>
      <c r="BN557" s="222"/>
      <c r="BO557" s="222"/>
      <c r="BP557" s="222"/>
      <c r="BQ557" s="222"/>
      <c r="BR557" s="222"/>
      <c r="BS557" s="222"/>
      <c r="BT557" s="222"/>
      <c r="BU557" s="222"/>
      <c r="BV557" s="222"/>
      <c r="BW557" s="222"/>
      <c r="BX557" s="222"/>
      <c r="BY557" s="222"/>
      <c r="BZ557" s="222"/>
      <c r="CA557" s="222"/>
      <c r="CB557" s="222"/>
      <c r="CC557" s="222"/>
      <c r="CD557" s="222"/>
      <c r="CE557" s="222"/>
      <c r="CF557" s="222"/>
      <c r="CG557" s="222"/>
      <c r="CH557" s="222"/>
      <c r="CI557" s="222"/>
      <c r="CJ557" s="222"/>
      <c r="CK557" s="222"/>
      <c r="CL557" s="222"/>
      <c r="CM557" s="222"/>
      <c r="CN557" s="222"/>
      <c r="CO557" s="222"/>
      <c r="CP557" s="222"/>
      <c r="CQ557" s="222"/>
      <c r="CR557" s="222"/>
      <c r="CS557" s="222"/>
    </row>
    <row r="558">
      <c r="A558" s="43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  <c r="AC558" s="222"/>
      <c r="AD558" s="222"/>
      <c r="AE558" s="222"/>
      <c r="AF558" s="222"/>
      <c r="AG558" s="222"/>
      <c r="AH558" s="222"/>
      <c r="AI558" s="222"/>
      <c r="AJ558" s="222"/>
      <c r="AK558" s="222"/>
      <c r="AL558" s="222"/>
      <c r="AM558" s="222"/>
      <c r="AN558" s="222"/>
      <c r="AO558" s="222"/>
      <c r="AP558" s="222"/>
      <c r="AQ558" s="222"/>
      <c r="AR558" s="222"/>
      <c r="AS558" s="222"/>
      <c r="AT558" s="222"/>
      <c r="AU558" s="222"/>
      <c r="AV558" s="222"/>
      <c r="AW558" s="222"/>
      <c r="AX558" s="222"/>
      <c r="AY558" s="222"/>
      <c r="AZ558" s="222"/>
      <c r="BA558" s="222"/>
      <c r="BB558" s="222"/>
      <c r="BC558" s="222"/>
      <c r="BD558" s="222"/>
      <c r="BE558" s="222"/>
      <c r="BF558" s="222"/>
      <c r="BG558" s="222"/>
      <c r="BH558" s="222"/>
      <c r="BI558" s="222"/>
      <c r="BJ558" s="222"/>
      <c r="BK558" s="222"/>
      <c r="BL558" s="222"/>
      <c r="BM558" s="222"/>
      <c r="BN558" s="222"/>
      <c r="BO558" s="222"/>
      <c r="BP558" s="222"/>
      <c r="BQ558" s="222"/>
      <c r="BR558" s="222"/>
      <c r="BS558" s="222"/>
      <c r="BT558" s="222"/>
      <c r="BU558" s="222"/>
      <c r="BV558" s="222"/>
      <c r="BW558" s="222"/>
      <c r="BX558" s="222"/>
      <c r="BY558" s="222"/>
      <c r="BZ558" s="222"/>
      <c r="CA558" s="222"/>
      <c r="CB558" s="222"/>
      <c r="CC558" s="222"/>
      <c r="CD558" s="222"/>
      <c r="CE558" s="222"/>
      <c r="CF558" s="222"/>
      <c r="CG558" s="222"/>
      <c r="CH558" s="222"/>
      <c r="CI558" s="222"/>
      <c r="CJ558" s="222"/>
      <c r="CK558" s="222"/>
      <c r="CL558" s="222"/>
      <c r="CM558" s="222"/>
      <c r="CN558" s="222"/>
      <c r="CO558" s="222"/>
      <c r="CP558" s="222"/>
      <c r="CQ558" s="222"/>
      <c r="CR558" s="222"/>
      <c r="CS558" s="222"/>
    </row>
    <row r="559">
      <c r="A559" s="43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  <c r="AC559" s="222"/>
      <c r="AD559" s="222"/>
      <c r="AE559" s="222"/>
      <c r="AF559" s="222"/>
      <c r="AG559" s="222"/>
      <c r="AH559" s="222"/>
      <c r="AI559" s="222"/>
      <c r="AJ559" s="222"/>
      <c r="AK559" s="222"/>
      <c r="AL559" s="222"/>
      <c r="AM559" s="222"/>
      <c r="AN559" s="222"/>
      <c r="AO559" s="222"/>
      <c r="AP559" s="222"/>
      <c r="AQ559" s="222"/>
      <c r="AR559" s="222"/>
      <c r="AS559" s="222"/>
      <c r="AT559" s="222"/>
      <c r="AU559" s="222"/>
      <c r="AV559" s="222"/>
      <c r="AW559" s="222"/>
      <c r="AX559" s="222"/>
      <c r="AY559" s="222"/>
      <c r="AZ559" s="222"/>
      <c r="BA559" s="222"/>
      <c r="BB559" s="222"/>
      <c r="BC559" s="222"/>
      <c r="BD559" s="222"/>
      <c r="BE559" s="222"/>
      <c r="BF559" s="222"/>
      <c r="BG559" s="222"/>
      <c r="BH559" s="222"/>
      <c r="BI559" s="222"/>
      <c r="BJ559" s="222"/>
      <c r="BK559" s="222"/>
      <c r="BL559" s="222"/>
      <c r="BM559" s="222"/>
      <c r="BN559" s="222"/>
      <c r="BO559" s="222"/>
      <c r="BP559" s="222"/>
      <c r="BQ559" s="222"/>
      <c r="BR559" s="222"/>
      <c r="BS559" s="222"/>
      <c r="BT559" s="222"/>
      <c r="BU559" s="222"/>
      <c r="BV559" s="222"/>
      <c r="BW559" s="222"/>
      <c r="BX559" s="222"/>
      <c r="BY559" s="222"/>
      <c r="BZ559" s="222"/>
      <c r="CA559" s="222"/>
      <c r="CB559" s="222"/>
      <c r="CC559" s="222"/>
      <c r="CD559" s="222"/>
      <c r="CE559" s="222"/>
      <c r="CF559" s="222"/>
      <c r="CG559" s="222"/>
      <c r="CH559" s="222"/>
      <c r="CI559" s="222"/>
      <c r="CJ559" s="222"/>
      <c r="CK559" s="222"/>
      <c r="CL559" s="222"/>
      <c r="CM559" s="222"/>
      <c r="CN559" s="222"/>
      <c r="CO559" s="222"/>
      <c r="CP559" s="222"/>
      <c r="CQ559" s="222"/>
      <c r="CR559" s="222"/>
      <c r="CS559" s="222"/>
    </row>
    <row r="560">
      <c r="A560" s="43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  <c r="AC560" s="222"/>
      <c r="AD560" s="222"/>
      <c r="AE560" s="222"/>
      <c r="AF560" s="222"/>
      <c r="AG560" s="222"/>
      <c r="AH560" s="222"/>
      <c r="AI560" s="222"/>
      <c r="AJ560" s="222"/>
      <c r="AK560" s="222"/>
      <c r="AL560" s="222"/>
      <c r="AM560" s="222"/>
      <c r="AN560" s="222"/>
      <c r="AO560" s="222"/>
      <c r="AP560" s="222"/>
      <c r="AQ560" s="222"/>
      <c r="AR560" s="222"/>
      <c r="AS560" s="222"/>
      <c r="AT560" s="222"/>
      <c r="AU560" s="222"/>
      <c r="AV560" s="222"/>
      <c r="AW560" s="222"/>
      <c r="AX560" s="222"/>
      <c r="AY560" s="222"/>
      <c r="AZ560" s="222"/>
      <c r="BA560" s="222"/>
      <c r="BB560" s="222"/>
      <c r="BC560" s="222"/>
      <c r="BD560" s="222"/>
      <c r="BE560" s="222"/>
      <c r="BF560" s="222"/>
      <c r="BG560" s="222"/>
      <c r="BH560" s="222"/>
      <c r="BI560" s="222"/>
      <c r="BJ560" s="222"/>
      <c r="BK560" s="222"/>
      <c r="BL560" s="222"/>
      <c r="BM560" s="222"/>
      <c r="BN560" s="222"/>
      <c r="BO560" s="222"/>
      <c r="BP560" s="222"/>
      <c r="BQ560" s="222"/>
      <c r="BR560" s="222"/>
      <c r="BS560" s="222"/>
      <c r="BT560" s="222"/>
      <c r="BU560" s="222"/>
      <c r="BV560" s="222"/>
      <c r="BW560" s="222"/>
      <c r="BX560" s="222"/>
      <c r="BY560" s="222"/>
      <c r="BZ560" s="222"/>
      <c r="CA560" s="222"/>
      <c r="CB560" s="222"/>
      <c r="CC560" s="222"/>
      <c r="CD560" s="222"/>
      <c r="CE560" s="222"/>
      <c r="CF560" s="222"/>
      <c r="CG560" s="222"/>
      <c r="CH560" s="222"/>
      <c r="CI560" s="222"/>
      <c r="CJ560" s="222"/>
      <c r="CK560" s="222"/>
      <c r="CL560" s="222"/>
      <c r="CM560" s="222"/>
      <c r="CN560" s="222"/>
      <c r="CO560" s="222"/>
      <c r="CP560" s="222"/>
      <c r="CQ560" s="222"/>
      <c r="CR560" s="222"/>
      <c r="CS560" s="222"/>
    </row>
    <row r="561">
      <c r="A561" s="43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  <c r="AC561" s="222"/>
      <c r="AD561" s="222"/>
      <c r="AE561" s="222"/>
      <c r="AF561" s="222"/>
      <c r="AG561" s="222"/>
      <c r="AH561" s="222"/>
      <c r="AI561" s="222"/>
      <c r="AJ561" s="222"/>
      <c r="AK561" s="222"/>
      <c r="AL561" s="222"/>
      <c r="AM561" s="222"/>
      <c r="AN561" s="222"/>
      <c r="AO561" s="222"/>
      <c r="AP561" s="222"/>
      <c r="AQ561" s="222"/>
      <c r="AR561" s="222"/>
      <c r="AS561" s="222"/>
      <c r="AT561" s="222"/>
      <c r="AU561" s="222"/>
      <c r="AV561" s="222"/>
      <c r="AW561" s="222"/>
      <c r="AX561" s="222"/>
      <c r="AY561" s="222"/>
      <c r="AZ561" s="222"/>
      <c r="BA561" s="222"/>
      <c r="BB561" s="222"/>
      <c r="BC561" s="222"/>
      <c r="BD561" s="222"/>
      <c r="BE561" s="222"/>
      <c r="BF561" s="222"/>
      <c r="BG561" s="222"/>
      <c r="BH561" s="222"/>
      <c r="BI561" s="222"/>
      <c r="BJ561" s="222"/>
      <c r="BK561" s="222"/>
      <c r="BL561" s="222"/>
      <c r="BM561" s="222"/>
      <c r="BN561" s="222"/>
      <c r="BO561" s="222"/>
      <c r="BP561" s="222"/>
      <c r="BQ561" s="222"/>
      <c r="BR561" s="222"/>
      <c r="BS561" s="222"/>
      <c r="BT561" s="222"/>
      <c r="BU561" s="222"/>
      <c r="BV561" s="222"/>
      <c r="BW561" s="222"/>
      <c r="BX561" s="222"/>
      <c r="BY561" s="222"/>
      <c r="BZ561" s="222"/>
      <c r="CA561" s="222"/>
      <c r="CB561" s="222"/>
      <c r="CC561" s="222"/>
      <c r="CD561" s="222"/>
      <c r="CE561" s="222"/>
      <c r="CF561" s="222"/>
      <c r="CG561" s="222"/>
      <c r="CH561" s="222"/>
      <c r="CI561" s="222"/>
      <c r="CJ561" s="222"/>
      <c r="CK561" s="222"/>
      <c r="CL561" s="222"/>
      <c r="CM561" s="222"/>
      <c r="CN561" s="222"/>
      <c r="CO561" s="222"/>
      <c r="CP561" s="222"/>
      <c r="CQ561" s="222"/>
      <c r="CR561" s="222"/>
      <c r="CS561" s="222"/>
    </row>
    <row r="562">
      <c r="A562" s="43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  <c r="AC562" s="222"/>
      <c r="AD562" s="222"/>
      <c r="AE562" s="222"/>
      <c r="AF562" s="222"/>
      <c r="AG562" s="222"/>
      <c r="AH562" s="222"/>
      <c r="AI562" s="222"/>
      <c r="AJ562" s="222"/>
      <c r="AK562" s="222"/>
      <c r="AL562" s="222"/>
      <c r="AM562" s="222"/>
      <c r="AN562" s="222"/>
      <c r="AO562" s="222"/>
      <c r="AP562" s="222"/>
      <c r="AQ562" s="222"/>
      <c r="AR562" s="222"/>
      <c r="AS562" s="222"/>
      <c r="AT562" s="222"/>
      <c r="AU562" s="222"/>
      <c r="AV562" s="222"/>
      <c r="AW562" s="222"/>
      <c r="AX562" s="222"/>
      <c r="AY562" s="222"/>
      <c r="AZ562" s="222"/>
      <c r="BA562" s="222"/>
      <c r="BB562" s="222"/>
      <c r="BC562" s="222"/>
      <c r="BD562" s="222"/>
      <c r="BE562" s="222"/>
      <c r="BF562" s="222"/>
      <c r="BG562" s="222"/>
      <c r="BH562" s="222"/>
      <c r="BI562" s="222"/>
      <c r="BJ562" s="222"/>
      <c r="BK562" s="222"/>
      <c r="BL562" s="222"/>
      <c r="BM562" s="222"/>
      <c r="BN562" s="222"/>
      <c r="BO562" s="222"/>
      <c r="BP562" s="222"/>
      <c r="BQ562" s="222"/>
      <c r="BR562" s="222"/>
      <c r="BS562" s="222"/>
      <c r="BT562" s="222"/>
      <c r="BU562" s="222"/>
      <c r="BV562" s="222"/>
      <c r="BW562" s="222"/>
      <c r="BX562" s="222"/>
      <c r="BY562" s="222"/>
      <c r="BZ562" s="222"/>
      <c r="CA562" s="222"/>
      <c r="CB562" s="222"/>
      <c r="CC562" s="222"/>
      <c r="CD562" s="222"/>
      <c r="CE562" s="222"/>
      <c r="CF562" s="222"/>
      <c r="CG562" s="222"/>
      <c r="CH562" s="222"/>
      <c r="CI562" s="222"/>
      <c r="CJ562" s="222"/>
      <c r="CK562" s="222"/>
      <c r="CL562" s="222"/>
      <c r="CM562" s="222"/>
      <c r="CN562" s="222"/>
      <c r="CO562" s="222"/>
      <c r="CP562" s="222"/>
      <c r="CQ562" s="222"/>
      <c r="CR562" s="222"/>
      <c r="CS562" s="222"/>
    </row>
    <row r="563">
      <c r="A563" s="43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  <c r="AC563" s="222"/>
      <c r="AD563" s="222"/>
      <c r="AE563" s="222"/>
      <c r="AF563" s="222"/>
      <c r="AG563" s="222"/>
      <c r="AH563" s="222"/>
      <c r="AI563" s="222"/>
      <c r="AJ563" s="222"/>
      <c r="AK563" s="222"/>
      <c r="AL563" s="222"/>
      <c r="AM563" s="222"/>
      <c r="AN563" s="222"/>
      <c r="AO563" s="222"/>
      <c r="AP563" s="222"/>
      <c r="AQ563" s="222"/>
      <c r="AR563" s="222"/>
      <c r="AS563" s="222"/>
      <c r="AT563" s="222"/>
      <c r="AU563" s="222"/>
      <c r="AV563" s="222"/>
      <c r="AW563" s="222"/>
      <c r="AX563" s="222"/>
      <c r="AY563" s="222"/>
      <c r="AZ563" s="222"/>
      <c r="BA563" s="222"/>
      <c r="BB563" s="222"/>
      <c r="BC563" s="222"/>
      <c r="BD563" s="222"/>
      <c r="BE563" s="222"/>
      <c r="BF563" s="222"/>
      <c r="BG563" s="222"/>
      <c r="BH563" s="222"/>
      <c r="BI563" s="222"/>
      <c r="BJ563" s="222"/>
      <c r="BK563" s="222"/>
      <c r="BL563" s="222"/>
      <c r="BM563" s="222"/>
      <c r="BN563" s="222"/>
      <c r="BO563" s="222"/>
      <c r="BP563" s="222"/>
      <c r="BQ563" s="222"/>
      <c r="BR563" s="222"/>
      <c r="BS563" s="222"/>
      <c r="BT563" s="222"/>
      <c r="BU563" s="222"/>
      <c r="BV563" s="222"/>
      <c r="BW563" s="222"/>
      <c r="BX563" s="222"/>
      <c r="BY563" s="222"/>
      <c r="BZ563" s="222"/>
      <c r="CA563" s="222"/>
      <c r="CB563" s="222"/>
      <c r="CC563" s="222"/>
      <c r="CD563" s="222"/>
      <c r="CE563" s="222"/>
      <c r="CF563" s="222"/>
      <c r="CG563" s="222"/>
      <c r="CH563" s="222"/>
      <c r="CI563" s="222"/>
      <c r="CJ563" s="222"/>
      <c r="CK563" s="222"/>
      <c r="CL563" s="222"/>
      <c r="CM563" s="222"/>
      <c r="CN563" s="222"/>
      <c r="CO563" s="222"/>
      <c r="CP563" s="222"/>
      <c r="CQ563" s="222"/>
      <c r="CR563" s="222"/>
      <c r="CS563" s="222"/>
    </row>
    <row r="564">
      <c r="A564" s="43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  <c r="AC564" s="222"/>
      <c r="AD564" s="222"/>
      <c r="AE564" s="222"/>
      <c r="AF564" s="222"/>
      <c r="AG564" s="222"/>
      <c r="AH564" s="222"/>
      <c r="AI564" s="222"/>
      <c r="AJ564" s="222"/>
      <c r="AK564" s="222"/>
      <c r="AL564" s="222"/>
      <c r="AM564" s="222"/>
      <c r="AN564" s="222"/>
      <c r="AO564" s="222"/>
      <c r="AP564" s="222"/>
      <c r="AQ564" s="222"/>
      <c r="AR564" s="222"/>
      <c r="AS564" s="222"/>
      <c r="AT564" s="222"/>
      <c r="AU564" s="222"/>
      <c r="AV564" s="222"/>
      <c r="AW564" s="222"/>
      <c r="AX564" s="222"/>
      <c r="AY564" s="222"/>
      <c r="AZ564" s="222"/>
      <c r="BA564" s="222"/>
      <c r="BB564" s="222"/>
      <c r="BC564" s="222"/>
      <c r="BD564" s="222"/>
      <c r="BE564" s="222"/>
      <c r="BF564" s="222"/>
      <c r="BG564" s="222"/>
      <c r="BH564" s="222"/>
      <c r="BI564" s="222"/>
      <c r="BJ564" s="222"/>
      <c r="BK564" s="222"/>
      <c r="BL564" s="222"/>
      <c r="BM564" s="222"/>
      <c r="BN564" s="222"/>
      <c r="BO564" s="222"/>
      <c r="BP564" s="222"/>
      <c r="BQ564" s="222"/>
      <c r="BR564" s="222"/>
      <c r="BS564" s="222"/>
      <c r="BT564" s="222"/>
      <c r="BU564" s="222"/>
      <c r="BV564" s="222"/>
      <c r="BW564" s="222"/>
      <c r="BX564" s="222"/>
      <c r="BY564" s="222"/>
      <c r="BZ564" s="222"/>
      <c r="CA564" s="222"/>
      <c r="CB564" s="222"/>
      <c r="CC564" s="222"/>
      <c r="CD564" s="222"/>
      <c r="CE564" s="222"/>
      <c r="CF564" s="222"/>
      <c r="CG564" s="222"/>
      <c r="CH564" s="222"/>
      <c r="CI564" s="222"/>
      <c r="CJ564" s="222"/>
      <c r="CK564" s="222"/>
      <c r="CL564" s="222"/>
      <c r="CM564" s="222"/>
      <c r="CN564" s="222"/>
      <c r="CO564" s="222"/>
      <c r="CP564" s="222"/>
      <c r="CQ564" s="222"/>
      <c r="CR564" s="222"/>
      <c r="CS564" s="222"/>
    </row>
    <row r="565">
      <c r="A565" s="43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  <c r="AC565" s="222"/>
      <c r="AD565" s="222"/>
      <c r="AE565" s="222"/>
      <c r="AF565" s="222"/>
      <c r="AG565" s="222"/>
      <c r="AH565" s="222"/>
      <c r="AI565" s="222"/>
      <c r="AJ565" s="222"/>
      <c r="AK565" s="222"/>
      <c r="AL565" s="222"/>
      <c r="AM565" s="222"/>
      <c r="AN565" s="222"/>
      <c r="AO565" s="222"/>
      <c r="AP565" s="222"/>
      <c r="AQ565" s="222"/>
      <c r="AR565" s="222"/>
      <c r="AS565" s="222"/>
      <c r="AT565" s="222"/>
      <c r="AU565" s="222"/>
      <c r="AV565" s="222"/>
      <c r="AW565" s="222"/>
      <c r="AX565" s="222"/>
      <c r="AY565" s="222"/>
      <c r="AZ565" s="222"/>
      <c r="BA565" s="222"/>
      <c r="BB565" s="222"/>
      <c r="BC565" s="222"/>
      <c r="BD565" s="222"/>
      <c r="BE565" s="222"/>
      <c r="BF565" s="222"/>
      <c r="BG565" s="222"/>
      <c r="BH565" s="222"/>
      <c r="BI565" s="222"/>
      <c r="BJ565" s="222"/>
      <c r="BK565" s="222"/>
      <c r="BL565" s="222"/>
      <c r="BM565" s="222"/>
      <c r="BN565" s="222"/>
      <c r="BO565" s="222"/>
      <c r="BP565" s="222"/>
      <c r="BQ565" s="222"/>
      <c r="BR565" s="222"/>
      <c r="BS565" s="222"/>
      <c r="BT565" s="222"/>
      <c r="BU565" s="222"/>
      <c r="BV565" s="222"/>
      <c r="BW565" s="222"/>
      <c r="BX565" s="222"/>
      <c r="BY565" s="222"/>
      <c r="BZ565" s="222"/>
      <c r="CA565" s="222"/>
      <c r="CB565" s="222"/>
      <c r="CC565" s="222"/>
      <c r="CD565" s="222"/>
      <c r="CE565" s="222"/>
      <c r="CF565" s="222"/>
      <c r="CG565" s="222"/>
      <c r="CH565" s="222"/>
      <c r="CI565" s="222"/>
      <c r="CJ565" s="222"/>
      <c r="CK565" s="222"/>
      <c r="CL565" s="222"/>
      <c r="CM565" s="222"/>
      <c r="CN565" s="222"/>
      <c r="CO565" s="222"/>
      <c r="CP565" s="222"/>
      <c r="CQ565" s="222"/>
      <c r="CR565" s="222"/>
      <c r="CS565" s="222"/>
    </row>
    <row r="566">
      <c r="A566" s="43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  <c r="AC566" s="222"/>
      <c r="AD566" s="222"/>
      <c r="AE566" s="222"/>
      <c r="AF566" s="222"/>
      <c r="AG566" s="222"/>
      <c r="AH566" s="222"/>
      <c r="AI566" s="222"/>
      <c r="AJ566" s="222"/>
      <c r="AK566" s="222"/>
      <c r="AL566" s="222"/>
      <c r="AM566" s="222"/>
      <c r="AN566" s="222"/>
      <c r="AO566" s="222"/>
      <c r="AP566" s="222"/>
      <c r="AQ566" s="222"/>
      <c r="AR566" s="222"/>
      <c r="AS566" s="222"/>
      <c r="AT566" s="222"/>
      <c r="AU566" s="222"/>
      <c r="AV566" s="222"/>
      <c r="AW566" s="222"/>
      <c r="AX566" s="222"/>
      <c r="AY566" s="222"/>
      <c r="AZ566" s="222"/>
      <c r="BA566" s="222"/>
      <c r="BB566" s="222"/>
      <c r="BC566" s="222"/>
      <c r="BD566" s="222"/>
      <c r="BE566" s="222"/>
      <c r="BF566" s="222"/>
      <c r="BG566" s="222"/>
      <c r="BH566" s="222"/>
      <c r="BI566" s="222"/>
      <c r="BJ566" s="222"/>
      <c r="BK566" s="222"/>
      <c r="BL566" s="222"/>
      <c r="BM566" s="222"/>
      <c r="BN566" s="222"/>
      <c r="BO566" s="222"/>
      <c r="BP566" s="222"/>
      <c r="BQ566" s="222"/>
      <c r="BR566" s="222"/>
      <c r="BS566" s="222"/>
      <c r="BT566" s="222"/>
      <c r="BU566" s="222"/>
      <c r="BV566" s="222"/>
      <c r="BW566" s="222"/>
      <c r="BX566" s="222"/>
      <c r="BY566" s="222"/>
      <c r="BZ566" s="222"/>
      <c r="CA566" s="222"/>
      <c r="CB566" s="222"/>
      <c r="CC566" s="222"/>
      <c r="CD566" s="222"/>
      <c r="CE566" s="222"/>
      <c r="CF566" s="222"/>
      <c r="CG566" s="222"/>
      <c r="CH566" s="222"/>
      <c r="CI566" s="222"/>
      <c r="CJ566" s="222"/>
      <c r="CK566" s="222"/>
      <c r="CL566" s="222"/>
      <c r="CM566" s="222"/>
      <c r="CN566" s="222"/>
      <c r="CO566" s="222"/>
      <c r="CP566" s="222"/>
      <c r="CQ566" s="222"/>
      <c r="CR566" s="222"/>
      <c r="CS566" s="222"/>
    </row>
    <row r="567">
      <c r="A567" s="43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  <c r="AC567" s="222"/>
      <c r="AD567" s="222"/>
      <c r="AE567" s="222"/>
      <c r="AF567" s="222"/>
      <c r="AG567" s="222"/>
      <c r="AH567" s="222"/>
      <c r="AI567" s="222"/>
      <c r="AJ567" s="222"/>
      <c r="AK567" s="222"/>
      <c r="AL567" s="222"/>
      <c r="AM567" s="222"/>
      <c r="AN567" s="222"/>
      <c r="AO567" s="222"/>
      <c r="AP567" s="222"/>
      <c r="AQ567" s="222"/>
      <c r="AR567" s="222"/>
      <c r="AS567" s="222"/>
      <c r="AT567" s="222"/>
      <c r="AU567" s="222"/>
      <c r="AV567" s="222"/>
      <c r="AW567" s="222"/>
      <c r="AX567" s="222"/>
      <c r="AY567" s="222"/>
      <c r="AZ567" s="222"/>
      <c r="BA567" s="222"/>
      <c r="BB567" s="222"/>
      <c r="BC567" s="222"/>
      <c r="BD567" s="222"/>
      <c r="BE567" s="222"/>
      <c r="BF567" s="222"/>
      <c r="BG567" s="222"/>
      <c r="BH567" s="222"/>
      <c r="BI567" s="222"/>
      <c r="BJ567" s="222"/>
      <c r="BK567" s="222"/>
      <c r="BL567" s="222"/>
      <c r="BM567" s="222"/>
      <c r="BN567" s="222"/>
      <c r="BO567" s="222"/>
      <c r="BP567" s="222"/>
      <c r="BQ567" s="222"/>
      <c r="BR567" s="222"/>
      <c r="BS567" s="222"/>
      <c r="BT567" s="222"/>
      <c r="BU567" s="222"/>
      <c r="BV567" s="222"/>
      <c r="BW567" s="222"/>
      <c r="BX567" s="222"/>
      <c r="BY567" s="222"/>
      <c r="BZ567" s="222"/>
      <c r="CA567" s="222"/>
      <c r="CB567" s="222"/>
      <c r="CC567" s="222"/>
      <c r="CD567" s="222"/>
      <c r="CE567" s="222"/>
      <c r="CF567" s="222"/>
      <c r="CG567" s="222"/>
      <c r="CH567" s="222"/>
      <c r="CI567" s="222"/>
      <c r="CJ567" s="222"/>
      <c r="CK567" s="222"/>
      <c r="CL567" s="222"/>
      <c r="CM567" s="222"/>
      <c r="CN567" s="222"/>
      <c r="CO567" s="222"/>
      <c r="CP567" s="222"/>
      <c r="CQ567" s="222"/>
      <c r="CR567" s="222"/>
      <c r="CS567" s="222"/>
    </row>
    <row r="568">
      <c r="A568" s="43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  <c r="AC568" s="222"/>
      <c r="AD568" s="222"/>
      <c r="AE568" s="222"/>
      <c r="AF568" s="222"/>
      <c r="AG568" s="222"/>
      <c r="AH568" s="222"/>
      <c r="AI568" s="222"/>
      <c r="AJ568" s="222"/>
      <c r="AK568" s="222"/>
      <c r="AL568" s="222"/>
      <c r="AM568" s="222"/>
      <c r="AN568" s="222"/>
      <c r="AO568" s="222"/>
      <c r="AP568" s="222"/>
      <c r="AQ568" s="222"/>
      <c r="AR568" s="222"/>
      <c r="AS568" s="222"/>
      <c r="AT568" s="222"/>
      <c r="AU568" s="222"/>
      <c r="AV568" s="222"/>
      <c r="AW568" s="222"/>
      <c r="AX568" s="222"/>
      <c r="AY568" s="222"/>
      <c r="AZ568" s="222"/>
      <c r="BA568" s="222"/>
      <c r="BB568" s="222"/>
      <c r="BC568" s="222"/>
      <c r="BD568" s="222"/>
      <c r="BE568" s="222"/>
      <c r="BF568" s="222"/>
      <c r="BG568" s="222"/>
      <c r="BH568" s="222"/>
      <c r="BI568" s="222"/>
      <c r="BJ568" s="222"/>
      <c r="BK568" s="222"/>
      <c r="BL568" s="222"/>
      <c r="BM568" s="222"/>
      <c r="BN568" s="222"/>
      <c r="BO568" s="222"/>
      <c r="BP568" s="222"/>
      <c r="BQ568" s="222"/>
      <c r="BR568" s="222"/>
      <c r="BS568" s="222"/>
      <c r="BT568" s="222"/>
      <c r="BU568" s="222"/>
      <c r="BV568" s="222"/>
      <c r="BW568" s="222"/>
      <c r="BX568" s="222"/>
      <c r="BY568" s="222"/>
      <c r="BZ568" s="222"/>
      <c r="CA568" s="222"/>
      <c r="CB568" s="222"/>
      <c r="CC568" s="222"/>
      <c r="CD568" s="222"/>
      <c r="CE568" s="222"/>
      <c r="CF568" s="222"/>
      <c r="CG568" s="222"/>
      <c r="CH568" s="222"/>
      <c r="CI568" s="222"/>
      <c r="CJ568" s="222"/>
      <c r="CK568" s="222"/>
      <c r="CL568" s="222"/>
      <c r="CM568" s="222"/>
      <c r="CN568" s="222"/>
      <c r="CO568" s="222"/>
      <c r="CP568" s="222"/>
      <c r="CQ568" s="222"/>
      <c r="CR568" s="222"/>
      <c r="CS568" s="222"/>
    </row>
    <row r="569">
      <c r="A569" s="43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  <c r="AC569" s="222"/>
      <c r="AD569" s="222"/>
      <c r="AE569" s="222"/>
      <c r="AF569" s="222"/>
      <c r="AG569" s="222"/>
      <c r="AH569" s="222"/>
      <c r="AI569" s="222"/>
      <c r="AJ569" s="222"/>
      <c r="AK569" s="222"/>
      <c r="AL569" s="222"/>
      <c r="AM569" s="222"/>
      <c r="AN569" s="222"/>
      <c r="AO569" s="222"/>
      <c r="AP569" s="222"/>
      <c r="AQ569" s="222"/>
      <c r="AR569" s="222"/>
      <c r="AS569" s="222"/>
      <c r="AT569" s="222"/>
      <c r="AU569" s="222"/>
      <c r="AV569" s="222"/>
      <c r="AW569" s="222"/>
      <c r="AX569" s="222"/>
      <c r="AY569" s="222"/>
      <c r="AZ569" s="222"/>
      <c r="BA569" s="222"/>
      <c r="BB569" s="222"/>
      <c r="BC569" s="222"/>
      <c r="BD569" s="222"/>
      <c r="BE569" s="222"/>
      <c r="BF569" s="222"/>
      <c r="BG569" s="222"/>
      <c r="BH569" s="222"/>
      <c r="BI569" s="222"/>
      <c r="BJ569" s="222"/>
      <c r="BK569" s="222"/>
      <c r="BL569" s="222"/>
      <c r="BM569" s="222"/>
      <c r="BN569" s="222"/>
      <c r="BO569" s="222"/>
      <c r="BP569" s="222"/>
      <c r="BQ569" s="222"/>
      <c r="BR569" s="222"/>
      <c r="BS569" s="222"/>
      <c r="BT569" s="222"/>
      <c r="BU569" s="222"/>
      <c r="BV569" s="222"/>
      <c r="BW569" s="222"/>
      <c r="BX569" s="222"/>
      <c r="BY569" s="222"/>
      <c r="BZ569" s="222"/>
      <c r="CA569" s="222"/>
      <c r="CB569" s="222"/>
      <c r="CC569" s="222"/>
      <c r="CD569" s="222"/>
      <c r="CE569" s="222"/>
      <c r="CF569" s="222"/>
      <c r="CG569" s="222"/>
      <c r="CH569" s="222"/>
      <c r="CI569" s="222"/>
      <c r="CJ569" s="222"/>
      <c r="CK569" s="222"/>
      <c r="CL569" s="222"/>
      <c r="CM569" s="222"/>
      <c r="CN569" s="222"/>
      <c r="CO569" s="222"/>
      <c r="CP569" s="222"/>
      <c r="CQ569" s="222"/>
      <c r="CR569" s="222"/>
      <c r="CS569" s="222"/>
    </row>
    <row r="570">
      <c r="A570" s="43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  <c r="AC570" s="222"/>
      <c r="AD570" s="222"/>
      <c r="AE570" s="222"/>
      <c r="AF570" s="222"/>
      <c r="AG570" s="222"/>
      <c r="AH570" s="222"/>
      <c r="AI570" s="222"/>
      <c r="AJ570" s="222"/>
      <c r="AK570" s="222"/>
      <c r="AL570" s="222"/>
      <c r="AM570" s="222"/>
      <c r="AN570" s="222"/>
      <c r="AO570" s="222"/>
      <c r="AP570" s="222"/>
      <c r="AQ570" s="222"/>
      <c r="AR570" s="222"/>
      <c r="AS570" s="222"/>
      <c r="AT570" s="222"/>
      <c r="AU570" s="222"/>
      <c r="AV570" s="222"/>
      <c r="AW570" s="222"/>
      <c r="AX570" s="222"/>
      <c r="AY570" s="222"/>
      <c r="AZ570" s="222"/>
      <c r="BA570" s="222"/>
      <c r="BB570" s="222"/>
      <c r="BC570" s="222"/>
      <c r="BD570" s="222"/>
      <c r="BE570" s="222"/>
      <c r="BF570" s="222"/>
      <c r="BG570" s="222"/>
      <c r="BH570" s="222"/>
      <c r="BI570" s="222"/>
      <c r="BJ570" s="222"/>
      <c r="BK570" s="222"/>
      <c r="BL570" s="222"/>
      <c r="BM570" s="222"/>
      <c r="BN570" s="222"/>
      <c r="BO570" s="222"/>
      <c r="BP570" s="222"/>
      <c r="BQ570" s="222"/>
      <c r="BR570" s="222"/>
      <c r="BS570" s="222"/>
      <c r="BT570" s="222"/>
      <c r="BU570" s="222"/>
      <c r="BV570" s="222"/>
      <c r="BW570" s="222"/>
      <c r="BX570" s="222"/>
      <c r="BY570" s="222"/>
      <c r="BZ570" s="222"/>
      <c r="CA570" s="222"/>
      <c r="CB570" s="222"/>
      <c r="CC570" s="222"/>
      <c r="CD570" s="222"/>
      <c r="CE570" s="222"/>
      <c r="CF570" s="222"/>
      <c r="CG570" s="222"/>
      <c r="CH570" s="222"/>
      <c r="CI570" s="222"/>
      <c r="CJ570" s="222"/>
      <c r="CK570" s="222"/>
      <c r="CL570" s="222"/>
      <c r="CM570" s="222"/>
      <c r="CN570" s="222"/>
      <c r="CO570" s="222"/>
      <c r="CP570" s="222"/>
      <c r="CQ570" s="222"/>
      <c r="CR570" s="222"/>
      <c r="CS570" s="222"/>
    </row>
    <row r="571">
      <c r="A571" s="43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  <c r="AC571" s="222"/>
      <c r="AD571" s="222"/>
      <c r="AE571" s="222"/>
      <c r="AF571" s="222"/>
      <c r="AG571" s="222"/>
      <c r="AH571" s="222"/>
      <c r="AI571" s="222"/>
      <c r="AJ571" s="222"/>
      <c r="AK571" s="222"/>
      <c r="AL571" s="222"/>
      <c r="AM571" s="222"/>
      <c r="AN571" s="222"/>
      <c r="AO571" s="222"/>
      <c r="AP571" s="222"/>
      <c r="AQ571" s="222"/>
      <c r="AR571" s="222"/>
      <c r="AS571" s="222"/>
      <c r="AT571" s="222"/>
      <c r="AU571" s="222"/>
      <c r="AV571" s="222"/>
      <c r="AW571" s="222"/>
      <c r="AX571" s="222"/>
      <c r="AY571" s="222"/>
      <c r="AZ571" s="222"/>
      <c r="BA571" s="222"/>
      <c r="BB571" s="222"/>
      <c r="BC571" s="222"/>
      <c r="BD571" s="222"/>
      <c r="BE571" s="222"/>
      <c r="BF571" s="222"/>
      <c r="BG571" s="222"/>
      <c r="BH571" s="222"/>
      <c r="BI571" s="222"/>
      <c r="BJ571" s="222"/>
      <c r="BK571" s="222"/>
      <c r="BL571" s="222"/>
      <c r="BM571" s="222"/>
      <c r="BN571" s="222"/>
      <c r="BO571" s="222"/>
      <c r="BP571" s="222"/>
      <c r="BQ571" s="222"/>
      <c r="BR571" s="222"/>
      <c r="BS571" s="222"/>
      <c r="BT571" s="222"/>
      <c r="BU571" s="222"/>
      <c r="BV571" s="222"/>
      <c r="BW571" s="222"/>
      <c r="BX571" s="222"/>
      <c r="BY571" s="222"/>
      <c r="BZ571" s="222"/>
      <c r="CA571" s="222"/>
      <c r="CB571" s="222"/>
      <c r="CC571" s="222"/>
      <c r="CD571" s="222"/>
      <c r="CE571" s="222"/>
      <c r="CF571" s="222"/>
      <c r="CG571" s="222"/>
      <c r="CH571" s="222"/>
      <c r="CI571" s="222"/>
      <c r="CJ571" s="222"/>
      <c r="CK571" s="222"/>
      <c r="CL571" s="222"/>
      <c r="CM571" s="222"/>
      <c r="CN571" s="222"/>
      <c r="CO571" s="222"/>
      <c r="CP571" s="222"/>
      <c r="CQ571" s="222"/>
      <c r="CR571" s="222"/>
      <c r="CS571" s="222"/>
    </row>
    <row r="572">
      <c r="A572" s="43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  <c r="AC572" s="222"/>
      <c r="AD572" s="222"/>
      <c r="AE572" s="222"/>
      <c r="AF572" s="222"/>
      <c r="AG572" s="222"/>
      <c r="AH572" s="222"/>
      <c r="AI572" s="222"/>
      <c r="AJ572" s="222"/>
      <c r="AK572" s="222"/>
      <c r="AL572" s="222"/>
      <c r="AM572" s="222"/>
      <c r="AN572" s="222"/>
      <c r="AO572" s="222"/>
      <c r="AP572" s="222"/>
      <c r="AQ572" s="222"/>
      <c r="AR572" s="222"/>
      <c r="AS572" s="222"/>
      <c r="AT572" s="222"/>
      <c r="AU572" s="222"/>
      <c r="AV572" s="222"/>
      <c r="AW572" s="222"/>
      <c r="AX572" s="222"/>
      <c r="AY572" s="222"/>
      <c r="AZ572" s="222"/>
      <c r="BA572" s="222"/>
      <c r="BB572" s="222"/>
      <c r="BC572" s="222"/>
      <c r="BD572" s="222"/>
      <c r="BE572" s="222"/>
      <c r="BF572" s="222"/>
      <c r="BG572" s="222"/>
      <c r="BH572" s="222"/>
      <c r="BI572" s="222"/>
      <c r="BJ572" s="222"/>
      <c r="BK572" s="222"/>
      <c r="BL572" s="222"/>
      <c r="BM572" s="222"/>
      <c r="BN572" s="222"/>
      <c r="BO572" s="222"/>
      <c r="BP572" s="222"/>
      <c r="BQ572" s="222"/>
      <c r="BR572" s="222"/>
      <c r="BS572" s="222"/>
      <c r="BT572" s="222"/>
      <c r="BU572" s="222"/>
      <c r="BV572" s="222"/>
      <c r="BW572" s="222"/>
      <c r="BX572" s="222"/>
      <c r="BY572" s="222"/>
      <c r="BZ572" s="222"/>
      <c r="CA572" s="222"/>
      <c r="CB572" s="222"/>
      <c r="CC572" s="222"/>
      <c r="CD572" s="222"/>
      <c r="CE572" s="222"/>
      <c r="CF572" s="222"/>
      <c r="CG572" s="222"/>
      <c r="CH572" s="222"/>
      <c r="CI572" s="222"/>
      <c r="CJ572" s="222"/>
      <c r="CK572" s="222"/>
      <c r="CL572" s="222"/>
      <c r="CM572" s="222"/>
      <c r="CN572" s="222"/>
      <c r="CO572" s="222"/>
      <c r="CP572" s="222"/>
      <c r="CQ572" s="222"/>
      <c r="CR572" s="222"/>
      <c r="CS572" s="222"/>
    </row>
    <row r="573">
      <c r="A573" s="43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  <c r="AC573" s="222"/>
      <c r="AD573" s="222"/>
      <c r="AE573" s="222"/>
      <c r="AF573" s="222"/>
      <c r="AG573" s="222"/>
      <c r="AH573" s="222"/>
      <c r="AI573" s="222"/>
      <c r="AJ573" s="222"/>
      <c r="AK573" s="222"/>
      <c r="AL573" s="222"/>
      <c r="AM573" s="222"/>
      <c r="AN573" s="222"/>
      <c r="AO573" s="222"/>
      <c r="AP573" s="222"/>
      <c r="AQ573" s="222"/>
      <c r="AR573" s="222"/>
      <c r="AS573" s="222"/>
      <c r="AT573" s="222"/>
      <c r="AU573" s="222"/>
      <c r="AV573" s="222"/>
      <c r="AW573" s="222"/>
      <c r="AX573" s="222"/>
      <c r="AY573" s="222"/>
      <c r="AZ573" s="222"/>
      <c r="BA573" s="222"/>
      <c r="BB573" s="222"/>
      <c r="BC573" s="222"/>
      <c r="BD573" s="222"/>
      <c r="BE573" s="222"/>
      <c r="BF573" s="222"/>
      <c r="BG573" s="222"/>
      <c r="BH573" s="222"/>
      <c r="BI573" s="222"/>
      <c r="BJ573" s="222"/>
      <c r="BK573" s="222"/>
      <c r="BL573" s="222"/>
      <c r="BM573" s="222"/>
      <c r="BN573" s="222"/>
      <c r="BO573" s="222"/>
      <c r="BP573" s="222"/>
      <c r="BQ573" s="222"/>
      <c r="BR573" s="222"/>
      <c r="BS573" s="222"/>
      <c r="BT573" s="222"/>
      <c r="BU573" s="222"/>
      <c r="BV573" s="222"/>
      <c r="BW573" s="222"/>
      <c r="BX573" s="222"/>
      <c r="BY573" s="222"/>
      <c r="BZ573" s="222"/>
      <c r="CA573" s="222"/>
      <c r="CB573" s="222"/>
      <c r="CC573" s="222"/>
      <c r="CD573" s="222"/>
      <c r="CE573" s="222"/>
      <c r="CF573" s="222"/>
      <c r="CG573" s="222"/>
      <c r="CH573" s="222"/>
      <c r="CI573" s="222"/>
      <c r="CJ573" s="222"/>
      <c r="CK573" s="222"/>
      <c r="CL573" s="222"/>
      <c r="CM573" s="222"/>
      <c r="CN573" s="222"/>
      <c r="CO573" s="222"/>
      <c r="CP573" s="222"/>
      <c r="CQ573" s="222"/>
      <c r="CR573" s="222"/>
      <c r="CS573" s="222"/>
    </row>
    <row r="574">
      <c r="A574" s="43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  <c r="AC574" s="222"/>
      <c r="AD574" s="222"/>
      <c r="AE574" s="222"/>
      <c r="AF574" s="222"/>
      <c r="AG574" s="222"/>
      <c r="AH574" s="222"/>
      <c r="AI574" s="222"/>
      <c r="AJ574" s="222"/>
      <c r="AK574" s="222"/>
      <c r="AL574" s="222"/>
      <c r="AM574" s="222"/>
      <c r="AN574" s="222"/>
      <c r="AO574" s="222"/>
      <c r="AP574" s="222"/>
      <c r="AQ574" s="222"/>
      <c r="AR574" s="222"/>
      <c r="AS574" s="222"/>
      <c r="AT574" s="222"/>
      <c r="AU574" s="222"/>
      <c r="AV574" s="222"/>
      <c r="AW574" s="222"/>
      <c r="AX574" s="222"/>
      <c r="AY574" s="222"/>
      <c r="AZ574" s="222"/>
      <c r="BA574" s="222"/>
      <c r="BB574" s="222"/>
      <c r="BC574" s="222"/>
      <c r="BD574" s="222"/>
      <c r="BE574" s="222"/>
      <c r="BF574" s="222"/>
      <c r="BG574" s="222"/>
      <c r="BH574" s="222"/>
      <c r="BI574" s="222"/>
      <c r="BJ574" s="222"/>
      <c r="BK574" s="222"/>
      <c r="BL574" s="222"/>
      <c r="BM574" s="222"/>
      <c r="BN574" s="222"/>
      <c r="BO574" s="222"/>
      <c r="BP574" s="222"/>
      <c r="BQ574" s="222"/>
      <c r="BR574" s="222"/>
      <c r="BS574" s="222"/>
      <c r="BT574" s="222"/>
      <c r="BU574" s="222"/>
      <c r="BV574" s="222"/>
      <c r="BW574" s="222"/>
      <c r="BX574" s="222"/>
      <c r="BY574" s="222"/>
      <c r="BZ574" s="222"/>
      <c r="CA574" s="222"/>
      <c r="CB574" s="222"/>
      <c r="CC574" s="222"/>
      <c r="CD574" s="222"/>
      <c r="CE574" s="222"/>
      <c r="CF574" s="222"/>
      <c r="CG574" s="222"/>
      <c r="CH574" s="222"/>
      <c r="CI574" s="222"/>
      <c r="CJ574" s="222"/>
      <c r="CK574" s="222"/>
      <c r="CL574" s="222"/>
      <c r="CM574" s="222"/>
      <c r="CN574" s="222"/>
      <c r="CO574" s="222"/>
      <c r="CP574" s="222"/>
      <c r="CQ574" s="222"/>
      <c r="CR574" s="222"/>
      <c r="CS574" s="222"/>
    </row>
    <row r="575">
      <c r="A575" s="43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  <c r="AC575" s="222"/>
      <c r="AD575" s="222"/>
      <c r="AE575" s="222"/>
      <c r="AF575" s="222"/>
      <c r="AG575" s="222"/>
      <c r="AH575" s="222"/>
      <c r="AI575" s="222"/>
      <c r="AJ575" s="222"/>
      <c r="AK575" s="222"/>
      <c r="AL575" s="222"/>
      <c r="AM575" s="222"/>
      <c r="AN575" s="222"/>
      <c r="AO575" s="222"/>
      <c r="AP575" s="222"/>
      <c r="AQ575" s="222"/>
      <c r="AR575" s="222"/>
      <c r="AS575" s="222"/>
      <c r="AT575" s="222"/>
      <c r="AU575" s="222"/>
      <c r="AV575" s="222"/>
      <c r="AW575" s="222"/>
      <c r="AX575" s="222"/>
      <c r="AY575" s="222"/>
      <c r="AZ575" s="222"/>
      <c r="BA575" s="222"/>
      <c r="BB575" s="222"/>
      <c r="BC575" s="222"/>
      <c r="BD575" s="222"/>
      <c r="BE575" s="222"/>
      <c r="BF575" s="222"/>
      <c r="BG575" s="222"/>
      <c r="BH575" s="222"/>
      <c r="BI575" s="222"/>
      <c r="BJ575" s="222"/>
      <c r="BK575" s="222"/>
      <c r="BL575" s="222"/>
      <c r="BM575" s="222"/>
      <c r="BN575" s="222"/>
      <c r="BO575" s="222"/>
      <c r="BP575" s="222"/>
      <c r="BQ575" s="222"/>
      <c r="BR575" s="222"/>
      <c r="BS575" s="222"/>
      <c r="BT575" s="222"/>
      <c r="BU575" s="222"/>
      <c r="BV575" s="222"/>
      <c r="BW575" s="222"/>
      <c r="BX575" s="222"/>
      <c r="BY575" s="222"/>
      <c r="BZ575" s="222"/>
      <c r="CA575" s="222"/>
      <c r="CB575" s="222"/>
      <c r="CC575" s="222"/>
      <c r="CD575" s="222"/>
      <c r="CE575" s="222"/>
      <c r="CF575" s="222"/>
      <c r="CG575" s="222"/>
      <c r="CH575" s="222"/>
      <c r="CI575" s="222"/>
      <c r="CJ575" s="222"/>
      <c r="CK575" s="222"/>
      <c r="CL575" s="222"/>
      <c r="CM575" s="222"/>
      <c r="CN575" s="222"/>
      <c r="CO575" s="222"/>
      <c r="CP575" s="222"/>
      <c r="CQ575" s="222"/>
      <c r="CR575" s="222"/>
      <c r="CS575" s="222"/>
    </row>
    <row r="576">
      <c r="A576" s="43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  <c r="AC576" s="222"/>
      <c r="AD576" s="222"/>
      <c r="AE576" s="222"/>
      <c r="AF576" s="222"/>
      <c r="AG576" s="222"/>
      <c r="AH576" s="222"/>
      <c r="AI576" s="222"/>
      <c r="AJ576" s="222"/>
      <c r="AK576" s="222"/>
      <c r="AL576" s="222"/>
      <c r="AM576" s="222"/>
      <c r="AN576" s="222"/>
      <c r="AO576" s="222"/>
      <c r="AP576" s="222"/>
      <c r="AQ576" s="222"/>
      <c r="AR576" s="222"/>
      <c r="AS576" s="222"/>
      <c r="AT576" s="222"/>
      <c r="AU576" s="222"/>
      <c r="AV576" s="222"/>
      <c r="AW576" s="222"/>
      <c r="AX576" s="222"/>
      <c r="AY576" s="222"/>
      <c r="AZ576" s="222"/>
      <c r="BA576" s="222"/>
      <c r="BB576" s="222"/>
      <c r="BC576" s="222"/>
      <c r="BD576" s="222"/>
      <c r="BE576" s="222"/>
      <c r="BF576" s="222"/>
      <c r="BG576" s="222"/>
      <c r="BH576" s="222"/>
      <c r="BI576" s="222"/>
      <c r="BJ576" s="222"/>
      <c r="BK576" s="222"/>
      <c r="BL576" s="222"/>
      <c r="BM576" s="222"/>
      <c r="BN576" s="222"/>
      <c r="BO576" s="222"/>
      <c r="BP576" s="222"/>
      <c r="BQ576" s="222"/>
      <c r="BR576" s="222"/>
      <c r="BS576" s="222"/>
      <c r="BT576" s="222"/>
      <c r="BU576" s="222"/>
      <c r="BV576" s="222"/>
      <c r="BW576" s="222"/>
      <c r="BX576" s="222"/>
      <c r="BY576" s="222"/>
      <c r="BZ576" s="222"/>
      <c r="CA576" s="222"/>
      <c r="CB576" s="222"/>
      <c r="CC576" s="222"/>
      <c r="CD576" s="222"/>
      <c r="CE576" s="222"/>
      <c r="CF576" s="222"/>
      <c r="CG576" s="222"/>
      <c r="CH576" s="222"/>
      <c r="CI576" s="222"/>
      <c r="CJ576" s="222"/>
      <c r="CK576" s="222"/>
      <c r="CL576" s="222"/>
      <c r="CM576" s="222"/>
      <c r="CN576" s="222"/>
      <c r="CO576" s="222"/>
      <c r="CP576" s="222"/>
      <c r="CQ576" s="222"/>
      <c r="CR576" s="222"/>
      <c r="CS576" s="222"/>
    </row>
    <row r="577">
      <c r="A577" s="43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  <c r="AC577" s="222"/>
      <c r="AD577" s="222"/>
      <c r="AE577" s="222"/>
      <c r="AF577" s="222"/>
      <c r="AG577" s="222"/>
      <c r="AH577" s="222"/>
      <c r="AI577" s="222"/>
      <c r="AJ577" s="222"/>
      <c r="AK577" s="222"/>
      <c r="AL577" s="222"/>
      <c r="AM577" s="222"/>
      <c r="AN577" s="222"/>
      <c r="AO577" s="222"/>
      <c r="AP577" s="222"/>
      <c r="AQ577" s="222"/>
      <c r="AR577" s="222"/>
      <c r="AS577" s="222"/>
      <c r="AT577" s="222"/>
      <c r="AU577" s="222"/>
      <c r="AV577" s="222"/>
      <c r="AW577" s="222"/>
      <c r="AX577" s="222"/>
      <c r="AY577" s="222"/>
      <c r="AZ577" s="222"/>
      <c r="BA577" s="222"/>
      <c r="BB577" s="222"/>
      <c r="BC577" s="222"/>
      <c r="BD577" s="222"/>
      <c r="BE577" s="222"/>
      <c r="BF577" s="222"/>
      <c r="BG577" s="222"/>
      <c r="BH577" s="222"/>
      <c r="BI577" s="222"/>
      <c r="BJ577" s="222"/>
      <c r="BK577" s="222"/>
      <c r="BL577" s="222"/>
      <c r="BM577" s="222"/>
      <c r="BN577" s="222"/>
      <c r="BO577" s="222"/>
      <c r="BP577" s="222"/>
      <c r="BQ577" s="222"/>
      <c r="BR577" s="222"/>
      <c r="BS577" s="222"/>
      <c r="BT577" s="222"/>
      <c r="BU577" s="222"/>
      <c r="BV577" s="222"/>
      <c r="BW577" s="222"/>
      <c r="BX577" s="222"/>
      <c r="BY577" s="222"/>
      <c r="BZ577" s="222"/>
      <c r="CA577" s="222"/>
      <c r="CB577" s="222"/>
      <c r="CC577" s="222"/>
      <c r="CD577" s="222"/>
      <c r="CE577" s="222"/>
      <c r="CF577" s="222"/>
      <c r="CG577" s="222"/>
      <c r="CH577" s="222"/>
      <c r="CI577" s="222"/>
      <c r="CJ577" s="222"/>
      <c r="CK577" s="222"/>
      <c r="CL577" s="222"/>
      <c r="CM577" s="222"/>
      <c r="CN577" s="222"/>
      <c r="CO577" s="222"/>
      <c r="CP577" s="222"/>
      <c r="CQ577" s="222"/>
      <c r="CR577" s="222"/>
      <c r="CS577" s="222"/>
    </row>
    <row r="578">
      <c r="A578" s="43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  <c r="AC578" s="222"/>
      <c r="AD578" s="222"/>
      <c r="AE578" s="222"/>
      <c r="AF578" s="222"/>
      <c r="AG578" s="222"/>
      <c r="AH578" s="222"/>
      <c r="AI578" s="222"/>
      <c r="AJ578" s="222"/>
      <c r="AK578" s="222"/>
      <c r="AL578" s="222"/>
      <c r="AM578" s="222"/>
      <c r="AN578" s="222"/>
      <c r="AO578" s="222"/>
      <c r="AP578" s="222"/>
      <c r="AQ578" s="222"/>
      <c r="AR578" s="222"/>
      <c r="AS578" s="222"/>
      <c r="AT578" s="222"/>
      <c r="AU578" s="222"/>
      <c r="AV578" s="222"/>
      <c r="AW578" s="222"/>
      <c r="AX578" s="222"/>
      <c r="AY578" s="222"/>
      <c r="AZ578" s="222"/>
      <c r="BA578" s="222"/>
      <c r="BB578" s="222"/>
      <c r="BC578" s="222"/>
      <c r="BD578" s="222"/>
      <c r="BE578" s="222"/>
      <c r="BF578" s="222"/>
      <c r="BG578" s="222"/>
      <c r="BH578" s="222"/>
      <c r="BI578" s="222"/>
      <c r="BJ578" s="222"/>
      <c r="BK578" s="222"/>
      <c r="BL578" s="222"/>
      <c r="BM578" s="222"/>
      <c r="BN578" s="222"/>
      <c r="BO578" s="222"/>
      <c r="BP578" s="222"/>
      <c r="BQ578" s="222"/>
      <c r="BR578" s="222"/>
      <c r="BS578" s="222"/>
      <c r="BT578" s="222"/>
      <c r="BU578" s="222"/>
      <c r="BV578" s="222"/>
      <c r="BW578" s="222"/>
      <c r="BX578" s="222"/>
      <c r="BY578" s="222"/>
      <c r="BZ578" s="222"/>
      <c r="CA578" s="222"/>
      <c r="CB578" s="222"/>
      <c r="CC578" s="222"/>
      <c r="CD578" s="222"/>
      <c r="CE578" s="222"/>
      <c r="CF578" s="222"/>
      <c r="CG578" s="222"/>
      <c r="CH578" s="222"/>
      <c r="CI578" s="222"/>
      <c r="CJ578" s="222"/>
      <c r="CK578" s="222"/>
      <c r="CL578" s="222"/>
      <c r="CM578" s="222"/>
      <c r="CN578" s="222"/>
      <c r="CO578" s="222"/>
      <c r="CP578" s="222"/>
      <c r="CQ578" s="222"/>
      <c r="CR578" s="222"/>
      <c r="CS578" s="222"/>
    </row>
    <row r="579">
      <c r="A579" s="43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  <c r="AC579" s="222"/>
      <c r="AD579" s="222"/>
      <c r="AE579" s="222"/>
      <c r="AF579" s="222"/>
      <c r="AG579" s="222"/>
      <c r="AH579" s="222"/>
      <c r="AI579" s="222"/>
      <c r="AJ579" s="222"/>
      <c r="AK579" s="222"/>
      <c r="AL579" s="222"/>
      <c r="AM579" s="222"/>
      <c r="AN579" s="222"/>
      <c r="AO579" s="222"/>
      <c r="AP579" s="222"/>
      <c r="AQ579" s="222"/>
      <c r="AR579" s="222"/>
      <c r="AS579" s="222"/>
      <c r="AT579" s="222"/>
      <c r="AU579" s="222"/>
      <c r="AV579" s="222"/>
      <c r="AW579" s="222"/>
      <c r="AX579" s="222"/>
      <c r="AY579" s="222"/>
      <c r="AZ579" s="222"/>
      <c r="BA579" s="222"/>
      <c r="BB579" s="222"/>
      <c r="BC579" s="222"/>
      <c r="BD579" s="222"/>
      <c r="BE579" s="222"/>
      <c r="BF579" s="222"/>
      <c r="BG579" s="222"/>
      <c r="BH579" s="222"/>
      <c r="BI579" s="222"/>
      <c r="BJ579" s="222"/>
      <c r="BK579" s="222"/>
      <c r="BL579" s="222"/>
      <c r="BM579" s="222"/>
      <c r="BN579" s="222"/>
      <c r="BO579" s="222"/>
      <c r="BP579" s="222"/>
      <c r="BQ579" s="222"/>
      <c r="BR579" s="222"/>
      <c r="BS579" s="222"/>
      <c r="BT579" s="222"/>
      <c r="BU579" s="222"/>
      <c r="BV579" s="222"/>
      <c r="BW579" s="222"/>
      <c r="BX579" s="222"/>
      <c r="BY579" s="222"/>
      <c r="BZ579" s="222"/>
      <c r="CA579" s="222"/>
      <c r="CB579" s="222"/>
      <c r="CC579" s="222"/>
      <c r="CD579" s="222"/>
      <c r="CE579" s="222"/>
      <c r="CF579" s="222"/>
      <c r="CG579" s="222"/>
      <c r="CH579" s="222"/>
      <c r="CI579" s="222"/>
      <c r="CJ579" s="222"/>
      <c r="CK579" s="222"/>
      <c r="CL579" s="222"/>
      <c r="CM579" s="222"/>
      <c r="CN579" s="222"/>
      <c r="CO579" s="222"/>
      <c r="CP579" s="222"/>
      <c r="CQ579" s="222"/>
      <c r="CR579" s="222"/>
      <c r="CS579" s="222"/>
    </row>
    <row r="580">
      <c r="A580" s="43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  <c r="AC580" s="222"/>
      <c r="AD580" s="222"/>
      <c r="AE580" s="222"/>
      <c r="AF580" s="222"/>
      <c r="AG580" s="222"/>
      <c r="AH580" s="222"/>
      <c r="AI580" s="222"/>
      <c r="AJ580" s="222"/>
      <c r="AK580" s="222"/>
      <c r="AL580" s="222"/>
      <c r="AM580" s="222"/>
      <c r="AN580" s="222"/>
      <c r="AO580" s="222"/>
      <c r="AP580" s="222"/>
      <c r="AQ580" s="222"/>
      <c r="AR580" s="222"/>
      <c r="AS580" s="222"/>
      <c r="AT580" s="222"/>
      <c r="AU580" s="222"/>
      <c r="AV580" s="222"/>
      <c r="AW580" s="222"/>
      <c r="AX580" s="222"/>
      <c r="AY580" s="222"/>
      <c r="AZ580" s="222"/>
      <c r="BA580" s="222"/>
      <c r="BB580" s="222"/>
      <c r="BC580" s="222"/>
      <c r="BD580" s="222"/>
      <c r="BE580" s="222"/>
      <c r="BF580" s="222"/>
      <c r="BG580" s="222"/>
      <c r="BH580" s="222"/>
      <c r="BI580" s="222"/>
      <c r="BJ580" s="222"/>
      <c r="BK580" s="222"/>
      <c r="BL580" s="222"/>
      <c r="BM580" s="222"/>
      <c r="BN580" s="222"/>
      <c r="BO580" s="222"/>
      <c r="BP580" s="222"/>
      <c r="BQ580" s="222"/>
      <c r="BR580" s="222"/>
      <c r="BS580" s="222"/>
      <c r="BT580" s="222"/>
      <c r="BU580" s="222"/>
      <c r="BV580" s="222"/>
      <c r="BW580" s="222"/>
      <c r="BX580" s="222"/>
      <c r="BY580" s="222"/>
      <c r="BZ580" s="222"/>
      <c r="CA580" s="222"/>
      <c r="CB580" s="222"/>
      <c r="CC580" s="222"/>
      <c r="CD580" s="222"/>
      <c r="CE580" s="222"/>
      <c r="CF580" s="222"/>
      <c r="CG580" s="222"/>
      <c r="CH580" s="222"/>
      <c r="CI580" s="222"/>
      <c r="CJ580" s="222"/>
      <c r="CK580" s="222"/>
      <c r="CL580" s="222"/>
      <c r="CM580" s="222"/>
      <c r="CN580" s="222"/>
      <c r="CO580" s="222"/>
      <c r="CP580" s="222"/>
      <c r="CQ580" s="222"/>
      <c r="CR580" s="222"/>
      <c r="CS580" s="222"/>
    </row>
    <row r="581">
      <c r="A581" s="43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  <c r="AC581" s="222"/>
      <c r="AD581" s="222"/>
      <c r="AE581" s="222"/>
      <c r="AF581" s="222"/>
      <c r="AG581" s="222"/>
      <c r="AH581" s="222"/>
      <c r="AI581" s="222"/>
      <c r="AJ581" s="222"/>
      <c r="AK581" s="222"/>
      <c r="AL581" s="222"/>
      <c r="AM581" s="222"/>
      <c r="AN581" s="222"/>
      <c r="AO581" s="222"/>
      <c r="AP581" s="222"/>
      <c r="AQ581" s="222"/>
      <c r="AR581" s="222"/>
      <c r="AS581" s="222"/>
      <c r="AT581" s="222"/>
      <c r="AU581" s="222"/>
      <c r="AV581" s="222"/>
      <c r="AW581" s="222"/>
      <c r="AX581" s="222"/>
      <c r="AY581" s="222"/>
      <c r="AZ581" s="222"/>
      <c r="BA581" s="222"/>
      <c r="BB581" s="222"/>
      <c r="BC581" s="222"/>
      <c r="BD581" s="222"/>
      <c r="BE581" s="222"/>
      <c r="BF581" s="222"/>
      <c r="BG581" s="222"/>
      <c r="BH581" s="222"/>
      <c r="BI581" s="222"/>
      <c r="BJ581" s="222"/>
      <c r="BK581" s="222"/>
      <c r="BL581" s="222"/>
      <c r="BM581" s="222"/>
      <c r="BN581" s="222"/>
      <c r="BO581" s="222"/>
      <c r="BP581" s="222"/>
      <c r="BQ581" s="222"/>
      <c r="BR581" s="222"/>
      <c r="BS581" s="222"/>
      <c r="BT581" s="222"/>
      <c r="BU581" s="222"/>
      <c r="BV581" s="222"/>
      <c r="BW581" s="222"/>
      <c r="BX581" s="222"/>
      <c r="BY581" s="222"/>
      <c r="BZ581" s="222"/>
      <c r="CA581" s="222"/>
      <c r="CB581" s="222"/>
      <c r="CC581" s="222"/>
      <c r="CD581" s="222"/>
      <c r="CE581" s="222"/>
      <c r="CF581" s="222"/>
      <c r="CG581" s="222"/>
      <c r="CH581" s="222"/>
      <c r="CI581" s="222"/>
      <c r="CJ581" s="222"/>
      <c r="CK581" s="222"/>
      <c r="CL581" s="222"/>
      <c r="CM581" s="222"/>
      <c r="CN581" s="222"/>
      <c r="CO581" s="222"/>
      <c r="CP581" s="222"/>
      <c r="CQ581" s="222"/>
      <c r="CR581" s="222"/>
      <c r="CS581" s="222"/>
    </row>
    <row r="582">
      <c r="A582" s="43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  <c r="AI582" s="222"/>
      <c r="AJ582" s="222"/>
      <c r="AK582" s="222"/>
      <c r="AL582" s="222"/>
      <c r="AM582" s="222"/>
      <c r="AN582" s="222"/>
      <c r="AO582" s="222"/>
      <c r="AP582" s="222"/>
      <c r="AQ582" s="222"/>
      <c r="AR582" s="222"/>
      <c r="AS582" s="222"/>
      <c r="AT582" s="222"/>
      <c r="AU582" s="222"/>
      <c r="AV582" s="222"/>
      <c r="AW582" s="222"/>
      <c r="AX582" s="222"/>
      <c r="AY582" s="222"/>
      <c r="AZ582" s="222"/>
      <c r="BA582" s="222"/>
      <c r="BB582" s="222"/>
      <c r="BC582" s="222"/>
      <c r="BD582" s="222"/>
      <c r="BE582" s="222"/>
      <c r="BF582" s="222"/>
      <c r="BG582" s="222"/>
      <c r="BH582" s="222"/>
      <c r="BI582" s="222"/>
      <c r="BJ582" s="222"/>
      <c r="BK582" s="222"/>
      <c r="BL582" s="222"/>
      <c r="BM582" s="222"/>
      <c r="BN582" s="222"/>
      <c r="BO582" s="222"/>
      <c r="BP582" s="222"/>
      <c r="BQ582" s="222"/>
      <c r="BR582" s="222"/>
      <c r="BS582" s="222"/>
      <c r="BT582" s="222"/>
      <c r="BU582" s="222"/>
      <c r="BV582" s="222"/>
      <c r="BW582" s="222"/>
      <c r="BX582" s="222"/>
      <c r="BY582" s="222"/>
      <c r="BZ582" s="222"/>
      <c r="CA582" s="222"/>
      <c r="CB582" s="222"/>
      <c r="CC582" s="222"/>
      <c r="CD582" s="222"/>
      <c r="CE582" s="222"/>
      <c r="CF582" s="222"/>
      <c r="CG582" s="222"/>
      <c r="CH582" s="222"/>
      <c r="CI582" s="222"/>
      <c r="CJ582" s="222"/>
      <c r="CK582" s="222"/>
      <c r="CL582" s="222"/>
      <c r="CM582" s="222"/>
      <c r="CN582" s="222"/>
      <c r="CO582" s="222"/>
      <c r="CP582" s="222"/>
      <c r="CQ582" s="222"/>
      <c r="CR582" s="222"/>
      <c r="CS582" s="222"/>
    </row>
    <row r="583">
      <c r="A583" s="43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2"/>
      <c r="AG583" s="222"/>
      <c r="AH583" s="222"/>
      <c r="AI583" s="222"/>
      <c r="AJ583" s="222"/>
      <c r="AK583" s="222"/>
      <c r="AL583" s="222"/>
      <c r="AM583" s="222"/>
      <c r="AN583" s="222"/>
      <c r="AO583" s="222"/>
      <c r="AP583" s="222"/>
      <c r="AQ583" s="222"/>
      <c r="AR583" s="222"/>
      <c r="AS583" s="222"/>
      <c r="AT583" s="222"/>
      <c r="AU583" s="222"/>
      <c r="AV583" s="222"/>
      <c r="AW583" s="222"/>
      <c r="AX583" s="222"/>
      <c r="AY583" s="222"/>
      <c r="AZ583" s="222"/>
      <c r="BA583" s="222"/>
      <c r="BB583" s="222"/>
      <c r="BC583" s="222"/>
      <c r="BD583" s="222"/>
      <c r="BE583" s="222"/>
      <c r="BF583" s="222"/>
      <c r="BG583" s="222"/>
      <c r="BH583" s="222"/>
      <c r="BI583" s="222"/>
      <c r="BJ583" s="222"/>
      <c r="BK583" s="222"/>
      <c r="BL583" s="222"/>
      <c r="BM583" s="222"/>
      <c r="BN583" s="222"/>
      <c r="BO583" s="222"/>
      <c r="BP583" s="222"/>
      <c r="BQ583" s="222"/>
      <c r="BR583" s="222"/>
      <c r="BS583" s="222"/>
      <c r="BT583" s="222"/>
      <c r="BU583" s="222"/>
      <c r="BV583" s="222"/>
      <c r="BW583" s="222"/>
      <c r="BX583" s="222"/>
      <c r="BY583" s="222"/>
      <c r="BZ583" s="222"/>
      <c r="CA583" s="222"/>
      <c r="CB583" s="222"/>
      <c r="CC583" s="222"/>
      <c r="CD583" s="222"/>
      <c r="CE583" s="222"/>
      <c r="CF583" s="222"/>
      <c r="CG583" s="222"/>
      <c r="CH583" s="222"/>
      <c r="CI583" s="222"/>
      <c r="CJ583" s="222"/>
      <c r="CK583" s="222"/>
      <c r="CL583" s="222"/>
      <c r="CM583" s="222"/>
      <c r="CN583" s="222"/>
      <c r="CO583" s="222"/>
      <c r="CP583" s="222"/>
      <c r="CQ583" s="222"/>
      <c r="CR583" s="222"/>
      <c r="CS583" s="222"/>
    </row>
    <row r="584">
      <c r="A584" s="43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  <c r="AC584" s="222"/>
      <c r="AD584" s="222"/>
      <c r="AE584" s="222"/>
      <c r="AF584" s="222"/>
      <c r="AG584" s="222"/>
      <c r="AH584" s="222"/>
      <c r="AI584" s="222"/>
      <c r="AJ584" s="222"/>
      <c r="AK584" s="222"/>
      <c r="AL584" s="222"/>
      <c r="AM584" s="222"/>
      <c r="AN584" s="222"/>
      <c r="AO584" s="222"/>
      <c r="AP584" s="222"/>
      <c r="AQ584" s="222"/>
      <c r="AR584" s="222"/>
      <c r="AS584" s="222"/>
      <c r="AT584" s="222"/>
      <c r="AU584" s="222"/>
      <c r="AV584" s="222"/>
      <c r="AW584" s="222"/>
      <c r="AX584" s="222"/>
      <c r="AY584" s="222"/>
      <c r="AZ584" s="222"/>
      <c r="BA584" s="222"/>
      <c r="BB584" s="222"/>
      <c r="BC584" s="222"/>
      <c r="BD584" s="222"/>
      <c r="BE584" s="222"/>
      <c r="BF584" s="222"/>
      <c r="BG584" s="222"/>
      <c r="BH584" s="222"/>
      <c r="BI584" s="222"/>
      <c r="BJ584" s="222"/>
      <c r="BK584" s="222"/>
      <c r="BL584" s="222"/>
      <c r="BM584" s="222"/>
      <c r="BN584" s="222"/>
      <c r="BO584" s="222"/>
      <c r="BP584" s="222"/>
      <c r="BQ584" s="222"/>
      <c r="BR584" s="222"/>
      <c r="BS584" s="222"/>
      <c r="BT584" s="222"/>
      <c r="BU584" s="222"/>
      <c r="BV584" s="222"/>
      <c r="BW584" s="222"/>
      <c r="BX584" s="222"/>
      <c r="BY584" s="222"/>
      <c r="BZ584" s="222"/>
      <c r="CA584" s="222"/>
      <c r="CB584" s="222"/>
      <c r="CC584" s="222"/>
      <c r="CD584" s="222"/>
      <c r="CE584" s="222"/>
      <c r="CF584" s="222"/>
      <c r="CG584" s="222"/>
      <c r="CH584" s="222"/>
      <c r="CI584" s="222"/>
      <c r="CJ584" s="222"/>
      <c r="CK584" s="222"/>
      <c r="CL584" s="222"/>
      <c r="CM584" s="222"/>
      <c r="CN584" s="222"/>
      <c r="CO584" s="222"/>
      <c r="CP584" s="222"/>
      <c r="CQ584" s="222"/>
      <c r="CR584" s="222"/>
      <c r="CS584" s="222"/>
    </row>
    <row r="585">
      <c r="A585" s="43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  <c r="AC585" s="222"/>
      <c r="AD585" s="222"/>
      <c r="AE585" s="222"/>
      <c r="AF585" s="222"/>
      <c r="AG585" s="222"/>
      <c r="AH585" s="222"/>
      <c r="AI585" s="222"/>
      <c r="AJ585" s="222"/>
      <c r="AK585" s="222"/>
      <c r="AL585" s="222"/>
      <c r="AM585" s="222"/>
      <c r="AN585" s="222"/>
      <c r="AO585" s="222"/>
      <c r="AP585" s="222"/>
      <c r="AQ585" s="222"/>
      <c r="AR585" s="222"/>
      <c r="AS585" s="222"/>
      <c r="AT585" s="222"/>
      <c r="AU585" s="222"/>
      <c r="AV585" s="222"/>
      <c r="AW585" s="222"/>
      <c r="AX585" s="222"/>
      <c r="AY585" s="222"/>
      <c r="AZ585" s="222"/>
      <c r="BA585" s="222"/>
      <c r="BB585" s="222"/>
      <c r="BC585" s="222"/>
      <c r="BD585" s="222"/>
      <c r="BE585" s="222"/>
      <c r="BF585" s="222"/>
      <c r="BG585" s="222"/>
      <c r="BH585" s="222"/>
      <c r="BI585" s="222"/>
      <c r="BJ585" s="222"/>
      <c r="BK585" s="222"/>
      <c r="BL585" s="222"/>
      <c r="BM585" s="222"/>
      <c r="BN585" s="222"/>
      <c r="BO585" s="222"/>
      <c r="BP585" s="222"/>
      <c r="BQ585" s="222"/>
      <c r="BR585" s="222"/>
      <c r="BS585" s="222"/>
      <c r="BT585" s="222"/>
      <c r="BU585" s="222"/>
      <c r="BV585" s="222"/>
      <c r="BW585" s="222"/>
      <c r="BX585" s="222"/>
      <c r="BY585" s="222"/>
      <c r="BZ585" s="222"/>
      <c r="CA585" s="222"/>
      <c r="CB585" s="222"/>
      <c r="CC585" s="222"/>
      <c r="CD585" s="222"/>
      <c r="CE585" s="222"/>
      <c r="CF585" s="222"/>
      <c r="CG585" s="222"/>
      <c r="CH585" s="222"/>
      <c r="CI585" s="222"/>
      <c r="CJ585" s="222"/>
      <c r="CK585" s="222"/>
      <c r="CL585" s="222"/>
      <c r="CM585" s="222"/>
      <c r="CN585" s="222"/>
      <c r="CO585" s="222"/>
      <c r="CP585" s="222"/>
      <c r="CQ585" s="222"/>
      <c r="CR585" s="222"/>
      <c r="CS585" s="222"/>
    </row>
    <row r="586">
      <c r="A586" s="43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  <c r="AC586" s="222"/>
      <c r="AD586" s="222"/>
      <c r="AE586" s="222"/>
      <c r="AF586" s="222"/>
      <c r="AG586" s="222"/>
      <c r="AH586" s="222"/>
      <c r="AI586" s="222"/>
      <c r="AJ586" s="222"/>
      <c r="AK586" s="222"/>
      <c r="AL586" s="222"/>
      <c r="AM586" s="222"/>
      <c r="AN586" s="222"/>
      <c r="AO586" s="222"/>
      <c r="AP586" s="222"/>
      <c r="AQ586" s="222"/>
      <c r="AR586" s="222"/>
      <c r="AS586" s="222"/>
      <c r="AT586" s="222"/>
      <c r="AU586" s="222"/>
      <c r="AV586" s="222"/>
      <c r="AW586" s="222"/>
      <c r="AX586" s="222"/>
      <c r="AY586" s="222"/>
      <c r="AZ586" s="222"/>
      <c r="BA586" s="222"/>
      <c r="BB586" s="222"/>
      <c r="BC586" s="222"/>
      <c r="BD586" s="222"/>
      <c r="BE586" s="222"/>
      <c r="BF586" s="222"/>
      <c r="BG586" s="222"/>
      <c r="BH586" s="222"/>
      <c r="BI586" s="222"/>
      <c r="BJ586" s="222"/>
      <c r="BK586" s="222"/>
      <c r="BL586" s="222"/>
      <c r="BM586" s="222"/>
      <c r="BN586" s="222"/>
      <c r="BO586" s="222"/>
      <c r="BP586" s="222"/>
      <c r="BQ586" s="222"/>
      <c r="BR586" s="222"/>
      <c r="BS586" s="222"/>
      <c r="BT586" s="222"/>
      <c r="BU586" s="222"/>
      <c r="BV586" s="222"/>
      <c r="BW586" s="222"/>
      <c r="BX586" s="222"/>
      <c r="BY586" s="222"/>
      <c r="BZ586" s="222"/>
      <c r="CA586" s="222"/>
      <c r="CB586" s="222"/>
      <c r="CC586" s="222"/>
      <c r="CD586" s="222"/>
      <c r="CE586" s="222"/>
      <c r="CF586" s="222"/>
      <c r="CG586" s="222"/>
      <c r="CH586" s="222"/>
      <c r="CI586" s="222"/>
      <c r="CJ586" s="222"/>
      <c r="CK586" s="222"/>
      <c r="CL586" s="222"/>
      <c r="CM586" s="222"/>
      <c r="CN586" s="222"/>
      <c r="CO586" s="222"/>
      <c r="CP586" s="222"/>
      <c r="CQ586" s="222"/>
      <c r="CR586" s="222"/>
      <c r="CS586" s="222"/>
    </row>
    <row r="587">
      <c r="A587" s="43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  <c r="AC587" s="222"/>
      <c r="AD587" s="222"/>
      <c r="AE587" s="222"/>
      <c r="AF587" s="222"/>
      <c r="AG587" s="222"/>
      <c r="AH587" s="222"/>
      <c r="AI587" s="222"/>
      <c r="AJ587" s="222"/>
      <c r="AK587" s="222"/>
      <c r="AL587" s="222"/>
      <c r="AM587" s="222"/>
      <c r="AN587" s="222"/>
      <c r="AO587" s="222"/>
      <c r="AP587" s="222"/>
      <c r="AQ587" s="222"/>
      <c r="AR587" s="222"/>
      <c r="AS587" s="222"/>
      <c r="AT587" s="222"/>
      <c r="AU587" s="222"/>
      <c r="AV587" s="222"/>
      <c r="AW587" s="222"/>
      <c r="AX587" s="222"/>
      <c r="AY587" s="222"/>
      <c r="AZ587" s="222"/>
      <c r="BA587" s="222"/>
      <c r="BB587" s="222"/>
      <c r="BC587" s="222"/>
      <c r="BD587" s="222"/>
      <c r="BE587" s="222"/>
      <c r="BF587" s="222"/>
      <c r="BG587" s="222"/>
      <c r="BH587" s="222"/>
      <c r="BI587" s="222"/>
      <c r="BJ587" s="222"/>
      <c r="BK587" s="222"/>
      <c r="BL587" s="222"/>
      <c r="BM587" s="222"/>
      <c r="BN587" s="222"/>
      <c r="BO587" s="222"/>
      <c r="BP587" s="222"/>
      <c r="BQ587" s="222"/>
      <c r="BR587" s="222"/>
      <c r="BS587" s="222"/>
      <c r="BT587" s="222"/>
      <c r="BU587" s="222"/>
      <c r="BV587" s="222"/>
      <c r="BW587" s="222"/>
      <c r="BX587" s="222"/>
      <c r="BY587" s="222"/>
      <c r="BZ587" s="222"/>
      <c r="CA587" s="222"/>
      <c r="CB587" s="222"/>
      <c r="CC587" s="222"/>
      <c r="CD587" s="222"/>
      <c r="CE587" s="222"/>
      <c r="CF587" s="222"/>
      <c r="CG587" s="222"/>
      <c r="CH587" s="222"/>
      <c r="CI587" s="222"/>
      <c r="CJ587" s="222"/>
      <c r="CK587" s="222"/>
      <c r="CL587" s="222"/>
      <c r="CM587" s="222"/>
      <c r="CN587" s="222"/>
      <c r="CO587" s="222"/>
      <c r="CP587" s="222"/>
      <c r="CQ587" s="222"/>
      <c r="CR587" s="222"/>
      <c r="CS587" s="222"/>
    </row>
    <row r="588">
      <c r="A588" s="43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  <c r="AC588" s="222"/>
      <c r="AD588" s="222"/>
      <c r="AE588" s="222"/>
      <c r="AF588" s="222"/>
      <c r="AG588" s="222"/>
      <c r="AH588" s="222"/>
      <c r="AI588" s="222"/>
      <c r="AJ588" s="222"/>
      <c r="AK588" s="222"/>
      <c r="AL588" s="222"/>
      <c r="AM588" s="222"/>
      <c r="AN588" s="222"/>
      <c r="AO588" s="222"/>
      <c r="AP588" s="222"/>
      <c r="AQ588" s="222"/>
      <c r="AR588" s="222"/>
      <c r="AS588" s="222"/>
      <c r="AT588" s="222"/>
      <c r="AU588" s="222"/>
      <c r="AV588" s="222"/>
      <c r="AW588" s="222"/>
      <c r="AX588" s="222"/>
      <c r="AY588" s="222"/>
      <c r="AZ588" s="222"/>
      <c r="BA588" s="222"/>
      <c r="BB588" s="222"/>
      <c r="BC588" s="222"/>
      <c r="BD588" s="222"/>
      <c r="BE588" s="222"/>
      <c r="BF588" s="222"/>
      <c r="BG588" s="222"/>
      <c r="BH588" s="222"/>
      <c r="BI588" s="222"/>
      <c r="BJ588" s="222"/>
      <c r="BK588" s="222"/>
      <c r="BL588" s="222"/>
      <c r="BM588" s="222"/>
      <c r="BN588" s="222"/>
      <c r="BO588" s="222"/>
      <c r="BP588" s="222"/>
      <c r="BQ588" s="222"/>
      <c r="BR588" s="222"/>
      <c r="BS588" s="222"/>
      <c r="BT588" s="222"/>
      <c r="BU588" s="222"/>
      <c r="BV588" s="222"/>
      <c r="BW588" s="222"/>
      <c r="BX588" s="222"/>
      <c r="BY588" s="222"/>
      <c r="BZ588" s="222"/>
      <c r="CA588" s="222"/>
      <c r="CB588" s="222"/>
      <c r="CC588" s="222"/>
      <c r="CD588" s="222"/>
      <c r="CE588" s="222"/>
      <c r="CF588" s="222"/>
      <c r="CG588" s="222"/>
      <c r="CH588" s="222"/>
      <c r="CI588" s="222"/>
      <c r="CJ588" s="222"/>
      <c r="CK588" s="222"/>
      <c r="CL588" s="222"/>
      <c r="CM588" s="222"/>
      <c r="CN588" s="222"/>
      <c r="CO588" s="222"/>
      <c r="CP588" s="222"/>
      <c r="CQ588" s="222"/>
      <c r="CR588" s="222"/>
      <c r="CS588" s="222"/>
    </row>
    <row r="589">
      <c r="A589" s="43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  <c r="AC589" s="222"/>
      <c r="AD589" s="222"/>
      <c r="AE589" s="222"/>
      <c r="AF589" s="222"/>
      <c r="AG589" s="222"/>
      <c r="AH589" s="222"/>
      <c r="AI589" s="222"/>
      <c r="AJ589" s="222"/>
      <c r="AK589" s="222"/>
      <c r="AL589" s="222"/>
      <c r="AM589" s="222"/>
      <c r="AN589" s="222"/>
      <c r="AO589" s="222"/>
      <c r="AP589" s="222"/>
      <c r="AQ589" s="222"/>
      <c r="AR589" s="222"/>
      <c r="AS589" s="222"/>
      <c r="AT589" s="222"/>
      <c r="AU589" s="222"/>
      <c r="AV589" s="222"/>
      <c r="AW589" s="222"/>
      <c r="AX589" s="222"/>
      <c r="AY589" s="222"/>
      <c r="AZ589" s="222"/>
      <c r="BA589" s="222"/>
      <c r="BB589" s="222"/>
      <c r="BC589" s="222"/>
      <c r="BD589" s="222"/>
      <c r="BE589" s="222"/>
      <c r="BF589" s="222"/>
      <c r="BG589" s="222"/>
      <c r="BH589" s="222"/>
      <c r="BI589" s="222"/>
      <c r="BJ589" s="222"/>
      <c r="BK589" s="222"/>
      <c r="BL589" s="222"/>
      <c r="BM589" s="222"/>
      <c r="BN589" s="222"/>
      <c r="BO589" s="222"/>
      <c r="BP589" s="222"/>
      <c r="BQ589" s="222"/>
      <c r="BR589" s="222"/>
      <c r="BS589" s="222"/>
      <c r="BT589" s="222"/>
      <c r="BU589" s="222"/>
      <c r="BV589" s="222"/>
      <c r="BW589" s="222"/>
      <c r="BX589" s="222"/>
      <c r="BY589" s="222"/>
      <c r="BZ589" s="222"/>
      <c r="CA589" s="222"/>
      <c r="CB589" s="222"/>
      <c r="CC589" s="222"/>
      <c r="CD589" s="222"/>
      <c r="CE589" s="222"/>
      <c r="CF589" s="222"/>
      <c r="CG589" s="222"/>
      <c r="CH589" s="222"/>
      <c r="CI589" s="222"/>
      <c r="CJ589" s="222"/>
      <c r="CK589" s="222"/>
      <c r="CL589" s="222"/>
      <c r="CM589" s="222"/>
      <c r="CN589" s="222"/>
      <c r="CO589" s="222"/>
      <c r="CP589" s="222"/>
      <c r="CQ589" s="222"/>
      <c r="CR589" s="222"/>
      <c r="CS589" s="222"/>
    </row>
    <row r="590">
      <c r="A590" s="43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  <c r="AC590" s="222"/>
      <c r="AD590" s="222"/>
      <c r="AE590" s="222"/>
      <c r="AF590" s="222"/>
      <c r="AG590" s="222"/>
      <c r="AH590" s="222"/>
      <c r="AI590" s="222"/>
      <c r="AJ590" s="222"/>
      <c r="AK590" s="222"/>
      <c r="AL590" s="222"/>
      <c r="AM590" s="222"/>
      <c r="AN590" s="222"/>
      <c r="AO590" s="222"/>
      <c r="AP590" s="222"/>
      <c r="AQ590" s="222"/>
      <c r="AR590" s="222"/>
      <c r="AS590" s="222"/>
      <c r="AT590" s="222"/>
      <c r="AU590" s="222"/>
      <c r="AV590" s="222"/>
      <c r="AW590" s="222"/>
      <c r="AX590" s="222"/>
      <c r="AY590" s="222"/>
      <c r="AZ590" s="222"/>
      <c r="BA590" s="222"/>
      <c r="BB590" s="222"/>
      <c r="BC590" s="222"/>
      <c r="BD590" s="222"/>
      <c r="BE590" s="222"/>
      <c r="BF590" s="222"/>
      <c r="BG590" s="222"/>
      <c r="BH590" s="222"/>
      <c r="BI590" s="222"/>
      <c r="BJ590" s="222"/>
      <c r="BK590" s="222"/>
      <c r="BL590" s="222"/>
      <c r="BM590" s="222"/>
      <c r="BN590" s="222"/>
      <c r="BO590" s="222"/>
      <c r="BP590" s="222"/>
      <c r="BQ590" s="222"/>
      <c r="BR590" s="222"/>
      <c r="BS590" s="222"/>
      <c r="BT590" s="222"/>
      <c r="BU590" s="222"/>
      <c r="BV590" s="222"/>
      <c r="BW590" s="222"/>
      <c r="BX590" s="222"/>
      <c r="BY590" s="222"/>
      <c r="BZ590" s="222"/>
      <c r="CA590" s="222"/>
      <c r="CB590" s="222"/>
      <c r="CC590" s="222"/>
      <c r="CD590" s="222"/>
      <c r="CE590" s="222"/>
      <c r="CF590" s="222"/>
      <c r="CG590" s="222"/>
      <c r="CH590" s="222"/>
      <c r="CI590" s="222"/>
      <c r="CJ590" s="222"/>
      <c r="CK590" s="222"/>
      <c r="CL590" s="222"/>
      <c r="CM590" s="222"/>
      <c r="CN590" s="222"/>
      <c r="CO590" s="222"/>
      <c r="CP590" s="222"/>
      <c r="CQ590" s="222"/>
      <c r="CR590" s="222"/>
      <c r="CS590" s="222"/>
    </row>
    <row r="591">
      <c r="A591" s="43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  <c r="AC591" s="222"/>
      <c r="AD591" s="222"/>
      <c r="AE591" s="222"/>
      <c r="AF591" s="222"/>
      <c r="AG591" s="222"/>
      <c r="AH591" s="222"/>
      <c r="AI591" s="222"/>
      <c r="AJ591" s="222"/>
      <c r="AK591" s="222"/>
      <c r="AL591" s="222"/>
      <c r="AM591" s="222"/>
      <c r="AN591" s="222"/>
      <c r="AO591" s="222"/>
      <c r="AP591" s="222"/>
      <c r="AQ591" s="222"/>
      <c r="AR591" s="222"/>
      <c r="AS591" s="222"/>
      <c r="AT591" s="222"/>
      <c r="AU591" s="222"/>
      <c r="AV591" s="222"/>
      <c r="AW591" s="222"/>
      <c r="AX591" s="222"/>
      <c r="AY591" s="222"/>
      <c r="AZ591" s="222"/>
      <c r="BA591" s="222"/>
      <c r="BB591" s="222"/>
      <c r="BC591" s="222"/>
      <c r="BD591" s="222"/>
      <c r="BE591" s="222"/>
      <c r="BF591" s="222"/>
      <c r="BG591" s="222"/>
      <c r="BH591" s="222"/>
      <c r="BI591" s="222"/>
      <c r="BJ591" s="222"/>
      <c r="BK591" s="222"/>
      <c r="BL591" s="222"/>
      <c r="BM591" s="222"/>
      <c r="BN591" s="222"/>
      <c r="BO591" s="222"/>
      <c r="BP591" s="222"/>
      <c r="BQ591" s="222"/>
      <c r="BR591" s="222"/>
      <c r="BS591" s="222"/>
      <c r="BT591" s="222"/>
      <c r="BU591" s="222"/>
      <c r="BV591" s="222"/>
      <c r="BW591" s="222"/>
      <c r="BX591" s="222"/>
      <c r="BY591" s="222"/>
      <c r="BZ591" s="222"/>
      <c r="CA591" s="222"/>
      <c r="CB591" s="222"/>
      <c r="CC591" s="222"/>
      <c r="CD591" s="222"/>
      <c r="CE591" s="222"/>
      <c r="CF591" s="222"/>
      <c r="CG591" s="222"/>
      <c r="CH591" s="222"/>
      <c r="CI591" s="222"/>
      <c r="CJ591" s="222"/>
      <c r="CK591" s="222"/>
      <c r="CL591" s="222"/>
      <c r="CM591" s="222"/>
      <c r="CN591" s="222"/>
      <c r="CO591" s="222"/>
      <c r="CP591" s="222"/>
      <c r="CQ591" s="222"/>
      <c r="CR591" s="222"/>
      <c r="CS591" s="222"/>
    </row>
    <row r="592">
      <c r="A592" s="43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  <c r="AC592" s="222"/>
      <c r="AD592" s="222"/>
      <c r="AE592" s="222"/>
      <c r="AF592" s="222"/>
      <c r="AG592" s="222"/>
      <c r="AH592" s="222"/>
      <c r="AI592" s="222"/>
      <c r="AJ592" s="222"/>
      <c r="AK592" s="222"/>
      <c r="AL592" s="222"/>
      <c r="AM592" s="222"/>
      <c r="AN592" s="222"/>
      <c r="AO592" s="222"/>
      <c r="AP592" s="222"/>
      <c r="AQ592" s="222"/>
      <c r="AR592" s="222"/>
      <c r="AS592" s="222"/>
      <c r="AT592" s="222"/>
      <c r="AU592" s="222"/>
      <c r="AV592" s="222"/>
      <c r="AW592" s="222"/>
      <c r="AX592" s="222"/>
      <c r="AY592" s="222"/>
      <c r="AZ592" s="222"/>
      <c r="BA592" s="222"/>
      <c r="BB592" s="222"/>
      <c r="BC592" s="222"/>
      <c r="BD592" s="222"/>
      <c r="BE592" s="222"/>
      <c r="BF592" s="222"/>
      <c r="BG592" s="222"/>
      <c r="BH592" s="222"/>
      <c r="BI592" s="222"/>
      <c r="BJ592" s="222"/>
      <c r="BK592" s="222"/>
      <c r="BL592" s="222"/>
      <c r="BM592" s="222"/>
      <c r="BN592" s="222"/>
      <c r="BO592" s="222"/>
      <c r="BP592" s="222"/>
      <c r="BQ592" s="222"/>
      <c r="BR592" s="222"/>
      <c r="BS592" s="222"/>
      <c r="BT592" s="222"/>
      <c r="BU592" s="222"/>
      <c r="BV592" s="222"/>
      <c r="BW592" s="222"/>
      <c r="BX592" s="222"/>
      <c r="BY592" s="222"/>
      <c r="BZ592" s="222"/>
      <c r="CA592" s="222"/>
      <c r="CB592" s="222"/>
      <c r="CC592" s="222"/>
      <c r="CD592" s="222"/>
      <c r="CE592" s="222"/>
      <c r="CF592" s="222"/>
      <c r="CG592" s="222"/>
      <c r="CH592" s="222"/>
      <c r="CI592" s="222"/>
      <c r="CJ592" s="222"/>
      <c r="CK592" s="222"/>
      <c r="CL592" s="222"/>
      <c r="CM592" s="222"/>
      <c r="CN592" s="222"/>
      <c r="CO592" s="222"/>
      <c r="CP592" s="222"/>
      <c r="CQ592" s="222"/>
      <c r="CR592" s="222"/>
      <c r="CS592" s="222"/>
    </row>
    <row r="593">
      <c r="A593" s="43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  <c r="AC593" s="222"/>
      <c r="AD593" s="222"/>
      <c r="AE593" s="222"/>
      <c r="AF593" s="222"/>
      <c r="AG593" s="222"/>
      <c r="AH593" s="222"/>
      <c r="AI593" s="222"/>
      <c r="AJ593" s="222"/>
      <c r="AK593" s="222"/>
      <c r="AL593" s="222"/>
      <c r="AM593" s="222"/>
      <c r="AN593" s="222"/>
      <c r="AO593" s="222"/>
      <c r="AP593" s="222"/>
      <c r="AQ593" s="222"/>
      <c r="AR593" s="222"/>
      <c r="AS593" s="222"/>
      <c r="AT593" s="222"/>
      <c r="AU593" s="222"/>
      <c r="AV593" s="222"/>
      <c r="AW593" s="222"/>
      <c r="AX593" s="222"/>
      <c r="AY593" s="222"/>
      <c r="AZ593" s="222"/>
      <c r="BA593" s="222"/>
      <c r="BB593" s="222"/>
      <c r="BC593" s="222"/>
      <c r="BD593" s="222"/>
      <c r="BE593" s="222"/>
      <c r="BF593" s="222"/>
      <c r="BG593" s="222"/>
      <c r="BH593" s="222"/>
      <c r="BI593" s="222"/>
      <c r="BJ593" s="222"/>
      <c r="BK593" s="222"/>
      <c r="BL593" s="222"/>
      <c r="BM593" s="222"/>
      <c r="BN593" s="222"/>
      <c r="BO593" s="222"/>
      <c r="BP593" s="222"/>
      <c r="BQ593" s="222"/>
      <c r="BR593" s="222"/>
      <c r="BS593" s="222"/>
      <c r="BT593" s="222"/>
      <c r="BU593" s="222"/>
      <c r="BV593" s="222"/>
      <c r="BW593" s="222"/>
      <c r="BX593" s="222"/>
      <c r="BY593" s="222"/>
      <c r="BZ593" s="222"/>
      <c r="CA593" s="222"/>
      <c r="CB593" s="222"/>
      <c r="CC593" s="222"/>
      <c r="CD593" s="222"/>
      <c r="CE593" s="222"/>
      <c r="CF593" s="222"/>
      <c r="CG593" s="222"/>
      <c r="CH593" s="222"/>
      <c r="CI593" s="222"/>
      <c r="CJ593" s="222"/>
      <c r="CK593" s="222"/>
      <c r="CL593" s="222"/>
      <c r="CM593" s="222"/>
      <c r="CN593" s="222"/>
      <c r="CO593" s="222"/>
      <c r="CP593" s="222"/>
      <c r="CQ593" s="222"/>
      <c r="CR593" s="222"/>
      <c r="CS593" s="222"/>
    </row>
    <row r="594">
      <c r="A594" s="43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  <c r="AC594" s="222"/>
      <c r="AD594" s="222"/>
      <c r="AE594" s="222"/>
      <c r="AF594" s="222"/>
      <c r="AG594" s="222"/>
      <c r="AH594" s="222"/>
      <c r="AI594" s="222"/>
      <c r="AJ594" s="222"/>
      <c r="AK594" s="222"/>
      <c r="AL594" s="222"/>
      <c r="AM594" s="222"/>
      <c r="AN594" s="222"/>
      <c r="AO594" s="222"/>
      <c r="AP594" s="222"/>
      <c r="AQ594" s="222"/>
      <c r="AR594" s="222"/>
      <c r="AS594" s="222"/>
      <c r="AT594" s="222"/>
      <c r="AU594" s="222"/>
      <c r="AV594" s="222"/>
      <c r="AW594" s="222"/>
      <c r="AX594" s="222"/>
      <c r="AY594" s="222"/>
      <c r="AZ594" s="222"/>
      <c r="BA594" s="222"/>
      <c r="BB594" s="222"/>
      <c r="BC594" s="222"/>
      <c r="BD594" s="222"/>
      <c r="BE594" s="222"/>
      <c r="BF594" s="222"/>
      <c r="BG594" s="222"/>
      <c r="BH594" s="222"/>
      <c r="BI594" s="222"/>
      <c r="BJ594" s="222"/>
      <c r="BK594" s="222"/>
      <c r="BL594" s="222"/>
      <c r="BM594" s="222"/>
      <c r="BN594" s="222"/>
      <c r="BO594" s="222"/>
      <c r="BP594" s="222"/>
      <c r="BQ594" s="222"/>
      <c r="BR594" s="222"/>
      <c r="BS594" s="222"/>
      <c r="BT594" s="222"/>
      <c r="BU594" s="222"/>
      <c r="BV594" s="222"/>
      <c r="BW594" s="222"/>
      <c r="BX594" s="222"/>
      <c r="BY594" s="222"/>
      <c r="BZ594" s="222"/>
      <c r="CA594" s="222"/>
      <c r="CB594" s="222"/>
      <c r="CC594" s="222"/>
      <c r="CD594" s="222"/>
      <c r="CE594" s="222"/>
      <c r="CF594" s="222"/>
      <c r="CG594" s="222"/>
      <c r="CH594" s="222"/>
      <c r="CI594" s="222"/>
      <c r="CJ594" s="222"/>
      <c r="CK594" s="222"/>
      <c r="CL594" s="222"/>
      <c r="CM594" s="222"/>
      <c r="CN594" s="222"/>
      <c r="CO594" s="222"/>
      <c r="CP594" s="222"/>
      <c r="CQ594" s="222"/>
      <c r="CR594" s="222"/>
      <c r="CS594" s="222"/>
    </row>
    <row r="595">
      <c r="A595" s="43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  <c r="AC595" s="222"/>
      <c r="AD595" s="222"/>
      <c r="AE595" s="222"/>
      <c r="AF595" s="222"/>
      <c r="AG595" s="222"/>
      <c r="AH595" s="222"/>
      <c r="AI595" s="222"/>
      <c r="AJ595" s="222"/>
      <c r="AK595" s="222"/>
      <c r="AL595" s="222"/>
      <c r="AM595" s="222"/>
      <c r="AN595" s="222"/>
      <c r="AO595" s="222"/>
      <c r="AP595" s="222"/>
      <c r="AQ595" s="222"/>
      <c r="AR595" s="222"/>
      <c r="AS595" s="222"/>
      <c r="AT595" s="222"/>
      <c r="AU595" s="222"/>
      <c r="AV595" s="222"/>
      <c r="AW595" s="222"/>
      <c r="AX595" s="222"/>
      <c r="AY595" s="222"/>
      <c r="AZ595" s="222"/>
      <c r="BA595" s="222"/>
      <c r="BB595" s="222"/>
      <c r="BC595" s="222"/>
      <c r="BD595" s="222"/>
      <c r="BE595" s="222"/>
      <c r="BF595" s="222"/>
      <c r="BG595" s="222"/>
      <c r="BH595" s="222"/>
      <c r="BI595" s="222"/>
      <c r="BJ595" s="222"/>
      <c r="BK595" s="222"/>
      <c r="BL595" s="222"/>
      <c r="BM595" s="222"/>
      <c r="BN595" s="222"/>
      <c r="BO595" s="222"/>
      <c r="BP595" s="222"/>
      <c r="BQ595" s="222"/>
      <c r="BR595" s="222"/>
      <c r="BS595" s="222"/>
      <c r="BT595" s="222"/>
      <c r="BU595" s="222"/>
      <c r="BV595" s="222"/>
      <c r="BW595" s="222"/>
      <c r="BX595" s="222"/>
      <c r="BY595" s="222"/>
      <c r="BZ595" s="222"/>
      <c r="CA595" s="222"/>
      <c r="CB595" s="222"/>
      <c r="CC595" s="222"/>
      <c r="CD595" s="222"/>
      <c r="CE595" s="222"/>
      <c r="CF595" s="222"/>
      <c r="CG595" s="222"/>
      <c r="CH595" s="222"/>
      <c r="CI595" s="222"/>
      <c r="CJ595" s="222"/>
      <c r="CK595" s="222"/>
      <c r="CL595" s="222"/>
      <c r="CM595" s="222"/>
      <c r="CN595" s="222"/>
      <c r="CO595" s="222"/>
      <c r="CP595" s="222"/>
      <c r="CQ595" s="222"/>
      <c r="CR595" s="222"/>
      <c r="CS595" s="222"/>
    </row>
    <row r="596">
      <c r="A596" s="43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  <c r="AC596" s="222"/>
      <c r="AD596" s="222"/>
      <c r="AE596" s="222"/>
      <c r="AF596" s="222"/>
      <c r="AG596" s="222"/>
      <c r="AH596" s="222"/>
      <c r="AI596" s="222"/>
      <c r="AJ596" s="222"/>
      <c r="AK596" s="222"/>
      <c r="AL596" s="222"/>
      <c r="AM596" s="222"/>
      <c r="AN596" s="222"/>
      <c r="AO596" s="222"/>
      <c r="AP596" s="222"/>
      <c r="AQ596" s="222"/>
      <c r="AR596" s="222"/>
      <c r="AS596" s="222"/>
      <c r="AT596" s="222"/>
      <c r="AU596" s="222"/>
      <c r="AV596" s="222"/>
      <c r="AW596" s="222"/>
      <c r="AX596" s="222"/>
      <c r="AY596" s="222"/>
      <c r="AZ596" s="222"/>
      <c r="BA596" s="222"/>
      <c r="BB596" s="222"/>
      <c r="BC596" s="222"/>
      <c r="BD596" s="222"/>
      <c r="BE596" s="222"/>
      <c r="BF596" s="222"/>
      <c r="BG596" s="222"/>
      <c r="BH596" s="222"/>
      <c r="BI596" s="222"/>
      <c r="BJ596" s="222"/>
      <c r="BK596" s="222"/>
      <c r="BL596" s="222"/>
      <c r="BM596" s="222"/>
      <c r="BN596" s="222"/>
      <c r="BO596" s="222"/>
      <c r="BP596" s="222"/>
      <c r="BQ596" s="222"/>
      <c r="BR596" s="222"/>
      <c r="BS596" s="222"/>
      <c r="BT596" s="222"/>
      <c r="BU596" s="222"/>
      <c r="BV596" s="222"/>
      <c r="BW596" s="222"/>
      <c r="BX596" s="222"/>
      <c r="BY596" s="222"/>
      <c r="BZ596" s="222"/>
      <c r="CA596" s="222"/>
      <c r="CB596" s="222"/>
      <c r="CC596" s="222"/>
      <c r="CD596" s="222"/>
      <c r="CE596" s="222"/>
      <c r="CF596" s="222"/>
      <c r="CG596" s="222"/>
      <c r="CH596" s="222"/>
      <c r="CI596" s="222"/>
      <c r="CJ596" s="222"/>
      <c r="CK596" s="222"/>
      <c r="CL596" s="222"/>
      <c r="CM596" s="222"/>
      <c r="CN596" s="222"/>
      <c r="CO596" s="222"/>
      <c r="CP596" s="222"/>
      <c r="CQ596" s="222"/>
      <c r="CR596" s="222"/>
      <c r="CS596" s="222"/>
    </row>
    <row r="597">
      <c r="A597" s="43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  <c r="AC597" s="222"/>
      <c r="AD597" s="222"/>
      <c r="AE597" s="222"/>
      <c r="AF597" s="222"/>
      <c r="AG597" s="222"/>
      <c r="AH597" s="222"/>
      <c r="AI597" s="222"/>
      <c r="AJ597" s="222"/>
      <c r="AK597" s="222"/>
      <c r="AL597" s="222"/>
      <c r="AM597" s="222"/>
      <c r="AN597" s="222"/>
      <c r="AO597" s="222"/>
      <c r="AP597" s="222"/>
      <c r="AQ597" s="222"/>
      <c r="AR597" s="222"/>
      <c r="AS597" s="222"/>
      <c r="AT597" s="222"/>
      <c r="AU597" s="222"/>
      <c r="AV597" s="222"/>
      <c r="AW597" s="222"/>
      <c r="AX597" s="222"/>
      <c r="AY597" s="222"/>
      <c r="AZ597" s="222"/>
      <c r="BA597" s="222"/>
      <c r="BB597" s="222"/>
      <c r="BC597" s="222"/>
      <c r="BD597" s="222"/>
      <c r="BE597" s="222"/>
      <c r="BF597" s="222"/>
      <c r="BG597" s="222"/>
      <c r="BH597" s="222"/>
      <c r="BI597" s="222"/>
      <c r="BJ597" s="222"/>
      <c r="BK597" s="222"/>
      <c r="BL597" s="222"/>
      <c r="BM597" s="222"/>
      <c r="BN597" s="222"/>
      <c r="BO597" s="222"/>
      <c r="BP597" s="222"/>
      <c r="BQ597" s="222"/>
      <c r="BR597" s="222"/>
      <c r="BS597" s="222"/>
      <c r="BT597" s="222"/>
      <c r="BU597" s="222"/>
      <c r="BV597" s="222"/>
      <c r="BW597" s="222"/>
      <c r="BX597" s="222"/>
      <c r="BY597" s="222"/>
      <c r="BZ597" s="222"/>
      <c r="CA597" s="222"/>
      <c r="CB597" s="222"/>
      <c r="CC597" s="222"/>
      <c r="CD597" s="222"/>
      <c r="CE597" s="222"/>
      <c r="CF597" s="222"/>
      <c r="CG597" s="222"/>
      <c r="CH597" s="222"/>
      <c r="CI597" s="222"/>
      <c r="CJ597" s="222"/>
      <c r="CK597" s="222"/>
      <c r="CL597" s="222"/>
      <c r="CM597" s="222"/>
      <c r="CN597" s="222"/>
      <c r="CO597" s="222"/>
      <c r="CP597" s="222"/>
      <c r="CQ597" s="222"/>
      <c r="CR597" s="222"/>
      <c r="CS597" s="222"/>
    </row>
    <row r="598">
      <c r="A598" s="43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  <c r="AC598" s="222"/>
      <c r="AD598" s="222"/>
      <c r="AE598" s="222"/>
      <c r="AF598" s="222"/>
      <c r="AG598" s="222"/>
      <c r="AH598" s="222"/>
      <c r="AI598" s="222"/>
      <c r="AJ598" s="222"/>
      <c r="AK598" s="222"/>
      <c r="AL598" s="222"/>
      <c r="AM598" s="222"/>
      <c r="AN598" s="222"/>
      <c r="AO598" s="222"/>
      <c r="AP598" s="222"/>
      <c r="AQ598" s="222"/>
      <c r="AR598" s="222"/>
      <c r="AS598" s="222"/>
      <c r="AT598" s="222"/>
      <c r="AU598" s="222"/>
      <c r="AV598" s="222"/>
      <c r="AW598" s="222"/>
      <c r="AX598" s="222"/>
      <c r="AY598" s="222"/>
      <c r="AZ598" s="222"/>
      <c r="BA598" s="222"/>
      <c r="BB598" s="222"/>
      <c r="BC598" s="222"/>
      <c r="BD598" s="222"/>
      <c r="BE598" s="222"/>
      <c r="BF598" s="222"/>
      <c r="BG598" s="222"/>
      <c r="BH598" s="222"/>
      <c r="BI598" s="222"/>
      <c r="BJ598" s="222"/>
      <c r="BK598" s="222"/>
      <c r="BL598" s="222"/>
      <c r="BM598" s="222"/>
      <c r="BN598" s="222"/>
      <c r="BO598" s="222"/>
      <c r="BP598" s="222"/>
      <c r="BQ598" s="222"/>
      <c r="BR598" s="222"/>
      <c r="BS598" s="222"/>
      <c r="BT598" s="222"/>
      <c r="BU598" s="222"/>
      <c r="BV598" s="222"/>
      <c r="BW598" s="222"/>
      <c r="BX598" s="222"/>
      <c r="BY598" s="222"/>
      <c r="BZ598" s="222"/>
      <c r="CA598" s="222"/>
      <c r="CB598" s="222"/>
      <c r="CC598" s="222"/>
      <c r="CD598" s="222"/>
      <c r="CE598" s="222"/>
      <c r="CF598" s="222"/>
      <c r="CG598" s="222"/>
      <c r="CH598" s="222"/>
      <c r="CI598" s="222"/>
      <c r="CJ598" s="222"/>
      <c r="CK598" s="222"/>
      <c r="CL598" s="222"/>
      <c r="CM598" s="222"/>
      <c r="CN598" s="222"/>
      <c r="CO598" s="222"/>
      <c r="CP598" s="222"/>
      <c r="CQ598" s="222"/>
      <c r="CR598" s="222"/>
      <c r="CS598" s="222"/>
    </row>
    <row r="599">
      <c r="A599" s="43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  <c r="AC599" s="222"/>
      <c r="AD599" s="222"/>
      <c r="AE599" s="222"/>
      <c r="AF599" s="222"/>
      <c r="AG599" s="222"/>
      <c r="AH599" s="222"/>
      <c r="AI599" s="222"/>
      <c r="AJ599" s="222"/>
      <c r="AK599" s="222"/>
      <c r="AL599" s="222"/>
      <c r="AM599" s="222"/>
      <c r="AN599" s="222"/>
      <c r="AO599" s="222"/>
      <c r="AP599" s="222"/>
      <c r="AQ599" s="222"/>
      <c r="AR599" s="222"/>
      <c r="AS599" s="222"/>
      <c r="AT599" s="222"/>
      <c r="AU599" s="222"/>
      <c r="AV599" s="222"/>
      <c r="AW599" s="222"/>
      <c r="AX599" s="222"/>
      <c r="AY599" s="222"/>
      <c r="AZ599" s="222"/>
      <c r="BA599" s="222"/>
      <c r="BB599" s="222"/>
      <c r="BC599" s="222"/>
      <c r="BD599" s="222"/>
      <c r="BE599" s="222"/>
      <c r="BF599" s="222"/>
      <c r="BG599" s="222"/>
      <c r="BH599" s="222"/>
      <c r="BI599" s="222"/>
      <c r="BJ599" s="222"/>
      <c r="BK599" s="222"/>
      <c r="BL599" s="222"/>
      <c r="BM599" s="222"/>
      <c r="BN599" s="222"/>
      <c r="BO599" s="222"/>
      <c r="BP599" s="222"/>
      <c r="BQ599" s="222"/>
      <c r="BR599" s="222"/>
      <c r="BS599" s="222"/>
      <c r="BT599" s="222"/>
      <c r="BU599" s="222"/>
      <c r="BV599" s="222"/>
      <c r="BW599" s="222"/>
      <c r="BX599" s="222"/>
      <c r="BY599" s="222"/>
      <c r="BZ599" s="222"/>
      <c r="CA599" s="222"/>
      <c r="CB599" s="222"/>
      <c r="CC599" s="222"/>
      <c r="CD599" s="222"/>
      <c r="CE599" s="222"/>
      <c r="CF599" s="222"/>
      <c r="CG599" s="222"/>
      <c r="CH599" s="222"/>
      <c r="CI599" s="222"/>
      <c r="CJ599" s="222"/>
      <c r="CK599" s="222"/>
      <c r="CL599" s="222"/>
      <c r="CM599" s="222"/>
      <c r="CN599" s="222"/>
      <c r="CO599" s="222"/>
      <c r="CP599" s="222"/>
      <c r="CQ599" s="222"/>
      <c r="CR599" s="222"/>
      <c r="CS599" s="222"/>
    </row>
    <row r="600">
      <c r="A600" s="43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  <c r="AC600" s="222"/>
      <c r="AD600" s="222"/>
      <c r="AE600" s="222"/>
      <c r="AF600" s="222"/>
      <c r="AG600" s="222"/>
      <c r="AH600" s="222"/>
      <c r="AI600" s="222"/>
      <c r="AJ600" s="222"/>
      <c r="AK600" s="222"/>
      <c r="AL600" s="222"/>
      <c r="AM600" s="222"/>
      <c r="AN600" s="222"/>
      <c r="AO600" s="222"/>
      <c r="AP600" s="222"/>
      <c r="AQ600" s="222"/>
      <c r="AR600" s="222"/>
      <c r="AS600" s="222"/>
      <c r="AT600" s="222"/>
      <c r="AU600" s="222"/>
      <c r="AV600" s="222"/>
      <c r="AW600" s="222"/>
      <c r="AX600" s="222"/>
      <c r="AY600" s="222"/>
      <c r="AZ600" s="222"/>
      <c r="BA600" s="222"/>
      <c r="BB600" s="222"/>
      <c r="BC600" s="222"/>
      <c r="BD600" s="222"/>
      <c r="BE600" s="222"/>
      <c r="BF600" s="222"/>
      <c r="BG600" s="222"/>
      <c r="BH600" s="222"/>
      <c r="BI600" s="222"/>
      <c r="BJ600" s="222"/>
      <c r="BK600" s="222"/>
      <c r="BL600" s="222"/>
      <c r="BM600" s="222"/>
      <c r="BN600" s="222"/>
      <c r="BO600" s="222"/>
      <c r="BP600" s="222"/>
      <c r="BQ600" s="222"/>
      <c r="BR600" s="222"/>
      <c r="BS600" s="222"/>
      <c r="BT600" s="222"/>
      <c r="BU600" s="222"/>
      <c r="BV600" s="222"/>
      <c r="BW600" s="222"/>
      <c r="BX600" s="222"/>
      <c r="BY600" s="222"/>
      <c r="BZ600" s="222"/>
      <c r="CA600" s="222"/>
      <c r="CB600" s="222"/>
      <c r="CC600" s="222"/>
      <c r="CD600" s="222"/>
      <c r="CE600" s="222"/>
      <c r="CF600" s="222"/>
      <c r="CG600" s="222"/>
      <c r="CH600" s="222"/>
      <c r="CI600" s="222"/>
      <c r="CJ600" s="222"/>
      <c r="CK600" s="222"/>
      <c r="CL600" s="222"/>
      <c r="CM600" s="222"/>
      <c r="CN600" s="222"/>
      <c r="CO600" s="222"/>
      <c r="CP600" s="222"/>
      <c r="CQ600" s="222"/>
      <c r="CR600" s="222"/>
      <c r="CS600" s="222"/>
    </row>
    <row r="601">
      <c r="A601" s="43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  <c r="AC601" s="222"/>
      <c r="AD601" s="222"/>
      <c r="AE601" s="222"/>
      <c r="AF601" s="222"/>
      <c r="AG601" s="222"/>
      <c r="AH601" s="222"/>
      <c r="AI601" s="222"/>
      <c r="AJ601" s="222"/>
      <c r="AK601" s="222"/>
      <c r="AL601" s="222"/>
      <c r="AM601" s="222"/>
      <c r="AN601" s="222"/>
      <c r="AO601" s="222"/>
      <c r="AP601" s="222"/>
      <c r="AQ601" s="222"/>
      <c r="AR601" s="222"/>
      <c r="AS601" s="222"/>
      <c r="AT601" s="222"/>
      <c r="AU601" s="222"/>
      <c r="AV601" s="222"/>
      <c r="AW601" s="222"/>
      <c r="AX601" s="222"/>
      <c r="AY601" s="222"/>
      <c r="AZ601" s="222"/>
      <c r="BA601" s="222"/>
      <c r="BB601" s="222"/>
      <c r="BC601" s="222"/>
      <c r="BD601" s="222"/>
      <c r="BE601" s="222"/>
      <c r="BF601" s="222"/>
      <c r="BG601" s="222"/>
      <c r="BH601" s="222"/>
      <c r="BI601" s="222"/>
      <c r="BJ601" s="222"/>
      <c r="BK601" s="222"/>
      <c r="BL601" s="222"/>
      <c r="BM601" s="222"/>
      <c r="BN601" s="222"/>
      <c r="BO601" s="222"/>
      <c r="BP601" s="222"/>
      <c r="BQ601" s="222"/>
      <c r="BR601" s="222"/>
      <c r="BS601" s="222"/>
      <c r="BT601" s="222"/>
      <c r="BU601" s="222"/>
      <c r="BV601" s="222"/>
      <c r="BW601" s="222"/>
      <c r="BX601" s="222"/>
      <c r="BY601" s="222"/>
      <c r="BZ601" s="222"/>
      <c r="CA601" s="222"/>
      <c r="CB601" s="222"/>
      <c r="CC601" s="222"/>
      <c r="CD601" s="222"/>
      <c r="CE601" s="222"/>
      <c r="CF601" s="222"/>
      <c r="CG601" s="222"/>
      <c r="CH601" s="222"/>
      <c r="CI601" s="222"/>
      <c r="CJ601" s="222"/>
      <c r="CK601" s="222"/>
      <c r="CL601" s="222"/>
      <c r="CM601" s="222"/>
      <c r="CN601" s="222"/>
      <c r="CO601" s="222"/>
      <c r="CP601" s="222"/>
      <c r="CQ601" s="222"/>
      <c r="CR601" s="222"/>
      <c r="CS601" s="222"/>
    </row>
    <row r="602">
      <c r="A602" s="43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  <c r="AC602" s="222"/>
      <c r="AD602" s="222"/>
      <c r="AE602" s="222"/>
      <c r="AF602" s="222"/>
      <c r="AG602" s="222"/>
      <c r="AH602" s="222"/>
      <c r="AI602" s="222"/>
      <c r="AJ602" s="222"/>
      <c r="AK602" s="222"/>
      <c r="AL602" s="222"/>
      <c r="AM602" s="222"/>
      <c r="AN602" s="222"/>
      <c r="AO602" s="222"/>
      <c r="AP602" s="222"/>
      <c r="AQ602" s="222"/>
      <c r="AR602" s="222"/>
      <c r="AS602" s="222"/>
      <c r="AT602" s="222"/>
      <c r="AU602" s="222"/>
      <c r="AV602" s="222"/>
      <c r="AW602" s="222"/>
      <c r="AX602" s="222"/>
      <c r="AY602" s="222"/>
      <c r="AZ602" s="222"/>
      <c r="BA602" s="222"/>
      <c r="BB602" s="222"/>
      <c r="BC602" s="222"/>
      <c r="BD602" s="222"/>
      <c r="BE602" s="222"/>
      <c r="BF602" s="222"/>
      <c r="BG602" s="222"/>
      <c r="BH602" s="222"/>
      <c r="BI602" s="222"/>
      <c r="BJ602" s="222"/>
      <c r="BK602" s="222"/>
      <c r="BL602" s="222"/>
      <c r="BM602" s="222"/>
      <c r="BN602" s="222"/>
      <c r="BO602" s="222"/>
      <c r="BP602" s="222"/>
      <c r="BQ602" s="222"/>
      <c r="BR602" s="222"/>
      <c r="BS602" s="222"/>
      <c r="BT602" s="222"/>
      <c r="BU602" s="222"/>
      <c r="BV602" s="222"/>
      <c r="BW602" s="222"/>
      <c r="BX602" s="222"/>
      <c r="BY602" s="222"/>
      <c r="BZ602" s="222"/>
      <c r="CA602" s="222"/>
      <c r="CB602" s="222"/>
      <c r="CC602" s="222"/>
      <c r="CD602" s="222"/>
      <c r="CE602" s="222"/>
      <c r="CF602" s="222"/>
      <c r="CG602" s="222"/>
      <c r="CH602" s="222"/>
      <c r="CI602" s="222"/>
      <c r="CJ602" s="222"/>
      <c r="CK602" s="222"/>
      <c r="CL602" s="222"/>
      <c r="CM602" s="222"/>
      <c r="CN602" s="222"/>
      <c r="CO602" s="222"/>
      <c r="CP602" s="222"/>
      <c r="CQ602" s="222"/>
      <c r="CR602" s="222"/>
      <c r="CS602" s="222"/>
    </row>
    <row r="603">
      <c r="A603" s="43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  <c r="AC603" s="222"/>
      <c r="AD603" s="222"/>
      <c r="AE603" s="222"/>
      <c r="AF603" s="222"/>
      <c r="AG603" s="222"/>
      <c r="AH603" s="222"/>
      <c r="AI603" s="222"/>
      <c r="AJ603" s="222"/>
      <c r="AK603" s="222"/>
      <c r="AL603" s="222"/>
      <c r="AM603" s="222"/>
      <c r="AN603" s="222"/>
      <c r="AO603" s="222"/>
      <c r="AP603" s="222"/>
      <c r="AQ603" s="222"/>
      <c r="AR603" s="222"/>
      <c r="AS603" s="222"/>
      <c r="AT603" s="222"/>
      <c r="AU603" s="222"/>
      <c r="AV603" s="222"/>
      <c r="AW603" s="222"/>
      <c r="AX603" s="222"/>
      <c r="AY603" s="222"/>
      <c r="AZ603" s="222"/>
      <c r="BA603" s="222"/>
      <c r="BB603" s="222"/>
      <c r="BC603" s="222"/>
      <c r="BD603" s="222"/>
      <c r="BE603" s="222"/>
      <c r="BF603" s="222"/>
      <c r="BG603" s="222"/>
      <c r="BH603" s="222"/>
      <c r="BI603" s="222"/>
      <c r="BJ603" s="222"/>
      <c r="BK603" s="222"/>
      <c r="BL603" s="222"/>
      <c r="BM603" s="222"/>
      <c r="BN603" s="222"/>
      <c r="BO603" s="222"/>
      <c r="BP603" s="222"/>
      <c r="BQ603" s="222"/>
      <c r="BR603" s="222"/>
      <c r="BS603" s="222"/>
      <c r="BT603" s="222"/>
      <c r="BU603" s="222"/>
      <c r="BV603" s="222"/>
      <c r="BW603" s="222"/>
      <c r="BX603" s="222"/>
      <c r="BY603" s="222"/>
      <c r="BZ603" s="222"/>
      <c r="CA603" s="222"/>
      <c r="CB603" s="222"/>
      <c r="CC603" s="222"/>
      <c r="CD603" s="222"/>
      <c r="CE603" s="222"/>
      <c r="CF603" s="222"/>
      <c r="CG603" s="222"/>
      <c r="CH603" s="222"/>
      <c r="CI603" s="222"/>
      <c r="CJ603" s="222"/>
      <c r="CK603" s="222"/>
      <c r="CL603" s="222"/>
      <c r="CM603" s="222"/>
      <c r="CN603" s="222"/>
      <c r="CO603" s="222"/>
      <c r="CP603" s="222"/>
      <c r="CQ603" s="222"/>
      <c r="CR603" s="222"/>
      <c r="CS603" s="222"/>
    </row>
    <row r="604">
      <c r="A604" s="43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  <c r="AC604" s="222"/>
      <c r="AD604" s="222"/>
      <c r="AE604" s="222"/>
      <c r="AF604" s="222"/>
      <c r="AG604" s="222"/>
      <c r="AH604" s="222"/>
      <c r="AI604" s="222"/>
      <c r="AJ604" s="222"/>
      <c r="AK604" s="222"/>
      <c r="AL604" s="222"/>
      <c r="AM604" s="222"/>
      <c r="AN604" s="222"/>
      <c r="AO604" s="222"/>
      <c r="AP604" s="222"/>
      <c r="AQ604" s="222"/>
      <c r="AR604" s="222"/>
      <c r="AS604" s="222"/>
      <c r="AT604" s="222"/>
      <c r="AU604" s="222"/>
      <c r="AV604" s="222"/>
      <c r="AW604" s="222"/>
      <c r="AX604" s="222"/>
      <c r="AY604" s="222"/>
      <c r="AZ604" s="222"/>
      <c r="BA604" s="222"/>
      <c r="BB604" s="222"/>
      <c r="BC604" s="222"/>
      <c r="BD604" s="222"/>
      <c r="BE604" s="222"/>
      <c r="BF604" s="222"/>
      <c r="BG604" s="222"/>
      <c r="BH604" s="222"/>
      <c r="BI604" s="222"/>
      <c r="BJ604" s="222"/>
      <c r="BK604" s="222"/>
      <c r="BL604" s="222"/>
      <c r="BM604" s="222"/>
      <c r="BN604" s="222"/>
      <c r="BO604" s="222"/>
      <c r="BP604" s="222"/>
      <c r="BQ604" s="222"/>
      <c r="BR604" s="222"/>
      <c r="BS604" s="222"/>
      <c r="BT604" s="222"/>
      <c r="BU604" s="222"/>
      <c r="BV604" s="222"/>
      <c r="BW604" s="222"/>
      <c r="BX604" s="222"/>
      <c r="BY604" s="222"/>
      <c r="BZ604" s="222"/>
      <c r="CA604" s="222"/>
      <c r="CB604" s="222"/>
      <c r="CC604" s="222"/>
      <c r="CD604" s="222"/>
      <c r="CE604" s="222"/>
      <c r="CF604" s="222"/>
      <c r="CG604" s="222"/>
      <c r="CH604" s="222"/>
      <c r="CI604" s="222"/>
      <c r="CJ604" s="222"/>
      <c r="CK604" s="222"/>
      <c r="CL604" s="222"/>
      <c r="CM604" s="222"/>
      <c r="CN604" s="222"/>
      <c r="CO604" s="222"/>
      <c r="CP604" s="222"/>
      <c r="CQ604" s="222"/>
      <c r="CR604" s="222"/>
      <c r="CS604" s="222"/>
    </row>
    <row r="605">
      <c r="A605" s="43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  <c r="AC605" s="222"/>
      <c r="AD605" s="222"/>
      <c r="AE605" s="222"/>
      <c r="AF605" s="222"/>
      <c r="AG605" s="222"/>
      <c r="AH605" s="222"/>
      <c r="AI605" s="222"/>
      <c r="AJ605" s="222"/>
      <c r="AK605" s="222"/>
      <c r="AL605" s="222"/>
      <c r="AM605" s="222"/>
      <c r="AN605" s="222"/>
      <c r="AO605" s="222"/>
      <c r="AP605" s="222"/>
      <c r="AQ605" s="222"/>
      <c r="AR605" s="222"/>
      <c r="AS605" s="222"/>
      <c r="AT605" s="222"/>
      <c r="AU605" s="222"/>
      <c r="AV605" s="222"/>
      <c r="AW605" s="222"/>
      <c r="AX605" s="222"/>
      <c r="AY605" s="222"/>
      <c r="AZ605" s="222"/>
      <c r="BA605" s="222"/>
      <c r="BB605" s="222"/>
      <c r="BC605" s="222"/>
      <c r="BD605" s="222"/>
      <c r="BE605" s="222"/>
      <c r="BF605" s="222"/>
      <c r="BG605" s="222"/>
      <c r="BH605" s="222"/>
      <c r="BI605" s="222"/>
      <c r="BJ605" s="222"/>
      <c r="BK605" s="222"/>
      <c r="BL605" s="222"/>
      <c r="BM605" s="222"/>
      <c r="BN605" s="222"/>
      <c r="BO605" s="222"/>
      <c r="BP605" s="222"/>
      <c r="BQ605" s="222"/>
      <c r="BR605" s="222"/>
      <c r="BS605" s="222"/>
      <c r="BT605" s="222"/>
      <c r="BU605" s="222"/>
      <c r="BV605" s="222"/>
      <c r="BW605" s="222"/>
      <c r="BX605" s="222"/>
      <c r="BY605" s="222"/>
      <c r="BZ605" s="222"/>
      <c r="CA605" s="222"/>
      <c r="CB605" s="222"/>
      <c r="CC605" s="222"/>
      <c r="CD605" s="222"/>
      <c r="CE605" s="222"/>
      <c r="CF605" s="222"/>
      <c r="CG605" s="222"/>
      <c r="CH605" s="222"/>
      <c r="CI605" s="222"/>
      <c r="CJ605" s="222"/>
      <c r="CK605" s="222"/>
      <c r="CL605" s="222"/>
      <c r="CM605" s="222"/>
      <c r="CN605" s="222"/>
      <c r="CO605" s="222"/>
      <c r="CP605" s="222"/>
      <c r="CQ605" s="222"/>
      <c r="CR605" s="222"/>
      <c r="CS605" s="222"/>
    </row>
    <row r="606">
      <c r="A606" s="43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  <c r="AC606" s="222"/>
      <c r="AD606" s="222"/>
      <c r="AE606" s="222"/>
      <c r="AF606" s="222"/>
      <c r="AG606" s="222"/>
      <c r="AH606" s="222"/>
      <c r="AI606" s="222"/>
      <c r="AJ606" s="222"/>
      <c r="AK606" s="222"/>
      <c r="AL606" s="222"/>
      <c r="AM606" s="222"/>
      <c r="AN606" s="222"/>
      <c r="AO606" s="222"/>
      <c r="AP606" s="222"/>
      <c r="AQ606" s="222"/>
      <c r="AR606" s="222"/>
      <c r="AS606" s="222"/>
      <c r="AT606" s="222"/>
      <c r="AU606" s="222"/>
      <c r="AV606" s="222"/>
      <c r="AW606" s="222"/>
      <c r="AX606" s="222"/>
      <c r="AY606" s="222"/>
      <c r="AZ606" s="222"/>
      <c r="BA606" s="222"/>
      <c r="BB606" s="222"/>
      <c r="BC606" s="222"/>
      <c r="BD606" s="222"/>
      <c r="BE606" s="222"/>
      <c r="BF606" s="222"/>
      <c r="BG606" s="222"/>
      <c r="BH606" s="222"/>
      <c r="BI606" s="222"/>
      <c r="BJ606" s="222"/>
      <c r="BK606" s="222"/>
      <c r="BL606" s="222"/>
      <c r="BM606" s="222"/>
      <c r="BN606" s="222"/>
      <c r="BO606" s="222"/>
      <c r="BP606" s="222"/>
      <c r="BQ606" s="222"/>
      <c r="BR606" s="222"/>
      <c r="BS606" s="222"/>
      <c r="BT606" s="222"/>
      <c r="BU606" s="222"/>
      <c r="BV606" s="222"/>
      <c r="BW606" s="222"/>
      <c r="BX606" s="222"/>
      <c r="BY606" s="222"/>
      <c r="BZ606" s="222"/>
      <c r="CA606" s="222"/>
      <c r="CB606" s="222"/>
      <c r="CC606" s="222"/>
      <c r="CD606" s="222"/>
      <c r="CE606" s="222"/>
      <c r="CF606" s="222"/>
      <c r="CG606" s="222"/>
      <c r="CH606" s="222"/>
      <c r="CI606" s="222"/>
      <c r="CJ606" s="222"/>
      <c r="CK606" s="222"/>
      <c r="CL606" s="222"/>
      <c r="CM606" s="222"/>
      <c r="CN606" s="222"/>
      <c r="CO606" s="222"/>
      <c r="CP606" s="222"/>
      <c r="CQ606" s="222"/>
      <c r="CR606" s="222"/>
      <c r="CS606" s="222"/>
    </row>
    <row r="607">
      <c r="A607" s="43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  <c r="AC607" s="222"/>
      <c r="AD607" s="222"/>
      <c r="AE607" s="222"/>
      <c r="AF607" s="222"/>
      <c r="AG607" s="222"/>
      <c r="AH607" s="222"/>
      <c r="AI607" s="222"/>
      <c r="AJ607" s="222"/>
      <c r="AK607" s="222"/>
      <c r="AL607" s="222"/>
      <c r="AM607" s="222"/>
      <c r="AN607" s="222"/>
      <c r="AO607" s="222"/>
      <c r="AP607" s="222"/>
      <c r="AQ607" s="222"/>
      <c r="AR607" s="222"/>
      <c r="AS607" s="222"/>
      <c r="AT607" s="222"/>
      <c r="AU607" s="222"/>
      <c r="AV607" s="222"/>
      <c r="AW607" s="222"/>
      <c r="AX607" s="222"/>
      <c r="AY607" s="222"/>
      <c r="AZ607" s="222"/>
      <c r="BA607" s="222"/>
      <c r="BB607" s="222"/>
      <c r="BC607" s="222"/>
      <c r="BD607" s="222"/>
      <c r="BE607" s="222"/>
      <c r="BF607" s="222"/>
      <c r="BG607" s="222"/>
      <c r="BH607" s="222"/>
      <c r="BI607" s="222"/>
      <c r="BJ607" s="222"/>
      <c r="BK607" s="222"/>
      <c r="BL607" s="222"/>
      <c r="BM607" s="222"/>
      <c r="BN607" s="222"/>
      <c r="BO607" s="222"/>
      <c r="BP607" s="222"/>
      <c r="BQ607" s="222"/>
      <c r="BR607" s="222"/>
      <c r="BS607" s="222"/>
      <c r="BT607" s="222"/>
      <c r="BU607" s="222"/>
      <c r="BV607" s="222"/>
      <c r="BW607" s="222"/>
      <c r="BX607" s="222"/>
      <c r="BY607" s="222"/>
      <c r="BZ607" s="222"/>
      <c r="CA607" s="222"/>
      <c r="CB607" s="222"/>
      <c r="CC607" s="222"/>
      <c r="CD607" s="222"/>
      <c r="CE607" s="222"/>
      <c r="CF607" s="222"/>
      <c r="CG607" s="222"/>
      <c r="CH607" s="222"/>
      <c r="CI607" s="222"/>
      <c r="CJ607" s="222"/>
      <c r="CK607" s="222"/>
      <c r="CL607" s="222"/>
      <c r="CM607" s="222"/>
      <c r="CN607" s="222"/>
      <c r="CO607" s="222"/>
      <c r="CP607" s="222"/>
      <c r="CQ607" s="222"/>
      <c r="CR607" s="222"/>
      <c r="CS607" s="222"/>
    </row>
    <row r="608">
      <c r="A608" s="43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  <c r="AC608" s="222"/>
      <c r="AD608" s="222"/>
      <c r="AE608" s="222"/>
      <c r="AF608" s="222"/>
      <c r="AG608" s="222"/>
      <c r="AH608" s="222"/>
      <c r="AI608" s="222"/>
      <c r="AJ608" s="222"/>
      <c r="AK608" s="222"/>
      <c r="AL608" s="222"/>
      <c r="AM608" s="222"/>
      <c r="AN608" s="222"/>
      <c r="AO608" s="222"/>
      <c r="AP608" s="222"/>
      <c r="AQ608" s="222"/>
      <c r="AR608" s="222"/>
      <c r="AS608" s="222"/>
      <c r="AT608" s="222"/>
      <c r="AU608" s="222"/>
      <c r="AV608" s="222"/>
      <c r="AW608" s="222"/>
      <c r="AX608" s="222"/>
      <c r="AY608" s="222"/>
      <c r="AZ608" s="222"/>
      <c r="BA608" s="222"/>
      <c r="BB608" s="222"/>
      <c r="BC608" s="222"/>
      <c r="BD608" s="222"/>
      <c r="BE608" s="222"/>
      <c r="BF608" s="222"/>
      <c r="BG608" s="222"/>
      <c r="BH608" s="222"/>
      <c r="BI608" s="222"/>
      <c r="BJ608" s="222"/>
      <c r="BK608" s="222"/>
      <c r="BL608" s="222"/>
      <c r="BM608" s="222"/>
      <c r="BN608" s="222"/>
      <c r="BO608" s="222"/>
      <c r="BP608" s="222"/>
      <c r="BQ608" s="222"/>
      <c r="BR608" s="222"/>
      <c r="BS608" s="222"/>
      <c r="BT608" s="222"/>
      <c r="BU608" s="222"/>
      <c r="BV608" s="222"/>
      <c r="BW608" s="222"/>
      <c r="BX608" s="222"/>
      <c r="BY608" s="222"/>
      <c r="BZ608" s="222"/>
      <c r="CA608" s="222"/>
      <c r="CB608" s="222"/>
      <c r="CC608" s="222"/>
      <c r="CD608" s="222"/>
      <c r="CE608" s="222"/>
      <c r="CF608" s="222"/>
      <c r="CG608" s="222"/>
      <c r="CH608" s="222"/>
      <c r="CI608" s="222"/>
      <c r="CJ608" s="222"/>
      <c r="CK608" s="222"/>
      <c r="CL608" s="222"/>
      <c r="CM608" s="222"/>
      <c r="CN608" s="222"/>
      <c r="CO608" s="222"/>
      <c r="CP608" s="222"/>
      <c r="CQ608" s="222"/>
      <c r="CR608" s="222"/>
      <c r="CS608" s="222"/>
    </row>
    <row r="609">
      <c r="A609" s="43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2"/>
      <c r="AG609" s="222"/>
      <c r="AH609" s="222"/>
      <c r="AI609" s="222"/>
      <c r="AJ609" s="222"/>
      <c r="AK609" s="222"/>
      <c r="AL609" s="222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222"/>
      <c r="BH609" s="222"/>
      <c r="BI609" s="222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22"/>
      <c r="BX609" s="222"/>
      <c r="BY609" s="222"/>
      <c r="BZ609" s="222"/>
      <c r="CA609" s="222"/>
      <c r="CB609" s="222"/>
      <c r="CC609" s="222"/>
      <c r="CD609" s="222"/>
      <c r="CE609" s="222"/>
      <c r="CF609" s="222"/>
      <c r="CG609" s="222"/>
      <c r="CH609" s="222"/>
      <c r="CI609" s="222"/>
      <c r="CJ609" s="222"/>
      <c r="CK609" s="222"/>
      <c r="CL609" s="222"/>
      <c r="CM609" s="222"/>
      <c r="CN609" s="222"/>
      <c r="CO609" s="222"/>
      <c r="CP609" s="222"/>
      <c r="CQ609" s="222"/>
      <c r="CR609" s="222"/>
      <c r="CS609" s="222"/>
    </row>
    <row r="610">
      <c r="A610" s="43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  <c r="AC610" s="222"/>
      <c r="AD610" s="222"/>
      <c r="AE610" s="222"/>
      <c r="AF610" s="222"/>
      <c r="AG610" s="222"/>
      <c r="AH610" s="222"/>
      <c r="AI610" s="222"/>
      <c r="AJ610" s="222"/>
      <c r="AK610" s="222"/>
      <c r="AL610" s="222"/>
      <c r="AM610" s="222"/>
      <c r="AN610" s="222"/>
      <c r="AO610" s="222"/>
      <c r="AP610" s="222"/>
      <c r="AQ610" s="222"/>
      <c r="AR610" s="222"/>
      <c r="AS610" s="222"/>
      <c r="AT610" s="222"/>
      <c r="AU610" s="222"/>
      <c r="AV610" s="222"/>
      <c r="AW610" s="222"/>
      <c r="AX610" s="222"/>
      <c r="AY610" s="222"/>
      <c r="AZ610" s="222"/>
      <c r="BA610" s="222"/>
      <c r="BB610" s="222"/>
      <c r="BC610" s="222"/>
      <c r="BD610" s="222"/>
      <c r="BE610" s="222"/>
      <c r="BF610" s="222"/>
      <c r="BG610" s="222"/>
      <c r="BH610" s="222"/>
      <c r="BI610" s="222"/>
      <c r="BJ610" s="222"/>
      <c r="BK610" s="222"/>
      <c r="BL610" s="222"/>
      <c r="BM610" s="222"/>
      <c r="BN610" s="222"/>
      <c r="BO610" s="222"/>
      <c r="BP610" s="222"/>
      <c r="BQ610" s="222"/>
      <c r="BR610" s="222"/>
      <c r="BS610" s="222"/>
      <c r="BT610" s="222"/>
      <c r="BU610" s="222"/>
      <c r="BV610" s="222"/>
      <c r="BW610" s="222"/>
      <c r="BX610" s="222"/>
      <c r="BY610" s="222"/>
      <c r="BZ610" s="222"/>
      <c r="CA610" s="222"/>
      <c r="CB610" s="222"/>
      <c r="CC610" s="222"/>
      <c r="CD610" s="222"/>
      <c r="CE610" s="222"/>
      <c r="CF610" s="222"/>
      <c r="CG610" s="222"/>
      <c r="CH610" s="222"/>
      <c r="CI610" s="222"/>
      <c r="CJ610" s="222"/>
      <c r="CK610" s="222"/>
      <c r="CL610" s="222"/>
      <c r="CM610" s="222"/>
      <c r="CN610" s="222"/>
      <c r="CO610" s="222"/>
      <c r="CP610" s="222"/>
      <c r="CQ610" s="222"/>
      <c r="CR610" s="222"/>
      <c r="CS610" s="222"/>
    </row>
    <row r="611">
      <c r="A611" s="43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  <c r="AC611" s="222"/>
      <c r="AD611" s="222"/>
      <c r="AE611" s="222"/>
      <c r="AF611" s="222"/>
      <c r="AG611" s="222"/>
      <c r="AH611" s="222"/>
      <c r="AI611" s="222"/>
      <c r="AJ611" s="222"/>
      <c r="AK611" s="222"/>
      <c r="AL611" s="222"/>
      <c r="AM611" s="222"/>
      <c r="AN611" s="222"/>
      <c r="AO611" s="222"/>
      <c r="AP611" s="222"/>
      <c r="AQ611" s="222"/>
      <c r="AR611" s="222"/>
      <c r="AS611" s="222"/>
      <c r="AT611" s="222"/>
      <c r="AU611" s="222"/>
      <c r="AV611" s="222"/>
      <c r="AW611" s="222"/>
      <c r="AX611" s="222"/>
      <c r="AY611" s="222"/>
      <c r="AZ611" s="222"/>
      <c r="BA611" s="222"/>
      <c r="BB611" s="222"/>
      <c r="BC611" s="222"/>
      <c r="BD611" s="222"/>
      <c r="BE611" s="222"/>
      <c r="BF611" s="222"/>
      <c r="BG611" s="222"/>
      <c r="BH611" s="222"/>
      <c r="BI611" s="222"/>
      <c r="BJ611" s="222"/>
      <c r="BK611" s="222"/>
      <c r="BL611" s="222"/>
      <c r="BM611" s="222"/>
      <c r="BN611" s="222"/>
      <c r="BO611" s="222"/>
      <c r="BP611" s="222"/>
      <c r="BQ611" s="222"/>
      <c r="BR611" s="222"/>
      <c r="BS611" s="222"/>
      <c r="BT611" s="222"/>
      <c r="BU611" s="222"/>
      <c r="BV611" s="222"/>
      <c r="BW611" s="222"/>
      <c r="BX611" s="222"/>
      <c r="BY611" s="222"/>
      <c r="BZ611" s="222"/>
      <c r="CA611" s="222"/>
      <c r="CB611" s="222"/>
      <c r="CC611" s="222"/>
      <c r="CD611" s="222"/>
      <c r="CE611" s="222"/>
      <c r="CF611" s="222"/>
      <c r="CG611" s="222"/>
      <c r="CH611" s="222"/>
      <c r="CI611" s="222"/>
      <c r="CJ611" s="222"/>
      <c r="CK611" s="222"/>
      <c r="CL611" s="222"/>
      <c r="CM611" s="222"/>
      <c r="CN611" s="222"/>
      <c r="CO611" s="222"/>
      <c r="CP611" s="222"/>
      <c r="CQ611" s="222"/>
      <c r="CR611" s="222"/>
      <c r="CS611" s="222"/>
    </row>
    <row r="612">
      <c r="A612" s="43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  <c r="AC612" s="222"/>
      <c r="AD612" s="222"/>
      <c r="AE612" s="222"/>
      <c r="AF612" s="222"/>
      <c r="AG612" s="222"/>
      <c r="AH612" s="222"/>
      <c r="AI612" s="222"/>
      <c r="AJ612" s="222"/>
      <c r="AK612" s="222"/>
      <c r="AL612" s="222"/>
      <c r="AM612" s="222"/>
      <c r="AN612" s="222"/>
      <c r="AO612" s="222"/>
      <c r="AP612" s="222"/>
      <c r="AQ612" s="222"/>
      <c r="AR612" s="222"/>
      <c r="AS612" s="222"/>
      <c r="AT612" s="222"/>
      <c r="AU612" s="222"/>
      <c r="AV612" s="222"/>
      <c r="AW612" s="222"/>
      <c r="AX612" s="222"/>
      <c r="AY612" s="222"/>
      <c r="AZ612" s="222"/>
      <c r="BA612" s="222"/>
      <c r="BB612" s="222"/>
      <c r="BC612" s="222"/>
      <c r="BD612" s="222"/>
      <c r="BE612" s="222"/>
      <c r="BF612" s="222"/>
      <c r="BG612" s="222"/>
      <c r="BH612" s="222"/>
      <c r="BI612" s="222"/>
      <c r="BJ612" s="222"/>
      <c r="BK612" s="222"/>
      <c r="BL612" s="222"/>
      <c r="BM612" s="222"/>
      <c r="BN612" s="222"/>
      <c r="BO612" s="222"/>
      <c r="BP612" s="222"/>
      <c r="BQ612" s="222"/>
      <c r="BR612" s="222"/>
      <c r="BS612" s="222"/>
      <c r="BT612" s="222"/>
      <c r="BU612" s="222"/>
      <c r="BV612" s="222"/>
      <c r="BW612" s="222"/>
      <c r="BX612" s="222"/>
      <c r="BY612" s="222"/>
      <c r="BZ612" s="222"/>
      <c r="CA612" s="222"/>
      <c r="CB612" s="222"/>
      <c r="CC612" s="222"/>
      <c r="CD612" s="222"/>
      <c r="CE612" s="222"/>
      <c r="CF612" s="222"/>
      <c r="CG612" s="222"/>
      <c r="CH612" s="222"/>
      <c r="CI612" s="222"/>
      <c r="CJ612" s="222"/>
      <c r="CK612" s="222"/>
      <c r="CL612" s="222"/>
      <c r="CM612" s="222"/>
      <c r="CN612" s="222"/>
      <c r="CO612" s="222"/>
      <c r="CP612" s="222"/>
      <c r="CQ612" s="222"/>
      <c r="CR612" s="222"/>
      <c r="CS612" s="222"/>
    </row>
    <row r="613">
      <c r="A613" s="43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  <c r="AC613" s="222"/>
      <c r="AD613" s="222"/>
      <c r="AE613" s="222"/>
      <c r="AF613" s="222"/>
      <c r="AG613" s="222"/>
      <c r="AH613" s="222"/>
      <c r="AI613" s="222"/>
      <c r="AJ613" s="222"/>
      <c r="AK613" s="222"/>
      <c r="AL613" s="222"/>
      <c r="AM613" s="222"/>
      <c r="AN613" s="222"/>
      <c r="AO613" s="222"/>
      <c r="AP613" s="222"/>
      <c r="AQ613" s="222"/>
      <c r="AR613" s="222"/>
      <c r="AS613" s="222"/>
      <c r="AT613" s="222"/>
      <c r="AU613" s="222"/>
      <c r="AV613" s="222"/>
      <c r="AW613" s="222"/>
      <c r="AX613" s="222"/>
      <c r="AY613" s="222"/>
      <c r="AZ613" s="222"/>
      <c r="BA613" s="222"/>
      <c r="BB613" s="222"/>
      <c r="BC613" s="222"/>
      <c r="BD613" s="222"/>
      <c r="BE613" s="222"/>
      <c r="BF613" s="222"/>
      <c r="BG613" s="222"/>
      <c r="BH613" s="222"/>
      <c r="BI613" s="222"/>
      <c r="BJ613" s="222"/>
      <c r="BK613" s="222"/>
      <c r="BL613" s="222"/>
      <c r="BM613" s="222"/>
      <c r="BN613" s="222"/>
      <c r="BO613" s="222"/>
      <c r="BP613" s="222"/>
      <c r="BQ613" s="222"/>
      <c r="BR613" s="222"/>
      <c r="BS613" s="222"/>
      <c r="BT613" s="222"/>
      <c r="BU613" s="222"/>
      <c r="BV613" s="222"/>
      <c r="BW613" s="222"/>
      <c r="BX613" s="222"/>
      <c r="BY613" s="222"/>
      <c r="BZ613" s="222"/>
      <c r="CA613" s="222"/>
      <c r="CB613" s="222"/>
      <c r="CC613" s="222"/>
      <c r="CD613" s="222"/>
      <c r="CE613" s="222"/>
      <c r="CF613" s="222"/>
      <c r="CG613" s="222"/>
      <c r="CH613" s="222"/>
      <c r="CI613" s="222"/>
      <c r="CJ613" s="222"/>
      <c r="CK613" s="222"/>
      <c r="CL613" s="222"/>
      <c r="CM613" s="222"/>
      <c r="CN613" s="222"/>
      <c r="CO613" s="222"/>
      <c r="CP613" s="222"/>
      <c r="CQ613" s="222"/>
      <c r="CR613" s="222"/>
      <c r="CS613" s="222"/>
    </row>
    <row r="614">
      <c r="A614" s="43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  <c r="AE614" s="222"/>
      <c r="AF614" s="222"/>
      <c r="AG614" s="222"/>
      <c r="AH614" s="222"/>
      <c r="AI614" s="222"/>
      <c r="AJ614" s="222"/>
      <c r="AK614" s="222"/>
      <c r="AL614" s="222"/>
      <c r="AM614" s="222"/>
      <c r="AN614" s="222"/>
      <c r="AO614" s="222"/>
      <c r="AP614" s="222"/>
      <c r="AQ614" s="222"/>
      <c r="AR614" s="222"/>
      <c r="AS614" s="222"/>
      <c r="AT614" s="222"/>
      <c r="AU614" s="222"/>
      <c r="AV614" s="222"/>
      <c r="AW614" s="222"/>
      <c r="AX614" s="222"/>
      <c r="AY614" s="222"/>
      <c r="AZ614" s="222"/>
      <c r="BA614" s="222"/>
      <c r="BB614" s="222"/>
      <c r="BC614" s="222"/>
      <c r="BD614" s="222"/>
      <c r="BE614" s="222"/>
      <c r="BF614" s="222"/>
      <c r="BG614" s="222"/>
      <c r="BH614" s="222"/>
      <c r="BI614" s="222"/>
      <c r="BJ614" s="222"/>
      <c r="BK614" s="222"/>
      <c r="BL614" s="222"/>
      <c r="BM614" s="222"/>
      <c r="BN614" s="222"/>
      <c r="BO614" s="222"/>
      <c r="BP614" s="222"/>
      <c r="BQ614" s="222"/>
      <c r="BR614" s="222"/>
      <c r="BS614" s="222"/>
      <c r="BT614" s="222"/>
      <c r="BU614" s="222"/>
      <c r="BV614" s="222"/>
      <c r="BW614" s="222"/>
      <c r="BX614" s="222"/>
      <c r="BY614" s="222"/>
      <c r="BZ614" s="222"/>
      <c r="CA614" s="222"/>
      <c r="CB614" s="222"/>
      <c r="CC614" s="222"/>
      <c r="CD614" s="222"/>
      <c r="CE614" s="222"/>
      <c r="CF614" s="222"/>
      <c r="CG614" s="222"/>
      <c r="CH614" s="222"/>
      <c r="CI614" s="222"/>
      <c r="CJ614" s="222"/>
      <c r="CK614" s="222"/>
      <c r="CL614" s="222"/>
      <c r="CM614" s="222"/>
      <c r="CN614" s="222"/>
      <c r="CO614" s="222"/>
      <c r="CP614" s="222"/>
      <c r="CQ614" s="222"/>
      <c r="CR614" s="222"/>
      <c r="CS614" s="222"/>
    </row>
    <row r="615">
      <c r="A615" s="43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  <c r="AC615" s="222"/>
      <c r="AD615" s="222"/>
      <c r="AE615" s="222"/>
      <c r="AF615" s="222"/>
      <c r="AG615" s="222"/>
      <c r="AH615" s="222"/>
      <c r="AI615" s="222"/>
      <c r="AJ615" s="222"/>
      <c r="AK615" s="222"/>
      <c r="AL615" s="222"/>
      <c r="AM615" s="222"/>
      <c r="AN615" s="222"/>
      <c r="AO615" s="222"/>
      <c r="AP615" s="222"/>
      <c r="AQ615" s="222"/>
      <c r="AR615" s="222"/>
      <c r="AS615" s="222"/>
      <c r="AT615" s="222"/>
      <c r="AU615" s="222"/>
      <c r="AV615" s="222"/>
      <c r="AW615" s="222"/>
      <c r="AX615" s="222"/>
      <c r="AY615" s="222"/>
      <c r="AZ615" s="222"/>
      <c r="BA615" s="222"/>
      <c r="BB615" s="222"/>
      <c r="BC615" s="222"/>
      <c r="BD615" s="222"/>
      <c r="BE615" s="222"/>
      <c r="BF615" s="222"/>
      <c r="BG615" s="222"/>
      <c r="BH615" s="222"/>
      <c r="BI615" s="222"/>
      <c r="BJ615" s="222"/>
      <c r="BK615" s="222"/>
      <c r="BL615" s="222"/>
      <c r="BM615" s="222"/>
      <c r="BN615" s="222"/>
      <c r="BO615" s="222"/>
      <c r="BP615" s="222"/>
      <c r="BQ615" s="222"/>
      <c r="BR615" s="222"/>
      <c r="BS615" s="222"/>
      <c r="BT615" s="222"/>
      <c r="BU615" s="222"/>
      <c r="BV615" s="222"/>
      <c r="BW615" s="222"/>
      <c r="BX615" s="222"/>
      <c r="BY615" s="222"/>
      <c r="BZ615" s="222"/>
      <c r="CA615" s="222"/>
      <c r="CB615" s="222"/>
      <c r="CC615" s="222"/>
      <c r="CD615" s="222"/>
      <c r="CE615" s="222"/>
      <c r="CF615" s="222"/>
      <c r="CG615" s="222"/>
      <c r="CH615" s="222"/>
      <c r="CI615" s="222"/>
      <c r="CJ615" s="222"/>
      <c r="CK615" s="222"/>
      <c r="CL615" s="222"/>
      <c r="CM615" s="222"/>
      <c r="CN615" s="222"/>
      <c r="CO615" s="222"/>
      <c r="CP615" s="222"/>
      <c r="CQ615" s="222"/>
      <c r="CR615" s="222"/>
      <c r="CS615" s="222"/>
    </row>
    <row r="616">
      <c r="A616" s="43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  <c r="AC616" s="222"/>
      <c r="AD616" s="222"/>
      <c r="AE616" s="222"/>
      <c r="AF616" s="222"/>
      <c r="AG616" s="222"/>
      <c r="AH616" s="222"/>
      <c r="AI616" s="222"/>
      <c r="AJ616" s="222"/>
      <c r="AK616" s="222"/>
      <c r="AL616" s="222"/>
      <c r="AM616" s="222"/>
      <c r="AN616" s="222"/>
      <c r="AO616" s="222"/>
      <c r="AP616" s="222"/>
      <c r="AQ616" s="222"/>
      <c r="AR616" s="222"/>
      <c r="AS616" s="222"/>
      <c r="AT616" s="222"/>
      <c r="AU616" s="222"/>
      <c r="AV616" s="222"/>
      <c r="AW616" s="222"/>
      <c r="AX616" s="222"/>
      <c r="AY616" s="222"/>
      <c r="AZ616" s="222"/>
      <c r="BA616" s="222"/>
      <c r="BB616" s="222"/>
      <c r="BC616" s="222"/>
      <c r="BD616" s="222"/>
      <c r="BE616" s="222"/>
      <c r="BF616" s="222"/>
      <c r="BG616" s="222"/>
      <c r="BH616" s="222"/>
      <c r="BI616" s="222"/>
      <c r="BJ616" s="222"/>
      <c r="BK616" s="222"/>
      <c r="BL616" s="222"/>
      <c r="BM616" s="222"/>
      <c r="BN616" s="222"/>
      <c r="BO616" s="222"/>
      <c r="BP616" s="222"/>
      <c r="BQ616" s="222"/>
      <c r="BR616" s="222"/>
      <c r="BS616" s="222"/>
      <c r="BT616" s="222"/>
      <c r="BU616" s="222"/>
      <c r="BV616" s="222"/>
      <c r="BW616" s="222"/>
      <c r="BX616" s="222"/>
      <c r="BY616" s="222"/>
      <c r="BZ616" s="222"/>
      <c r="CA616" s="222"/>
      <c r="CB616" s="222"/>
      <c r="CC616" s="222"/>
      <c r="CD616" s="222"/>
      <c r="CE616" s="222"/>
      <c r="CF616" s="222"/>
      <c r="CG616" s="222"/>
      <c r="CH616" s="222"/>
      <c r="CI616" s="222"/>
      <c r="CJ616" s="222"/>
      <c r="CK616" s="222"/>
      <c r="CL616" s="222"/>
      <c r="CM616" s="222"/>
      <c r="CN616" s="222"/>
      <c r="CO616" s="222"/>
      <c r="CP616" s="222"/>
      <c r="CQ616" s="222"/>
      <c r="CR616" s="222"/>
      <c r="CS616" s="222"/>
    </row>
    <row r="617">
      <c r="A617" s="43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  <c r="AC617" s="222"/>
      <c r="AD617" s="222"/>
      <c r="AE617" s="222"/>
      <c r="AF617" s="222"/>
      <c r="AG617" s="222"/>
      <c r="AH617" s="222"/>
      <c r="AI617" s="222"/>
      <c r="AJ617" s="222"/>
      <c r="AK617" s="222"/>
      <c r="AL617" s="222"/>
      <c r="AM617" s="222"/>
      <c r="AN617" s="222"/>
      <c r="AO617" s="222"/>
      <c r="AP617" s="222"/>
      <c r="AQ617" s="222"/>
      <c r="AR617" s="222"/>
      <c r="AS617" s="222"/>
      <c r="AT617" s="222"/>
      <c r="AU617" s="222"/>
      <c r="AV617" s="222"/>
      <c r="AW617" s="222"/>
      <c r="AX617" s="222"/>
      <c r="AY617" s="222"/>
      <c r="AZ617" s="222"/>
      <c r="BA617" s="222"/>
      <c r="BB617" s="222"/>
      <c r="BC617" s="222"/>
      <c r="BD617" s="222"/>
      <c r="BE617" s="222"/>
      <c r="BF617" s="222"/>
      <c r="BG617" s="222"/>
      <c r="BH617" s="222"/>
      <c r="BI617" s="222"/>
      <c r="BJ617" s="222"/>
      <c r="BK617" s="222"/>
      <c r="BL617" s="222"/>
      <c r="BM617" s="222"/>
      <c r="BN617" s="222"/>
      <c r="BO617" s="222"/>
      <c r="BP617" s="222"/>
      <c r="BQ617" s="222"/>
      <c r="BR617" s="222"/>
      <c r="BS617" s="222"/>
      <c r="BT617" s="222"/>
      <c r="BU617" s="222"/>
      <c r="BV617" s="222"/>
      <c r="BW617" s="222"/>
      <c r="BX617" s="222"/>
      <c r="BY617" s="222"/>
      <c r="BZ617" s="222"/>
      <c r="CA617" s="222"/>
      <c r="CB617" s="222"/>
      <c r="CC617" s="222"/>
      <c r="CD617" s="222"/>
      <c r="CE617" s="222"/>
      <c r="CF617" s="222"/>
      <c r="CG617" s="222"/>
      <c r="CH617" s="222"/>
      <c r="CI617" s="222"/>
      <c r="CJ617" s="222"/>
      <c r="CK617" s="222"/>
      <c r="CL617" s="222"/>
      <c r="CM617" s="222"/>
      <c r="CN617" s="222"/>
      <c r="CO617" s="222"/>
      <c r="CP617" s="222"/>
      <c r="CQ617" s="222"/>
      <c r="CR617" s="222"/>
      <c r="CS617" s="222"/>
    </row>
    <row r="618">
      <c r="A618" s="43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  <c r="AC618" s="222"/>
      <c r="AD618" s="222"/>
      <c r="AE618" s="222"/>
      <c r="AF618" s="222"/>
      <c r="AG618" s="222"/>
      <c r="AH618" s="222"/>
      <c r="AI618" s="222"/>
      <c r="AJ618" s="222"/>
      <c r="AK618" s="222"/>
      <c r="AL618" s="222"/>
      <c r="AM618" s="222"/>
      <c r="AN618" s="222"/>
      <c r="AO618" s="222"/>
      <c r="AP618" s="222"/>
      <c r="AQ618" s="222"/>
      <c r="AR618" s="222"/>
      <c r="AS618" s="222"/>
      <c r="AT618" s="222"/>
      <c r="AU618" s="222"/>
      <c r="AV618" s="222"/>
      <c r="AW618" s="222"/>
      <c r="AX618" s="222"/>
      <c r="AY618" s="222"/>
      <c r="AZ618" s="222"/>
      <c r="BA618" s="222"/>
      <c r="BB618" s="222"/>
      <c r="BC618" s="222"/>
      <c r="BD618" s="222"/>
      <c r="BE618" s="222"/>
      <c r="BF618" s="222"/>
      <c r="BG618" s="222"/>
      <c r="BH618" s="222"/>
      <c r="BI618" s="222"/>
      <c r="BJ618" s="222"/>
      <c r="BK618" s="222"/>
      <c r="BL618" s="222"/>
      <c r="BM618" s="222"/>
      <c r="BN618" s="222"/>
      <c r="BO618" s="222"/>
      <c r="BP618" s="222"/>
      <c r="BQ618" s="222"/>
      <c r="BR618" s="222"/>
      <c r="BS618" s="222"/>
      <c r="BT618" s="222"/>
      <c r="BU618" s="222"/>
      <c r="BV618" s="222"/>
      <c r="BW618" s="222"/>
      <c r="BX618" s="222"/>
      <c r="BY618" s="222"/>
      <c r="BZ618" s="222"/>
      <c r="CA618" s="222"/>
      <c r="CB618" s="222"/>
      <c r="CC618" s="222"/>
      <c r="CD618" s="222"/>
      <c r="CE618" s="222"/>
      <c r="CF618" s="222"/>
      <c r="CG618" s="222"/>
      <c r="CH618" s="222"/>
      <c r="CI618" s="222"/>
      <c r="CJ618" s="222"/>
      <c r="CK618" s="222"/>
      <c r="CL618" s="222"/>
      <c r="CM618" s="222"/>
      <c r="CN618" s="222"/>
      <c r="CO618" s="222"/>
      <c r="CP618" s="222"/>
      <c r="CQ618" s="222"/>
      <c r="CR618" s="222"/>
      <c r="CS618" s="222"/>
    </row>
    <row r="619">
      <c r="A619" s="43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  <c r="AC619" s="222"/>
      <c r="AD619" s="222"/>
      <c r="AE619" s="222"/>
      <c r="AF619" s="222"/>
      <c r="AG619" s="222"/>
      <c r="AH619" s="222"/>
      <c r="AI619" s="222"/>
      <c r="AJ619" s="222"/>
      <c r="AK619" s="222"/>
      <c r="AL619" s="222"/>
      <c r="AM619" s="222"/>
      <c r="AN619" s="222"/>
      <c r="AO619" s="222"/>
      <c r="AP619" s="222"/>
      <c r="AQ619" s="222"/>
      <c r="AR619" s="222"/>
      <c r="AS619" s="222"/>
      <c r="AT619" s="222"/>
      <c r="AU619" s="222"/>
      <c r="AV619" s="222"/>
      <c r="AW619" s="222"/>
      <c r="AX619" s="222"/>
      <c r="AY619" s="222"/>
      <c r="AZ619" s="222"/>
      <c r="BA619" s="222"/>
      <c r="BB619" s="222"/>
      <c r="BC619" s="222"/>
      <c r="BD619" s="222"/>
      <c r="BE619" s="222"/>
      <c r="BF619" s="222"/>
      <c r="BG619" s="222"/>
      <c r="BH619" s="222"/>
      <c r="BI619" s="222"/>
      <c r="BJ619" s="222"/>
      <c r="BK619" s="222"/>
      <c r="BL619" s="222"/>
      <c r="BM619" s="222"/>
      <c r="BN619" s="222"/>
      <c r="BO619" s="222"/>
      <c r="BP619" s="222"/>
      <c r="BQ619" s="222"/>
      <c r="BR619" s="222"/>
      <c r="BS619" s="222"/>
      <c r="BT619" s="222"/>
      <c r="BU619" s="222"/>
      <c r="BV619" s="222"/>
      <c r="BW619" s="222"/>
      <c r="BX619" s="222"/>
      <c r="BY619" s="222"/>
      <c r="BZ619" s="222"/>
      <c r="CA619" s="222"/>
      <c r="CB619" s="222"/>
      <c r="CC619" s="222"/>
      <c r="CD619" s="222"/>
      <c r="CE619" s="222"/>
      <c r="CF619" s="222"/>
      <c r="CG619" s="222"/>
      <c r="CH619" s="222"/>
      <c r="CI619" s="222"/>
      <c r="CJ619" s="222"/>
      <c r="CK619" s="222"/>
      <c r="CL619" s="222"/>
      <c r="CM619" s="222"/>
      <c r="CN619" s="222"/>
      <c r="CO619" s="222"/>
      <c r="CP619" s="222"/>
      <c r="CQ619" s="222"/>
      <c r="CR619" s="222"/>
      <c r="CS619" s="222"/>
    </row>
    <row r="620">
      <c r="A620" s="43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  <c r="AC620" s="222"/>
      <c r="AD620" s="222"/>
      <c r="AE620" s="222"/>
      <c r="AF620" s="222"/>
      <c r="AG620" s="222"/>
      <c r="AH620" s="222"/>
      <c r="AI620" s="222"/>
      <c r="AJ620" s="222"/>
      <c r="AK620" s="222"/>
      <c r="AL620" s="222"/>
      <c r="AM620" s="222"/>
      <c r="AN620" s="222"/>
      <c r="AO620" s="222"/>
      <c r="AP620" s="222"/>
      <c r="AQ620" s="222"/>
      <c r="AR620" s="222"/>
      <c r="AS620" s="222"/>
      <c r="AT620" s="222"/>
      <c r="AU620" s="222"/>
      <c r="AV620" s="222"/>
      <c r="AW620" s="222"/>
      <c r="AX620" s="222"/>
      <c r="AY620" s="222"/>
      <c r="AZ620" s="222"/>
      <c r="BA620" s="222"/>
      <c r="BB620" s="222"/>
      <c r="BC620" s="222"/>
      <c r="BD620" s="222"/>
      <c r="BE620" s="222"/>
      <c r="BF620" s="222"/>
      <c r="BG620" s="222"/>
      <c r="BH620" s="222"/>
      <c r="BI620" s="222"/>
      <c r="BJ620" s="222"/>
      <c r="BK620" s="222"/>
      <c r="BL620" s="222"/>
      <c r="BM620" s="222"/>
      <c r="BN620" s="222"/>
      <c r="BO620" s="222"/>
      <c r="BP620" s="222"/>
      <c r="BQ620" s="222"/>
      <c r="BR620" s="222"/>
      <c r="BS620" s="222"/>
      <c r="BT620" s="222"/>
      <c r="BU620" s="222"/>
      <c r="BV620" s="222"/>
      <c r="BW620" s="222"/>
      <c r="BX620" s="222"/>
      <c r="BY620" s="222"/>
      <c r="BZ620" s="222"/>
      <c r="CA620" s="222"/>
      <c r="CB620" s="222"/>
      <c r="CC620" s="222"/>
      <c r="CD620" s="222"/>
      <c r="CE620" s="222"/>
      <c r="CF620" s="222"/>
      <c r="CG620" s="222"/>
      <c r="CH620" s="222"/>
      <c r="CI620" s="222"/>
      <c r="CJ620" s="222"/>
      <c r="CK620" s="222"/>
      <c r="CL620" s="222"/>
      <c r="CM620" s="222"/>
      <c r="CN620" s="222"/>
      <c r="CO620" s="222"/>
      <c r="CP620" s="222"/>
      <c r="CQ620" s="222"/>
      <c r="CR620" s="222"/>
      <c r="CS620" s="222"/>
    </row>
    <row r="621">
      <c r="A621" s="43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  <c r="AC621" s="222"/>
      <c r="AD621" s="222"/>
      <c r="AE621" s="222"/>
      <c r="AF621" s="222"/>
      <c r="AG621" s="222"/>
      <c r="AH621" s="222"/>
      <c r="AI621" s="222"/>
      <c r="AJ621" s="222"/>
      <c r="AK621" s="222"/>
      <c r="AL621" s="222"/>
      <c r="AM621" s="222"/>
      <c r="AN621" s="222"/>
      <c r="AO621" s="222"/>
      <c r="AP621" s="222"/>
      <c r="AQ621" s="222"/>
      <c r="AR621" s="222"/>
      <c r="AS621" s="222"/>
      <c r="AT621" s="222"/>
      <c r="AU621" s="222"/>
      <c r="AV621" s="222"/>
      <c r="AW621" s="222"/>
      <c r="AX621" s="222"/>
      <c r="AY621" s="222"/>
      <c r="AZ621" s="222"/>
      <c r="BA621" s="222"/>
      <c r="BB621" s="222"/>
      <c r="BC621" s="222"/>
      <c r="BD621" s="222"/>
      <c r="BE621" s="222"/>
      <c r="BF621" s="222"/>
      <c r="BG621" s="222"/>
      <c r="BH621" s="222"/>
      <c r="BI621" s="222"/>
      <c r="BJ621" s="222"/>
      <c r="BK621" s="222"/>
      <c r="BL621" s="222"/>
      <c r="BM621" s="222"/>
      <c r="BN621" s="222"/>
      <c r="BO621" s="222"/>
      <c r="BP621" s="222"/>
      <c r="BQ621" s="222"/>
      <c r="BR621" s="222"/>
      <c r="BS621" s="222"/>
      <c r="BT621" s="222"/>
      <c r="BU621" s="222"/>
      <c r="BV621" s="222"/>
      <c r="BW621" s="222"/>
      <c r="BX621" s="222"/>
      <c r="BY621" s="222"/>
      <c r="BZ621" s="222"/>
      <c r="CA621" s="222"/>
      <c r="CB621" s="222"/>
      <c r="CC621" s="222"/>
      <c r="CD621" s="222"/>
      <c r="CE621" s="222"/>
      <c r="CF621" s="222"/>
      <c r="CG621" s="222"/>
      <c r="CH621" s="222"/>
      <c r="CI621" s="222"/>
      <c r="CJ621" s="222"/>
      <c r="CK621" s="222"/>
      <c r="CL621" s="222"/>
      <c r="CM621" s="222"/>
      <c r="CN621" s="222"/>
      <c r="CO621" s="222"/>
      <c r="CP621" s="222"/>
      <c r="CQ621" s="222"/>
      <c r="CR621" s="222"/>
      <c r="CS621" s="222"/>
    </row>
    <row r="622">
      <c r="A622" s="43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  <c r="AC622" s="222"/>
      <c r="AD622" s="222"/>
      <c r="AE622" s="222"/>
      <c r="AF622" s="222"/>
      <c r="AG622" s="222"/>
      <c r="AH622" s="222"/>
      <c r="AI622" s="222"/>
      <c r="AJ622" s="222"/>
      <c r="AK622" s="222"/>
      <c r="AL622" s="222"/>
      <c r="AM622" s="222"/>
      <c r="AN622" s="222"/>
      <c r="AO622" s="222"/>
      <c r="AP622" s="222"/>
      <c r="AQ622" s="222"/>
      <c r="AR622" s="222"/>
      <c r="AS622" s="222"/>
      <c r="AT622" s="222"/>
      <c r="AU622" s="222"/>
      <c r="AV622" s="222"/>
      <c r="AW622" s="222"/>
      <c r="AX622" s="222"/>
      <c r="AY622" s="222"/>
      <c r="AZ622" s="222"/>
      <c r="BA622" s="222"/>
      <c r="BB622" s="222"/>
      <c r="BC622" s="222"/>
      <c r="BD622" s="222"/>
      <c r="BE622" s="222"/>
      <c r="BF622" s="222"/>
      <c r="BG622" s="222"/>
      <c r="BH622" s="222"/>
      <c r="BI622" s="222"/>
      <c r="BJ622" s="222"/>
      <c r="BK622" s="222"/>
      <c r="BL622" s="222"/>
      <c r="BM622" s="222"/>
      <c r="BN622" s="222"/>
      <c r="BO622" s="222"/>
      <c r="BP622" s="222"/>
      <c r="BQ622" s="222"/>
      <c r="BR622" s="222"/>
      <c r="BS622" s="222"/>
      <c r="BT622" s="222"/>
      <c r="BU622" s="222"/>
      <c r="BV622" s="222"/>
      <c r="BW622" s="222"/>
      <c r="BX622" s="222"/>
      <c r="BY622" s="222"/>
      <c r="BZ622" s="222"/>
      <c r="CA622" s="222"/>
      <c r="CB622" s="222"/>
      <c r="CC622" s="222"/>
      <c r="CD622" s="222"/>
      <c r="CE622" s="222"/>
      <c r="CF622" s="222"/>
      <c r="CG622" s="222"/>
      <c r="CH622" s="222"/>
      <c r="CI622" s="222"/>
      <c r="CJ622" s="222"/>
      <c r="CK622" s="222"/>
      <c r="CL622" s="222"/>
      <c r="CM622" s="222"/>
      <c r="CN622" s="222"/>
      <c r="CO622" s="222"/>
      <c r="CP622" s="222"/>
      <c r="CQ622" s="222"/>
      <c r="CR622" s="222"/>
      <c r="CS622" s="222"/>
    </row>
    <row r="623">
      <c r="A623" s="43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  <c r="AC623" s="222"/>
      <c r="AD623" s="222"/>
      <c r="AE623" s="222"/>
      <c r="AF623" s="222"/>
      <c r="AG623" s="222"/>
      <c r="AH623" s="222"/>
      <c r="AI623" s="222"/>
      <c r="AJ623" s="222"/>
      <c r="AK623" s="222"/>
      <c r="AL623" s="222"/>
      <c r="AM623" s="222"/>
      <c r="AN623" s="222"/>
      <c r="AO623" s="222"/>
      <c r="AP623" s="222"/>
      <c r="AQ623" s="222"/>
      <c r="AR623" s="222"/>
      <c r="AS623" s="222"/>
      <c r="AT623" s="222"/>
      <c r="AU623" s="222"/>
      <c r="AV623" s="222"/>
      <c r="AW623" s="222"/>
      <c r="AX623" s="222"/>
      <c r="AY623" s="222"/>
      <c r="AZ623" s="222"/>
      <c r="BA623" s="222"/>
      <c r="BB623" s="222"/>
      <c r="BC623" s="222"/>
      <c r="BD623" s="222"/>
      <c r="BE623" s="222"/>
      <c r="BF623" s="222"/>
      <c r="BG623" s="222"/>
      <c r="BH623" s="222"/>
      <c r="BI623" s="222"/>
      <c r="BJ623" s="222"/>
      <c r="BK623" s="222"/>
      <c r="BL623" s="222"/>
      <c r="BM623" s="222"/>
      <c r="BN623" s="222"/>
      <c r="BO623" s="222"/>
      <c r="BP623" s="222"/>
      <c r="BQ623" s="222"/>
      <c r="BR623" s="222"/>
      <c r="BS623" s="222"/>
      <c r="BT623" s="222"/>
      <c r="BU623" s="222"/>
      <c r="BV623" s="222"/>
      <c r="BW623" s="222"/>
      <c r="BX623" s="222"/>
      <c r="BY623" s="222"/>
      <c r="BZ623" s="222"/>
      <c r="CA623" s="222"/>
      <c r="CB623" s="222"/>
      <c r="CC623" s="222"/>
      <c r="CD623" s="222"/>
      <c r="CE623" s="222"/>
      <c r="CF623" s="222"/>
      <c r="CG623" s="222"/>
      <c r="CH623" s="222"/>
      <c r="CI623" s="222"/>
      <c r="CJ623" s="222"/>
      <c r="CK623" s="222"/>
      <c r="CL623" s="222"/>
      <c r="CM623" s="222"/>
      <c r="CN623" s="222"/>
      <c r="CO623" s="222"/>
      <c r="CP623" s="222"/>
      <c r="CQ623" s="222"/>
      <c r="CR623" s="222"/>
      <c r="CS623" s="222"/>
    </row>
    <row r="624">
      <c r="A624" s="43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  <c r="AC624" s="222"/>
      <c r="AD624" s="222"/>
      <c r="AE624" s="222"/>
      <c r="AF624" s="222"/>
      <c r="AG624" s="222"/>
      <c r="AH624" s="222"/>
      <c r="AI624" s="222"/>
      <c r="AJ624" s="222"/>
      <c r="AK624" s="222"/>
      <c r="AL624" s="222"/>
      <c r="AM624" s="222"/>
      <c r="AN624" s="222"/>
      <c r="AO624" s="222"/>
      <c r="AP624" s="222"/>
      <c r="AQ624" s="222"/>
      <c r="AR624" s="222"/>
      <c r="AS624" s="222"/>
      <c r="AT624" s="222"/>
      <c r="AU624" s="222"/>
      <c r="AV624" s="222"/>
      <c r="AW624" s="222"/>
      <c r="AX624" s="222"/>
      <c r="AY624" s="222"/>
      <c r="AZ624" s="222"/>
      <c r="BA624" s="222"/>
      <c r="BB624" s="222"/>
      <c r="BC624" s="222"/>
      <c r="BD624" s="222"/>
      <c r="BE624" s="222"/>
      <c r="BF624" s="222"/>
      <c r="BG624" s="222"/>
      <c r="BH624" s="222"/>
      <c r="BI624" s="222"/>
      <c r="BJ624" s="222"/>
      <c r="BK624" s="222"/>
      <c r="BL624" s="222"/>
      <c r="BM624" s="222"/>
      <c r="BN624" s="222"/>
      <c r="BO624" s="222"/>
      <c r="BP624" s="222"/>
      <c r="BQ624" s="222"/>
      <c r="BR624" s="222"/>
      <c r="BS624" s="222"/>
      <c r="BT624" s="222"/>
      <c r="BU624" s="222"/>
      <c r="BV624" s="222"/>
      <c r="BW624" s="222"/>
      <c r="BX624" s="222"/>
      <c r="BY624" s="222"/>
      <c r="BZ624" s="222"/>
      <c r="CA624" s="222"/>
      <c r="CB624" s="222"/>
      <c r="CC624" s="222"/>
      <c r="CD624" s="222"/>
      <c r="CE624" s="222"/>
      <c r="CF624" s="222"/>
      <c r="CG624" s="222"/>
      <c r="CH624" s="222"/>
      <c r="CI624" s="222"/>
      <c r="CJ624" s="222"/>
      <c r="CK624" s="222"/>
      <c r="CL624" s="222"/>
      <c r="CM624" s="222"/>
      <c r="CN624" s="222"/>
      <c r="CO624" s="222"/>
      <c r="CP624" s="222"/>
      <c r="CQ624" s="222"/>
      <c r="CR624" s="222"/>
      <c r="CS624" s="222"/>
    </row>
    <row r="625">
      <c r="A625" s="43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  <c r="AC625" s="222"/>
      <c r="AD625" s="222"/>
      <c r="AE625" s="222"/>
      <c r="AF625" s="222"/>
      <c r="AG625" s="222"/>
      <c r="AH625" s="222"/>
      <c r="AI625" s="222"/>
      <c r="AJ625" s="222"/>
      <c r="AK625" s="222"/>
      <c r="AL625" s="222"/>
      <c r="AM625" s="222"/>
      <c r="AN625" s="222"/>
      <c r="AO625" s="222"/>
      <c r="AP625" s="222"/>
      <c r="AQ625" s="222"/>
      <c r="AR625" s="222"/>
      <c r="AS625" s="222"/>
      <c r="AT625" s="222"/>
      <c r="AU625" s="222"/>
      <c r="AV625" s="222"/>
      <c r="AW625" s="222"/>
      <c r="AX625" s="222"/>
      <c r="AY625" s="222"/>
      <c r="AZ625" s="222"/>
      <c r="BA625" s="222"/>
      <c r="BB625" s="222"/>
      <c r="BC625" s="222"/>
      <c r="BD625" s="222"/>
      <c r="BE625" s="222"/>
      <c r="BF625" s="222"/>
      <c r="BG625" s="222"/>
      <c r="BH625" s="222"/>
      <c r="BI625" s="222"/>
      <c r="BJ625" s="222"/>
      <c r="BK625" s="222"/>
      <c r="BL625" s="222"/>
      <c r="BM625" s="222"/>
      <c r="BN625" s="222"/>
      <c r="BO625" s="222"/>
      <c r="BP625" s="222"/>
      <c r="BQ625" s="222"/>
      <c r="BR625" s="222"/>
      <c r="BS625" s="222"/>
      <c r="BT625" s="222"/>
      <c r="BU625" s="222"/>
      <c r="BV625" s="222"/>
      <c r="BW625" s="222"/>
      <c r="BX625" s="222"/>
      <c r="BY625" s="222"/>
      <c r="BZ625" s="222"/>
      <c r="CA625" s="222"/>
      <c r="CB625" s="222"/>
      <c r="CC625" s="222"/>
      <c r="CD625" s="222"/>
      <c r="CE625" s="222"/>
      <c r="CF625" s="222"/>
      <c r="CG625" s="222"/>
      <c r="CH625" s="222"/>
      <c r="CI625" s="222"/>
      <c r="CJ625" s="222"/>
      <c r="CK625" s="222"/>
      <c r="CL625" s="222"/>
      <c r="CM625" s="222"/>
      <c r="CN625" s="222"/>
      <c r="CO625" s="222"/>
      <c r="CP625" s="222"/>
      <c r="CQ625" s="222"/>
      <c r="CR625" s="222"/>
      <c r="CS625" s="222"/>
    </row>
    <row r="626">
      <c r="A626" s="43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  <c r="AC626" s="222"/>
      <c r="AD626" s="222"/>
      <c r="AE626" s="222"/>
      <c r="AF626" s="222"/>
      <c r="AG626" s="222"/>
      <c r="AH626" s="222"/>
      <c r="AI626" s="222"/>
      <c r="AJ626" s="222"/>
      <c r="AK626" s="222"/>
      <c r="AL626" s="222"/>
      <c r="AM626" s="222"/>
      <c r="AN626" s="222"/>
      <c r="AO626" s="222"/>
      <c r="AP626" s="222"/>
      <c r="AQ626" s="222"/>
      <c r="AR626" s="222"/>
      <c r="AS626" s="222"/>
      <c r="AT626" s="222"/>
      <c r="AU626" s="222"/>
      <c r="AV626" s="222"/>
      <c r="AW626" s="222"/>
      <c r="AX626" s="222"/>
      <c r="AY626" s="222"/>
      <c r="AZ626" s="222"/>
      <c r="BA626" s="222"/>
      <c r="BB626" s="222"/>
      <c r="BC626" s="222"/>
      <c r="BD626" s="222"/>
      <c r="BE626" s="222"/>
      <c r="BF626" s="222"/>
      <c r="BG626" s="222"/>
      <c r="BH626" s="222"/>
      <c r="BI626" s="222"/>
      <c r="BJ626" s="222"/>
      <c r="BK626" s="222"/>
      <c r="BL626" s="222"/>
      <c r="BM626" s="222"/>
      <c r="BN626" s="222"/>
      <c r="BO626" s="222"/>
      <c r="BP626" s="222"/>
      <c r="BQ626" s="222"/>
      <c r="BR626" s="222"/>
      <c r="BS626" s="222"/>
      <c r="BT626" s="222"/>
      <c r="BU626" s="222"/>
      <c r="BV626" s="222"/>
      <c r="BW626" s="222"/>
      <c r="BX626" s="222"/>
      <c r="BY626" s="222"/>
      <c r="BZ626" s="222"/>
      <c r="CA626" s="222"/>
      <c r="CB626" s="222"/>
      <c r="CC626" s="222"/>
      <c r="CD626" s="222"/>
      <c r="CE626" s="222"/>
      <c r="CF626" s="222"/>
      <c r="CG626" s="222"/>
      <c r="CH626" s="222"/>
      <c r="CI626" s="222"/>
      <c r="CJ626" s="222"/>
      <c r="CK626" s="222"/>
      <c r="CL626" s="222"/>
      <c r="CM626" s="222"/>
      <c r="CN626" s="222"/>
      <c r="CO626" s="222"/>
      <c r="CP626" s="222"/>
      <c r="CQ626" s="222"/>
      <c r="CR626" s="222"/>
      <c r="CS626" s="222"/>
    </row>
    <row r="627">
      <c r="A627" s="43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  <c r="AC627" s="222"/>
      <c r="AD627" s="222"/>
      <c r="AE627" s="222"/>
      <c r="AF627" s="222"/>
      <c r="AG627" s="222"/>
      <c r="AH627" s="222"/>
      <c r="AI627" s="222"/>
      <c r="AJ627" s="222"/>
      <c r="AK627" s="222"/>
      <c r="AL627" s="222"/>
      <c r="AM627" s="222"/>
      <c r="AN627" s="222"/>
      <c r="AO627" s="222"/>
      <c r="AP627" s="222"/>
      <c r="AQ627" s="222"/>
      <c r="AR627" s="222"/>
      <c r="AS627" s="222"/>
      <c r="AT627" s="222"/>
      <c r="AU627" s="222"/>
      <c r="AV627" s="222"/>
      <c r="AW627" s="222"/>
      <c r="AX627" s="222"/>
      <c r="AY627" s="222"/>
      <c r="AZ627" s="222"/>
      <c r="BA627" s="222"/>
      <c r="BB627" s="222"/>
      <c r="BC627" s="222"/>
      <c r="BD627" s="222"/>
      <c r="BE627" s="222"/>
      <c r="BF627" s="222"/>
      <c r="BG627" s="222"/>
      <c r="BH627" s="222"/>
      <c r="BI627" s="222"/>
      <c r="BJ627" s="222"/>
      <c r="BK627" s="222"/>
      <c r="BL627" s="222"/>
      <c r="BM627" s="222"/>
      <c r="BN627" s="222"/>
      <c r="BO627" s="222"/>
      <c r="BP627" s="222"/>
      <c r="BQ627" s="222"/>
      <c r="BR627" s="222"/>
      <c r="BS627" s="222"/>
      <c r="BT627" s="222"/>
      <c r="BU627" s="222"/>
      <c r="BV627" s="222"/>
      <c r="BW627" s="222"/>
      <c r="BX627" s="222"/>
      <c r="BY627" s="222"/>
      <c r="BZ627" s="222"/>
      <c r="CA627" s="222"/>
      <c r="CB627" s="222"/>
      <c r="CC627" s="222"/>
      <c r="CD627" s="222"/>
      <c r="CE627" s="222"/>
      <c r="CF627" s="222"/>
      <c r="CG627" s="222"/>
      <c r="CH627" s="222"/>
      <c r="CI627" s="222"/>
      <c r="CJ627" s="222"/>
      <c r="CK627" s="222"/>
      <c r="CL627" s="222"/>
      <c r="CM627" s="222"/>
      <c r="CN627" s="222"/>
      <c r="CO627" s="222"/>
      <c r="CP627" s="222"/>
      <c r="CQ627" s="222"/>
      <c r="CR627" s="222"/>
      <c r="CS627" s="222"/>
    </row>
    <row r="628">
      <c r="A628" s="43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  <c r="AC628" s="222"/>
      <c r="AD628" s="222"/>
      <c r="AE628" s="222"/>
      <c r="AF628" s="222"/>
      <c r="AG628" s="222"/>
      <c r="AH628" s="222"/>
      <c r="AI628" s="222"/>
      <c r="AJ628" s="222"/>
      <c r="AK628" s="222"/>
      <c r="AL628" s="222"/>
      <c r="AM628" s="222"/>
      <c r="AN628" s="222"/>
      <c r="AO628" s="222"/>
      <c r="AP628" s="222"/>
      <c r="AQ628" s="222"/>
      <c r="AR628" s="222"/>
      <c r="AS628" s="222"/>
      <c r="AT628" s="222"/>
      <c r="AU628" s="222"/>
      <c r="AV628" s="222"/>
      <c r="AW628" s="222"/>
      <c r="AX628" s="222"/>
      <c r="AY628" s="222"/>
      <c r="AZ628" s="222"/>
      <c r="BA628" s="222"/>
      <c r="BB628" s="222"/>
      <c r="BC628" s="222"/>
      <c r="BD628" s="222"/>
      <c r="BE628" s="222"/>
      <c r="BF628" s="222"/>
      <c r="BG628" s="222"/>
      <c r="BH628" s="222"/>
      <c r="BI628" s="222"/>
      <c r="BJ628" s="222"/>
      <c r="BK628" s="222"/>
      <c r="BL628" s="222"/>
      <c r="BM628" s="222"/>
      <c r="BN628" s="222"/>
      <c r="BO628" s="222"/>
      <c r="BP628" s="222"/>
      <c r="BQ628" s="222"/>
      <c r="BR628" s="222"/>
      <c r="BS628" s="222"/>
      <c r="BT628" s="222"/>
      <c r="BU628" s="222"/>
      <c r="BV628" s="222"/>
      <c r="BW628" s="222"/>
      <c r="BX628" s="222"/>
      <c r="BY628" s="222"/>
      <c r="BZ628" s="222"/>
      <c r="CA628" s="222"/>
      <c r="CB628" s="222"/>
      <c r="CC628" s="222"/>
      <c r="CD628" s="222"/>
      <c r="CE628" s="222"/>
      <c r="CF628" s="222"/>
      <c r="CG628" s="222"/>
      <c r="CH628" s="222"/>
      <c r="CI628" s="222"/>
      <c r="CJ628" s="222"/>
      <c r="CK628" s="222"/>
      <c r="CL628" s="222"/>
      <c r="CM628" s="222"/>
      <c r="CN628" s="222"/>
      <c r="CO628" s="222"/>
      <c r="CP628" s="222"/>
      <c r="CQ628" s="222"/>
      <c r="CR628" s="222"/>
      <c r="CS628" s="222"/>
    </row>
    <row r="629">
      <c r="A629" s="43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  <c r="AC629" s="222"/>
      <c r="AD629" s="222"/>
      <c r="AE629" s="222"/>
      <c r="AF629" s="222"/>
      <c r="AG629" s="222"/>
      <c r="AH629" s="222"/>
      <c r="AI629" s="222"/>
      <c r="AJ629" s="222"/>
      <c r="AK629" s="222"/>
      <c r="AL629" s="222"/>
      <c r="AM629" s="222"/>
      <c r="AN629" s="222"/>
      <c r="AO629" s="222"/>
      <c r="AP629" s="222"/>
      <c r="AQ629" s="222"/>
      <c r="AR629" s="222"/>
      <c r="AS629" s="222"/>
      <c r="AT629" s="222"/>
      <c r="AU629" s="222"/>
      <c r="AV629" s="222"/>
      <c r="AW629" s="222"/>
      <c r="AX629" s="222"/>
      <c r="AY629" s="222"/>
      <c r="AZ629" s="222"/>
      <c r="BA629" s="222"/>
      <c r="BB629" s="222"/>
      <c r="BC629" s="222"/>
      <c r="BD629" s="222"/>
      <c r="BE629" s="222"/>
      <c r="BF629" s="222"/>
      <c r="BG629" s="222"/>
      <c r="BH629" s="222"/>
      <c r="BI629" s="222"/>
      <c r="BJ629" s="222"/>
      <c r="BK629" s="222"/>
      <c r="BL629" s="222"/>
      <c r="BM629" s="222"/>
      <c r="BN629" s="222"/>
      <c r="BO629" s="222"/>
      <c r="BP629" s="222"/>
      <c r="BQ629" s="222"/>
      <c r="BR629" s="222"/>
      <c r="BS629" s="222"/>
      <c r="BT629" s="222"/>
      <c r="BU629" s="222"/>
      <c r="BV629" s="222"/>
      <c r="BW629" s="222"/>
      <c r="BX629" s="222"/>
      <c r="BY629" s="222"/>
      <c r="BZ629" s="222"/>
      <c r="CA629" s="222"/>
      <c r="CB629" s="222"/>
      <c r="CC629" s="222"/>
      <c r="CD629" s="222"/>
      <c r="CE629" s="222"/>
      <c r="CF629" s="222"/>
      <c r="CG629" s="222"/>
      <c r="CH629" s="222"/>
      <c r="CI629" s="222"/>
      <c r="CJ629" s="222"/>
      <c r="CK629" s="222"/>
      <c r="CL629" s="222"/>
      <c r="CM629" s="222"/>
      <c r="CN629" s="222"/>
      <c r="CO629" s="222"/>
      <c r="CP629" s="222"/>
      <c r="CQ629" s="222"/>
      <c r="CR629" s="222"/>
      <c r="CS629" s="222"/>
    </row>
    <row r="630">
      <c r="A630" s="43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  <c r="AC630" s="222"/>
      <c r="AD630" s="222"/>
      <c r="AE630" s="222"/>
      <c r="AF630" s="222"/>
      <c r="AG630" s="222"/>
      <c r="AH630" s="222"/>
      <c r="AI630" s="222"/>
      <c r="AJ630" s="222"/>
      <c r="AK630" s="222"/>
      <c r="AL630" s="222"/>
      <c r="AM630" s="222"/>
      <c r="AN630" s="222"/>
      <c r="AO630" s="222"/>
      <c r="AP630" s="222"/>
      <c r="AQ630" s="222"/>
      <c r="AR630" s="222"/>
      <c r="AS630" s="222"/>
      <c r="AT630" s="222"/>
      <c r="AU630" s="222"/>
      <c r="AV630" s="222"/>
      <c r="AW630" s="222"/>
      <c r="AX630" s="222"/>
      <c r="AY630" s="222"/>
      <c r="AZ630" s="222"/>
      <c r="BA630" s="222"/>
      <c r="BB630" s="222"/>
      <c r="BC630" s="222"/>
      <c r="BD630" s="222"/>
      <c r="BE630" s="222"/>
      <c r="BF630" s="222"/>
      <c r="BG630" s="222"/>
      <c r="BH630" s="222"/>
      <c r="BI630" s="222"/>
      <c r="BJ630" s="222"/>
      <c r="BK630" s="222"/>
      <c r="BL630" s="222"/>
      <c r="BM630" s="222"/>
      <c r="BN630" s="222"/>
      <c r="BO630" s="222"/>
      <c r="BP630" s="222"/>
      <c r="BQ630" s="222"/>
      <c r="BR630" s="222"/>
      <c r="BS630" s="222"/>
      <c r="BT630" s="222"/>
      <c r="BU630" s="222"/>
      <c r="BV630" s="222"/>
      <c r="BW630" s="222"/>
      <c r="BX630" s="222"/>
      <c r="BY630" s="222"/>
      <c r="BZ630" s="222"/>
      <c r="CA630" s="222"/>
      <c r="CB630" s="222"/>
      <c r="CC630" s="222"/>
      <c r="CD630" s="222"/>
      <c r="CE630" s="222"/>
      <c r="CF630" s="222"/>
      <c r="CG630" s="222"/>
      <c r="CH630" s="222"/>
      <c r="CI630" s="222"/>
      <c r="CJ630" s="222"/>
      <c r="CK630" s="222"/>
      <c r="CL630" s="222"/>
      <c r="CM630" s="222"/>
      <c r="CN630" s="222"/>
      <c r="CO630" s="222"/>
      <c r="CP630" s="222"/>
      <c r="CQ630" s="222"/>
      <c r="CR630" s="222"/>
      <c r="CS630" s="222"/>
    </row>
    <row r="631">
      <c r="A631" s="43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  <c r="AC631" s="222"/>
      <c r="AD631" s="222"/>
      <c r="AE631" s="222"/>
      <c r="AF631" s="222"/>
      <c r="AG631" s="222"/>
      <c r="AH631" s="222"/>
      <c r="AI631" s="222"/>
      <c r="AJ631" s="222"/>
      <c r="AK631" s="222"/>
      <c r="AL631" s="222"/>
      <c r="AM631" s="222"/>
      <c r="AN631" s="222"/>
      <c r="AO631" s="222"/>
      <c r="AP631" s="222"/>
      <c r="AQ631" s="222"/>
      <c r="AR631" s="222"/>
      <c r="AS631" s="222"/>
      <c r="AT631" s="222"/>
      <c r="AU631" s="222"/>
      <c r="AV631" s="222"/>
      <c r="AW631" s="222"/>
      <c r="AX631" s="222"/>
      <c r="AY631" s="222"/>
      <c r="AZ631" s="222"/>
      <c r="BA631" s="222"/>
      <c r="BB631" s="222"/>
      <c r="BC631" s="222"/>
      <c r="BD631" s="222"/>
      <c r="BE631" s="222"/>
      <c r="BF631" s="222"/>
      <c r="BG631" s="222"/>
      <c r="BH631" s="222"/>
      <c r="BI631" s="222"/>
      <c r="BJ631" s="222"/>
      <c r="BK631" s="222"/>
      <c r="BL631" s="222"/>
      <c r="BM631" s="222"/>
      <c r="BN631" s="222"/>
      <c r="BO631" s="222"/>
      <c r="BP631" s="222"/>
      <c r="BQ631" s="222"/>
      <c r="BR631" s="222"/>
      <c r="BS631" s="222"/>
      <c r="BT631" s="222"/>
      <c r="BU631" s="222"/>
      <c r="BV631" s="222"/>
      <c r="BW631" s="222"/>
      <c r="BX631" s="222"/>
      <c r="BY631" s="222"/>
      <c r="BZ631" s="222"/>
      <c r="CA631" s="222"/>
      <c r="CB631" s="222"/>
      <c r="CC631" s="222"/>
      <c r="CD631" s="222"/>
      <c r="CE631" s="222"/>
      <c r="CF631" s="222"/>
      <c r="CG631" s="222"/>
      <c r="CH631" s="222"/>
      <c r="CI631" s="222"/>
      <c r="CJ631" s="222"/>
      <c r="CK631" s="222"/>
      <c r="CL631" s="222"/>
      <c r="CM631" s="222"/>
      <c r="CN631" s="222"/>
      <c r="CO631" s="222"/>
      <c r="CP631" s="222"/>
      <c r="CQ631" s="222"/>
      <c r="CR631" s="222"/>
      <c r="CS631" s="222"/>
    </row>
    <row r="632">
      <c r="A632" s="43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  <c r="AC632" s="222"/>
      <c r="AD632" s="222"/>
      <c r="AE632" s="222"/>
      <c r="AF632" s="222"/>
      <c r="AG632" s="222"/>
      <c r="AH632" s="222"/>
      <c r="AI632" s="222"/>
      <c r="AJ632" s="222"/>
      <c r="AK632" s="222"/>
      <c r="AL632" s="222"/>
      <c r="AM632" s="222"/>
      <c r="AN632" s="222"/>
      <c r="AO632" s="222"/>
      <c r="AP632" s="222"/>
      <c r="AQ632" s="222"/>
      <c r="AR632" s="222"/>
      <c r="AS632" s="222"/>
      <c r="AT632" s="222"/>
      <c r="AU632" s="222"/>
      <c r="AV632" s="222"/>
      <c r="AW632" s="222"/>
      <c r="AX632" s="222"/>
      <c r="AY632" s="222"/>
      <c r="AZ632" s="222"/>
      <c r="BA632" s="222"/>
      <c r="BB632" s="222"/>
      <c r="BC632" s="222"/>
      <c r="BD632" s="222"/>
      <c r="BE632" s="222"/>
      <c r="BF632" s="222"/>
      <c r="BG632" s="222"/>
      <c r="BH632" s="222"/>
      <c r="BI632" s="222"/>
      <c r="BJ632" s="222"/>
      <c r="BK632" s="222"/>
      <c r="BL632" s="222"/>
      <c r="BM632" s="222"/>
      <c r="BN632" s="222"/>
      <c r="BO632" s="222"/>
      <c r="BP632" s="222"/>
      <c r="BQ632" s="222"/>
      <c r="BR632" s="222"/>
      <c r="BS632" s="222"/>
      <c r="BT632" s="222"/>
      <c r="BU632" s="222"/>
      <c r="BV632" s="222"/>
      <c r="BW632" s="222"/>
      <c r="BX632" s="222"/>
      <c r="BY632" s="222"/>
      <c r="BZ632" s="222"/>
      <c r="CA632" s="222"/>
      <c r="CB632" s="222"/>
      <c r="CC632" s="222"/>
      <c r="CD632" s="222"/>
      <c r="CE632" s="222"/>
      <c r="CF632" s="222"/>
      <c r="CG632" s="222"/>
      <c r="CH632" s="222"/>
      <c r="CI632" s="222"/>
      <c r="CJ632" s="222"/>
      <c r="CK632" s="222"/>
      <c r="CL632" s="222"/>
      <c r="CM632" s="222"/>
      <c r="CN632" s="222"/>
      <c r="CO632" s="222"/>
      <c r="CP632" s="222"/>
      <c r="CQ632" s="222"/>
      <c r="CR632" s="222"/>
      <c r="CS632" s="222"/>
    </row>
    <row r="633">
      <c r="A633" s="43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  <c r="AC633" s="222"/>
      <c r="AD633" s="222"/>
      <c r="AE633" s="222"/>
      <c r="AF633" s="222"/>
      <c r="AG633" s="222"/>
      <c r="AH633" s="222"/>
      <c r="AI633" s="222"/>
      <c r="AJ633" s="222"/>
      <c r="AK633" s="222"/>
      <c r="AL633" s="222"/>
      <c r="AM633" s="222"/>
      <c r="AN633" s="222"/>
      <c r="AO633" s="222"/>
      <c r="AP633" s="222"/>
      <c r="AQ633" s="222"/>
      <c r="AR633" s="222"/>
      <c r="AS633" s="222"/>
      <c r="AT633" s="222"/>
      <c r="AU633" s="222"/>
      <c r="AV633" s="222"/>
      <c r="AW633" s="222"/>
      <c r="AX633" s="222"/>
      <c r="AY633" s="222"/>
      <c r="AZ633" s="222"/>
      <c r="BA633" s="222"/>
      <c r="BB633" s="222"/>
      <c r="BC633" s="222"/>
      <c r="BD633" s="222"/>
      <c r="BE633" s="222"/>
      <c r="BF633" s="222"/>
      <c r="BG633" s="222"/>
      <c r="BH633" s="222"/>
      <c r="BI633" s="222"/>
      <c r="BJ633" s="222"/>
      <c r="BK633" s="222"/>
      <c r="BL633" s="222"/>
      <c r="BM633" s="222"/>
      <c r="BN633" s="222"/>
      <c r="BO633" s="222"/>
      <c r="BP633" s="222"/>
      <c r="BQ633" s="222"/>
      <c r="BR633" s="222"/>
      <c r="BS633" s="222"/>
      <c r="BT633" s="222"/>
      <c r="BU633" s="222"/>
      <c r="BV633" s="222"/>
      <c r="BW633" s="222"/>
      <c r="BX633" s="222"/>
      <c r="BY633" s="222"/>
      <c r="BZ633" s="222"/>
      <c r="CA633" s="222"/>
      <c r="CB633" s="222"/>
      <c r="CC633" s="222"/>
      <c r="CD633" s="222"/>
      <c r="CE633" s="222"/>
      <c r="CF633" s="222"/>
      <c r="CG633" s="222"/>
      <c r="CH633" s="222"/>
      <c r="CI633" s="222"/>
      <c r="CJ633" s="222"/>
      <c r="CK633" s="222"/>
      <c r="CL633" s="222"/>
      <c r="CM633" s="222"/>
      <c r="CN633" s="222"/>
      <c r="CO633" s="222"/>
      <c r="CP633" s="222"/>
      <c r="CQ633" s="222"/>
      <c r="CR633" s="222"/>
      <c r="CS633" s="222"/>
    </row>
    <row r="634">
      <c r="A634" s="43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  <c r="AC634" s="222"/>
      <c r="AD634" s="222"/>
      <c r="AE634" s="222"/>
      <c r="AF634" s="222"/>
      <c r="AG634" s="222"/>
      <c r="AH634" s="222"/>
      <c r="AI634" s="222"/>
      <c r="AJ634" s="222"/>
      <c r="AK634" s="222"/>
      <c r="AL634" s="222"/>
      <c r="AM634" s="222"/>
      <c r="AN634" s="222"/>
      <c r="AO634" s="222"/>
      <c r="AP634" s="222"/>
      <c r="AQ634" s="222"/>
      <c r="AR634" s="222"/>
      <c r="AS634" s="222"/>
      <c r="AT634" s="222"/>
      <c r="AU634" s="222"/>
      <c r="AV634" s="222"/>
      <c r="AW634" s="222"/>
      <c r="AX634" s="222"/>
      <c r="AY634" s="222"/>
      <c r="AZ634" s="222"/>
      <c r="BA634" s="222"/>
      <c r="BB634" s="222"/>
      <c r="BC634" s="222"/>
      <c r="BD634" s="222"/>
      <c r="BE634" s="222"/>
      <c r="BF634" s="222"/>
      <c r="BG634" s="222"/>
      <c r="BH634" s="222"/>
      <c r="BI634" s="222"/>
      <c r="BJ634" s="222"/>
      <c r="BK634" s="222"/>
      <c r="BL634" s="222"/>
      <c r="BM634" s="222"/>
      <c r="BN634" s="222"/>
      <c r="BO634" s="222"/>
      <c r="BP634" s="222"/>
      <c r="BQ634" s="222"/>
      <c r="BR634" s="222"/>
      <c r="BS634" s="222"/>
      <c r="BT634" s="222"/>
      <c r="BU634" s="222"/>
      <c r="BV634" s="222"/>
      <c r="BW634" s="222"/>
      <c r="BX634" s="222"/>
      <c r="BY634" s="222"/>
      <c r="BZ634" s="222"/>
      <c r="CA634" s="222"/>
      <c r="CB634" s="222"/>
      <c r="CC634" s="222"/>
      <c r="CD634" s="222"/>
      <c r="CE634" s="222"/>
      <c r="CF634" s="222"/>
      <c r="CG634" s="222"/>
      <c r="CH634" s="222"/>
      <c r="CI634" s="222"/>
      <c r="CJ634" s="222"/>
      <c r="CK634" s="222"/>
      <c r="CL634" s="222"/>
      <c r="CM634" s="222"/>
      <c r="CN634" s="222"/>
      <c r="CO634" s="222"/>
      <c r="CP634" s="222"/>
      <c r="CQ634" s="222"/>
      <c r="CR634" s="222"/>
      <c r="CS634" s="222"/>
    </row>
    <row r="635">
      <c r="A635" s="43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  <c r="AC635" s="222"/>
      <c r="AD635" s="222"/>
      <c r="AE635" s="222"/>
      <c r="AF635" s="222"/>
      <c r="AG635" s="222"/>
      <c r="AH635" s="222"/>
      <c r="AI635" s="222"/>
      <c r="AJ635" s="222"/>
      <c r="AK635" s="222"/>
      <c r="AL635" s="222"/>
      <c r="AM635" s="222"/>
      <c r="AN635" s="222"/>
      <c r="AO635" s="222"/>
      <c r="AP635" s="222"/>
      <c r="AQ635" s="222"/>
      <c r="AR635" s="222"/>
      <c r="AS635" s="222"/>
      <c r="AT635" s="222"/>
      <c r="AU635" s="222"/>
      <c r="AV635" s="222"/>
      <c r="AW635" s="222"/>
      <c r="AX635" s="222"/>
      <c r="AY635" s="222"/>
      <c r="AZ635" s="222"/>
      <c r="BA635" s="222"/>
      <c r="BB635" s="222"/>
      <c r="BC635" s="222"/>
      <c r="BD635" s="222"/>
      <c r="BE635" s="222"/>
      <c r="BF635" s="222"/>
      <c r="BG635" s="222"/>
      <c r="BH635" s="222"/>
      <c r="BI635" s="222"/>
      <c r="BJ635" s="222"/>
      <c r="BK635" s="222"/>
      <c r="BL635" s="222"/>
      <c r="BM635" s="222"/>
      <c r="BN635" s="222"/>
      <c r="BO635" s="222"/>
      <c r="BP635" s="222"/>
      <c r="BQ635" s="222"/>
      <c r="BR635" s="222"/>
      <c r="BS635" s="222"/>
      <c r="BT635" s="222"/>
      <c r="BU635" s="222"/>
      <c r="BV635" s="222"/>
      <c r="BW635" s="222"/>
      <c r="BX635" s="222"/>
      <c r="BY635" s="222"/>
      <c r="BZ635" s="222"/>
      <c r="CA635" s="222"/>
      <c r="CB635" s="222"/>
      <c r="CC635" s="222"/>
      <c r="CD635" s="222"/>
      <c r="CE635" s="222"/>
      <c r="CF635" s="222"/>
      <c r="CG635" s="222"/>
      <c r="CH635" s="222"/>
      <c r="CI635" s="222"/>
      <c r="CJ635" s="222"/>
      <c r="CK635" s="222"/>
      <c r="CL635" s="222"/>
      <c r="CM635" s="222"/>
      <c r="CN635" s="222"/>
      <c r="CO635" s="222"/>
      <c r="CP635" s="222"/>
      <c r="CQ635" s="222"/>
      <c r="CR635" s="222"/>
      <c r="CS635" s="222"/>
    </row>
    <row r="636">
      <c r="A636" s="43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2"/>
      <c r="AG636" s="222"/>
      <c r="AH636" s="222"/>
      <c r="AI636" s="222"/>
      <c r="AJ636" s="222"/>
      <c r="AK636" s="222"/>
      <c r="AL636" s="222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222"/>
      <c r="BH636" s="222"/>
      <c r="BI636" s="222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22"/>
      <c r="BX636" s="222"/>
      <c r="BY636" s="222"/>
      <c r="BZ636" s="222"/>
      <c r="CA636" s="222"/>
      <c r="CB636" s="222"/>
      <c r="CC636" s="222"/>
      <c r="CD636" s="222"/>
      <c r="CE636" s="222"/>
      <c r="CF636" s="222"/>
      <c r="CG636" s="222"/>
      <c r="CH636" s="222"/>
      <c r="CI636" s="222"/>
      <c r="CJ636" s="222"/>
      <c r="CK636" s="222"/>
      <c r="CL636" s="222"/>
      <c r="CM636" s="222"/>
      <c r="CN636" s="222"/>
      <c r="CO636" s="222"/>
      <c r="CP636" s="222"/>
      <c r="CQ636" s="222"/>
      <c r="CR636" s="222"/>
      <c r="CS636" s="222"/>
    </row>
    <row r="637">
      <c r="A637" s="43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  <c r="AC637" s="222"/>
      <c r="AD637" s="222"/>
      <c r="AE637" s="222"/>
      <c r="AF637" s="222"/>
      <c r="AG637" s="222"/>
      <c r="AH637" s="222"/>
      <c r="AI637" s="222"/>
      <c r="AJ637" s="222"/>
      <c r="AK637" s="222"/>
      <c r="AL637" s="222"/>
      <c r="AM637" s="222"/>
      <c r="AN637" s="222"/>
      <c r="AO637" s="222"/>
      <c r="AP637" s="222"/>
      <c r="AQ637" s="222"/>
      <c r="AR637" s="222"/>
      <c r="AS637" s="222"/>
      <c r="AT637" s="222"/>
      <c r="AU637" s="222"/>
      <c r="AV637" s="222"/>
      <c r="AW637" s="222"/>
      <c r="AX637" s="222"/>
      <c r="AY637" s="222"/>
      <c r="AZ637" s="222"/>
      <c r="BA637" s="222"/>
      <c r="BB637" s="222"/>
      <c r="BC637" s="222"/>
      <c r="BD637" s="222"/>
      <c r="BE637" s="222"/>
      <c r="BF637" s="222"/>
      <c r="BG637" s="222"/>
      <c r="BH637" s="222"/>
      <c r="BI637" s="222"/>
      <c r="BJ637" s="222"/>
      <c r="BK637" s="222"/>
      <c r="BL637" s="222"/>
      <c r="BM637" s="222"/>
      <c r="BN637" s="222"/>
      <c r="BO637" s="222"/>
      <c r="BP637" s="222"/>
      <c r="BQ637" s="222"/>
      <c r="BR637" s="222"/>
      <c r="BS637" s="222"/>
      <c r="BT637" s="222"/>
      <c r="BU637" s="222"/>
      <c r="BV637" s="222"/>
      <c r="BW637" s="222"/>
      <c r="BX637" s="222"/>
      <c r="BY637" s="222"/>
      <c r="BZ637" s="222"/>
      <c r="CA637" s="222"/>
      <c r="CB637" s="222"/>
      <c r="CC637" s="222"/>
      <c r="CD637" s="222"/>
      <c r="CE637" s="222"/>
      <c r="CF637" s="222"/>
      <c r="CG637" s="222"/>
      <c r="CH637" s="222"/>
      <c r="CI637" s="222"/>
      <c r="CJ637" s="222"/>
      <c r="CK637" s="222"/>
      <c r="CL637" s="222"/>
      <c r="CM637" s="222"/>
      <c r="CN637" s="222"/>
      <c r="CO637" s="222"/>
      <c r="CP637" s="222"/>
      <c r="CQ637" s="222"/>
      <c r="CR637" s="222"/>
      <c r="CS637" s="222"/>
    </row>
    <row r="638">
      <c r="A638" s="43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  <c r="AC638" s="222"/>
      <c r="AD638" s="222"/>
      <c r="AE638" s="222"/>
      <c r="AF638" s="222"/>
      <c r="AG638" s="222"/>
      <c r="AH638" s="222"/>
      <c r="AI638" s="222"/>
      <c r="AJ638" s="222"/>
      <c r="AK638" s="222"/>
      <c r="AL638" s="222"/>
      <c r="AM638" s="222"/>
      <c r="AN638" s="222"/>
      <c r="AO638" s="222"/>
      <c r="AP638" s="222"/>
      <c r="AQ638" s="222"/>
      <c r="AR638" s="222"/>
      <c r="AS638" s="222"/>
      <c r="AT638" s="222"/>
      <c r="AU638" s="222"/>
      <c r="AV638" s="222"/>
      <c r="AW638" s="222"/>
      <c r="AX638" s="222"/>
      <c r="AY638" s="222"/>
      <c r="AZ638" s="222"/>
      <c r="BA638" s="222"/>
      <c r="BB638" s="222"/>
      <c r="BC638" s="222"/>
      <c r="BD638" s="222"/>
      <c r="BE638" s="222"/>
      <c r="BF638" s="222"/>
      <c r="BG638" s="222"/>
      <c r="BH638" s="222"/>
      <c r="BI638" s="222"/>
      <c r="BJ638" s="222"/>
      <c r="BK638" s="222"/>
      <c r="BL638" s="222"/>
      <c r="BM638" s="222"/>
      <c r="BN638" s="222"/>
      <c r="BO638" s="222"/>
      <c r="BP638" s="222"/>
      <c r="BQ638" s="222"/>
      <c r="BR638" s="222"/>
      <c r="BS638" s="222"/>
      <c r="BT638" s="222"/>
      <c r="BU638" s="222"/>
      <c r="BV638" s="222"/>
      <c r="BW638" s="222"/>
      <c r="BX638" s="222"/>
      <c r="BY638" s="222"/>
      <c r="BZ638" s="222"/>
      <c r="CA638" s="222"/>
      <c r="CB638" s="222"/>
      <c r="CC638" s="222"/>
      <c r="CD638" s="222"/>
      <c r="CE638" s="222"/>
      <c r="CF638" s="222"/>
      <c r="CG638" s="222"/>
      <c r="CH638" s="222"/>
      <c r="CI638" s="222"/>
      <c r="CJ638" s="222"/>
      <c r="CK638" s="222"/>
      <c r="CL638" s="222"/>
      <c r="CM638" s="222"/>
      <c r="CN638" s="222"/>
      <c r="CO638" s="222"/>
      <c r="CP638" s="222"/>
      <c r="CQ638" s="222"/>
      <c r="CR638" s="222"/>
      <c r="CS638" s="222"/>
    </row>
    <row r="639">
      <c r="A639" s="43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  <c r="AC639" s="222"/>
      <c r="AD639" s="222"/>
      <c r="AE639" s="222"/>
      <c r="AF639" s="222"/>
      <c r="AG639" s="222"/>
      <c r="AH639" s="222"/>
      <c r="AI639" s="222"/>
      <c r="AJ639" s="222"/>
      <c r="AK639" s="222"/>
      <c r="AL639" s="222"/>
      <c r="AM639" s="222"/>
      <c r="AN639" s="222"/>
      <c r="AO639" s="222"/>
      <c r="AP639" s="222"/>
      <c r="AQ639" s="222"/>
      <c r="AR639" s="222"/>
      <c r="AS639" s="222"/>
      <c r="AT639" s="222"/>
      <c r="AU639" s="222"/>
      <c r="AV639" s="222"/>
      <c r="AW639" s="222"/>
      <c r="AX639" s="222"/>
      <c r="AY639" s="222"/>
      <c r="AZ639" s="222"/>
      <c r="BA639" s="222"/>
      <c r="BB639" s="222"/>
      <c r="BC639" s="222"/>
      <c r="BD639" s="222"/>
      <c r="BE639" s="222"/>
      <c r="BF639" s="222"/>
      <c r="BG639" s="222"/>
      <c r="BH639" s="222"/>
      <c r="BI639" s="222"/>
      <c r="BJ639" s="222"/>
      <c r="BK639" s="222"/>
      <c r="BL639" s="222"/>
      <c r="BM639" s="222"/>
      <c r="BN639" s="222"/>
      <c r="BO639" s="222"/>
      <c r="BP639" s="222"/>
      <c r="BQ639" s="222"/>
      <c r="BR639" s="222"/>
      <c r="BS639" s="222"/>
      <c r="BT639" s="222"/>
      <c r="BU639" s="222"/>
      <c r="BV639" s="222"/>
      <c r="BW639" s="222"/>
      <c r="BX639" s="222"/>
      <c r="BY639" s="222"/>
      <c r="BZ639" s="222"/>
      <c r="CA639" s="222"/>
      <c r="CB639" s="222"/>
      <c r="CC639" s="222"/>
      <c r="CD639" s="222"/>
      <c r="CE639" s="222"/>
      <c r="CF639" s="222"/>
      <c r="CG639" s="222"/>
      <c r="CH639" s="222"/>
      <c r="CI639" s="222"/>
      <c r="CJ639" s="222"/>
      <c r="CK639" s="222"/>
      <c r="CL639" s="222"/>
      <c r="CM639" s="222"/>
      <c r="CN639" s="222"/>
      <c r="CO639" s="222"/>
      <c r="CP639" s="222"/>
      <c r="CQ639" s="222"/>
      <c r="CR639" s="222"/>
      <c r="CS639" s="222"/>
    </row>
    <row r="640">
      <c r="A640" s="43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  <c r="AC640" s="222"/>
      <c r="AD640" s="222"/>
      <c r="AE640" s="222"/>
      <c r="AF640" s="222"/>
      <c r="AG640" s="222"/>
      <c r="AH640" s="222"/>
      <c r="AI640" s="222"/>
      <c r="AJ640" s="222"/>
      <c r="AK640" s="222"/>
      <c r="AL640" s="222"/>
      <c r="AM640" s="222"/>
      <c r="AN640" s="222"/>
      <c r="AO640" s="222"/>
      <c r="AP640" s="222"/>
      <c r="AQ640" s="222"/>
      <c r="AR640" s="222"/>
      <c r="AS640" s="222"/>
      <c r="AT640" s="222"/>
      <c r="AU640" s="222"/>
      <c r="AV640" s="222"/>
      <c r="AW640" s="222"/>
      <c r="AX640" s="222"/>
      <c r="AY640" s="222"/>
      <c r="AZ640" s="222"/>
      <c r="BA640" s="222"/>
      <c r="BB640" s="222"/>
      <c r="BC640" s="222"/>
      <c r="BD640" s="222"/>
      <c r="BE640" s="222"/>
      <c r="BF640" s="222"/>
      <c r="BG640" s="222"/>
      <c r="BH640" s="222"/>
      <c r="BI640" s="222"/>
      <c r="BJ640" s="222"/>
      <c r="BK640" s="222"/>
      <c r="BL640" s="222"/>
      <c r="BM640" s="222"/>
      <c r="BN640" s="222"/>
      <c r="BO640" s="222"/>
      <c r="BP640" s="222"/>
      <c r="BQ640" s="222"/>
      <c r="BR640" s="222"/>
      <c r="BS640" s="222"/>
      <c r="BT640" s="222"/>
      <c r="BU640" s="222"/>
      <c r="BV640" s="222"/>
      <c r="BW640" s="222"/>
      <c r="BX640" s="222"/>
      <c r="BY640" s="222"/>
      <c r="BZ640" s="222"/>
      <c r="CA640" s="222"/>
      <c r="CB640" s="222"/>
      <c r="CC640" s="222"/>
      <c r="CD640" s="222"/>
      <c r="CE640" s="222"/>
      <c r="CF640" s="222"/>
      <c r="CG640" s="222"/>
      <c r="CH640" s="222"/>
      <c r="CI640" s="222"/>
      <c r="CJ640" s="222"/>
      <c r="CK640" s="222"/>
      <c r="CL640" s="222"/>
      <c r="CM640" s="222"/>
      <c r="CN640" s="222"/>
      <c r="CO640" s="222"/>
      <c r="CP640" s="222"/>
      <c r="CQ640" s="222"/>
      <c r="CR640" s="222"/>
      <c r="CS640" s="222"/>
    </row>
    <row r="641">
      <c r="A641" s="43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  <c r="AC641" s="222"/>
      <c r="AD641" s="222"/>
      <c r="AE641" s="222"/>
      <c r="AF641" s="222"/>
      <c r="AG641" s="222"/>
      <c r="AH641" s="222"/>
      <c r="AI641" s="222"/>
      <c r="AJ641" s="222"/>
      <c r="AK641" s="222"/>
      <c r="AL641" s="222"/>
      <c r="AM641" s="222"/>
      <c r="AN641" s="222"/>
      <c r="AO641" s="222"/>
      <c r="AP641" s="222"/>
      <c r="AQ641" s="222"/>
      <c r="AR641" s="222"/>
      <c r="AS641" s="222"/>
      <c r="AT641" s="222"/>
      <c r="AU641" s="222"/>
      <c r="AV641" s="222"/>
      <c r="AW641" s="222"/>
      <c r="AX641" s="222"/>
      <c r="AY641" s="222"/>
      <c r="AZ641" s="222"/>
      <c r="BA641" s="222"/>
      <c r="BB641" s="222"/>
      <c r="BC641" s="222"/>
      <c r="BD641" s="222"/>
      <c r="BE641" s="222"/>
      <c r="BF641" s="222"/>
      <c r="BG641" s="222"/>
      <c r="BH641" s="222"/>
      <c r="BI641" s="222"/>
      <c r="BJ641" s="222"/>
      <c r="BK641" s="222"/>
      <c r="BL641" s="222"/>
      <c r="BM641" s="222"/>
      <c r="BN641" s="222"/>
      <c r="BO641" s="222"/>
      <c r="BP641" s="222"/>
      <c r="BQ641" s="222"/>
      <c r="BR641" s="222"/>
      <c r="BS641" s="222"/>
      <c r="BT641" s="222"/>
      <c r="BU641" s="222"/>
      <c r="BV641" s="222"/>
      <c r="BW641" s="222"/>
      <c r="BX641" s="222"/>
      <c r="BY641" s="222"/>
      <c r="BZ641" s="222"/>
      <c r="CA641" s="222"/>
      <c r="CB641" s="222"/>
      <c r="CC641" s="222"/>
      <c r="CD641" s="222"/>
      <c r="CE641" s="222"/>
      <c r="CF641" s="222"/>
      <c r="CG641" s="222"/>
      <c r="CH641" s="222"/>
      <c r="CI641" s="222"/>
      <c r="CJ641" s="222"/>
      <c r="CK641" s="222"/>
      <c r="CL641" s="222"/>
      <c r="CM641" s="222"/>
      <c r="CN641" s="222"/>
      <c r="CO641" s="222"/>
      <c r="CP641" s="222"/>
      <c r="CQ641" s="222"/>
      <c r="CR641" s="222"/>
      <c r="CS641" s="222"/>
    </row>
    <row r="642">
      <c r="A642" s="43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  <c r="AC642" s="222"/>
      <c r="AD642" s="222"/>
      <c r="AE642" s="222"/>
      <c r="AF642" s="222"/>
      <c r="AG642" s="222"/>
      <c r="AH642" s="222"/>
      <c r="AI642" s="222"/>
      <c r="AJ642" s="222"/>
      <c r="AK642" s="222"/>
      <c r="AL642" s="222"/>
      <c r="AM642" s="222"/>
      <c r="AN642" s="222"/>
      <c r="AO642" s="222"/>
      <c r="AP642" s="222"/>
      <c r="AQ642" s="222"/>
      <c r="AR642" s="222"/>
      <c r="AS642" s="222"/>
      <c r="AT642" s="222"/>
      <c r="AU642" s="222"/>
      <c r="AV642" s="222"/>
      <c r="AW642" s="222"/>
      <c r="AX642" s="222"/>
      <c r="AY642" s="222"/>
      <c r="AZ642" s="222"/>
      <c r="BA642" s="222"/>
      <c r="BB642" s="222"/>
      <c r="BC642" s="222"/>
      <c r="BD642" s="222"/>
      <c r="BE642" s="222"/>
      <c r="BF642" s="222"/>
      <c r="BG642" s="222"/>
      <c r="BH642" s="222"/>
      <c r="BI642" s="222"/>
      <c r="BJ642" s="222"/>
      <c r="BK642" s="222"/>
      <c r="BL642" s="222"/>
      <c r="BM642" s="222"/>
      <c r="BN642" s="222"/>
      <c r="BO642" s="222"/>
      <c r="BP642" s="222"/>
      <c r="BQ642" s="222"/>
      <c r="BR642" s="222"/>
      <c r="BS642" s="222"/>
      <c r="BT642" s="222"/>
      <c r="BU642" s="222"/>
      <c r="BV642" s="222"/>
      <c r="BW642" s="222"/>
      <c r="BX642" s="222"/>
      <c r="BY642" s="222"/>
      <c r="BZ642" s="222"/>
      <c r="CA642" s="222"/>
      <c r="CB642" s="222"/>
      <c r="CC642" s="222"/>
      <c r="CD642" s="222"/>
      <c r="CE642" s="222"/>
      <c r="CF642" s="222"/>
      <c r="CG642" s="222"/>
      <c r="CH642" s="222"/>
      <c r="CI642" s="222"/>
      <c r="CJ642" s="222"/>
      <c r="CK642" s="222"/>
      <c r="CL642" s="222"/>
      <c r="CM642" s="222"/>
      <c r="CN642" s="222"/>
      <c r="CO642" s="222"/>
      <c r="CP642" s="222"/>
      <c r="CQ642" s="222"/>
      <c r="CR642" s="222"/>
      <c r="CS642" s="222"/>
    </row>
    <row r="643">
      <c r="A643" s="43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  <c r="AC643" s="222"/>
      <c r="AD643" s="222"/>
      <c r="AE643" s="222"/>
      <c r="AF643" s="222"/>
      <c r="AG643" s="222"/>
      <c r="AH643" s="222"/>
      <c r="AI643" s="222"/>
      <c r="AJ643" s="222"/>
      <c r="AK643" s="222"/>
      <c r="AL643" s="222"/>
      <c r="AM643" s="222"/>
      <c r="AN643" s="222"/>
      <c r="AO643" s="222"/>
      <c r="AP643" s="222"/>
      <c r="AQ643" s="222"/>
      <c r="AR643" s="222"/>
      <c r="AS643" s="222"/>
      <c r="AT643" s="222"/>
      <c r="AU643" s="222"/>
      <c r="AV643" s="222"/>
      <c r="AW643" s="222"/>
      <c r="AX643" s="222"/>
      <c r="AY643" s="222"/>
      <c r="AZ643" s="222"/>
      <c r="BA643" s="222"/>
      <c r="BB643" s="222"/>
      <c r="BC643" s="222"/>
      <c r="BD643" s="222"/>
      <c r="BE643" s="222"/>
      <c r="BF643" s="222"/>
      <c r="BG643" s="222"/>
      <c r="BH643" s="222"/>
      <c r="BI643" s="222"/>
      <c r="BJ643" s="222"/>
      <c r="BK643" s="222"/>
      <c r="BL643" s="222"/>
      <c r="BM643" s="222"/>
      <c r="BN643" s="222"/>
      <c r="BO643" s="222"/>
      <c r="BP643" s="222"/>
      <c r="BQ643" s="222"/>
      <c r="BR643" s="222"/>
      <c r="BS643" s="222"/>
      <c r="BT643" s="222"/>
      <c r="BU643" s="222"/>
      <c r="BV643" s="222"/>
      <c r="BW643" s="222"/>
      <c r="BX643" s="222"/>
      <c r="BY643" s="222"/>
      <c r="BZ643" s="222"/>
      <c r="CA643" s="222"/>
      <c r="CB643" s="222"/>
      <c r="CC643" s="222"/>
      <c r="CD643" s="222"/>
      <c r="CE643" s="222"/>
      <c r="CF643" s="222"/>
      <c r="CG643" s="222"/>
      <c r="CH643" s="222"/>
      <c r="CI643" s="222"/>
      <c r="CJ643" s="222"/>
      <c r="CK643" s="222"/>
      <c r="CL643" s="222"/>
      <c r="CM643" s="222"/>
      <c r="CN643" s="222"/>
      <c r="CO643" s="222"/>
      <c r="CP643" s="222"/>
      <c r="CQ643" s="222"/>
      <c r="CR643" s="222"/>
      <c r="CS643" s="222"/>
    </row>
    <row r="644">
      <c r="A644" s="43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  <c r="AC644" s="222"/>
      <c r="AD644" s="222"/>
      <c r="AE644" s="222"/>
      <c r="AF644" s="222"/>
      <c r="AG644" s="222"/>
      <c r="AH644" s="222"/>
      <c r="AI644" s="222"/>
      <c r="AJ644" s="222"/>
      <c r="AK644" s="222"/>
      <c r="AL644" s="222"/>
      <c r="AM644" s="222"/>
      <c r="AN644" s="222"/>
      <c r="AO644" s="222"/>
      <c r="AP644" s="222"/>
      <c r="AQ644" s="222"/>
      <c r="AR644" s="222"/>
      <c r="AS644" s="222"/>
      <c r="AT644" s="222"/>
      <c r="AU644" s="222"/>
      <c r="AV644" s="222"/>
      <c r="AW644" s="222"/>
      <c r="AX644" s="222"/>
      <c r="AY644" s="222"/>
      <c r="AZ644" s="222"/>
      <c r="BA644" s="222"/>
      <c r="BB644" s="222"/>
      <c r="BC644" s="222"/>
      <c r="BD644" s="222"/>
      <c r="BE644" s="222"/>
      <c r="BF644" s="222"/>
      <c r="BG644" s="222"/>
      <c r="BH644" s="222"/>
      <c r="BI644" s="222"/>
      <c r="BJ644" s="222"/>
      <c r="BK644" s="222"/>
      <c r="BL644" s="222"/>
      <c r="BM644" s="222"/>
      <c r="BN644" s="222"/>
      <c r="BO644" s="222"/>
      <c r="BP644" s="222"/>
      <c r="BQ644" s="222"/>
      <c r="BR644" s="222"/>
      <c r="BS644" s="222"/>
      <c r="BT644" s="222"/>
      <c r="BU644" s="222"/>
      <c r="BV644" s="222"/>
      <c r="BW644" s="222"/>
      <c r="BX644" s="222"/>
      <c r="BY644" s="222"/>
      <c r="BZ644" s="222"/>
      <c r="CA644" s="222"/>
      <c r="CB644" s="222"/>
      <c r="CC644" s="222"/>
      <c r="CD644" s="222"/>
      <c r="CE644" s="222"/>
      <c r="CF644" s="222"/>
      <c r="CG644" s="222"/>
      <c r="CH644" s="222"/>
      <c r="CI644" s="222"/>
      <c r="CJ644" s="222"/>
      <c r="CK644" s="222"/>
      <c r="CL644" s="222"/>
      <c r="CM644" s="222"/>
      <c r="CN644" s="222"/>
      <c r="CO644" s="222"/>
      <c r="CP644" s="222"/>
      <c r="CQ644" s="222"/>
      <c r="CR644" s="222"/>
      <c r="CS644" s="222"/>
    </row>
    <row r="645">
      <c r="A645" s="43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  <c r="AE645" s="222"/>
      <c r="AF645" s="222"/>
      <c r="AG645" s="222"/>
      <c r="AH645" s="222"/>
      <c r="AI645" s="222"/>
      <c r="AJ645" s="222"/>
      <c r="AK645" s="222"/>
      <c r="AL645" s="222"/>
      <c r="AM645" s="222"/>
      <c r="AN645" s="222"/>
      <c r="AO645" s="222"/>
      <c r="AP645" s="222"/>
      <c r="AQ645" s="222"/>
      <c r="AR645" s="222"/>
      <c r="AS645" s="222"/>
      <c r="AT645" s="222"/>
      <c r="AU645" s="222"/>
      <c r="AV645" s="222"/>
      <c r="AW645" s="222"/>
      <c r="AX645" s="222"/>
      <c r="AY645" s="222"/>
      <c r="AZ645" s="222"/>
      <c r="BA645" s="222"/>
      <c r="BB645" s="222"/>
      <c r="BC645" s="222"/>
      <c r="BD645" s="222"/>
      <c r="BE645" s="222"/>
      <c r="BF645" s="222"/>
      <c r="BG645" s="222"/>
      <c r="BH645" s="222"/>
      <c r="BI645" s="222"/>
      <c r="BJ645" s="222"/>
      <c r="BK645" s="222"/>
      <c r="BL645" s="222"/>
      <c r="BM645" s="222"/>
      <c r="BN645" s="222"/>
      <c r="BO645" s="222"/>
      <c r="BP645" s="222"/>
      <c r="BQ645" s="222"/>
      <c r="BR645" s="222"/>
      <c r="BS645" s="222"/>
      <c r="BT645" s="222"/>
      <c r="BU645" s="222"/>
      <c r="BV645" s="222"/>
      <c r="BW645" s="222"/>
      <c r="BX645" s="222"/>
      <c r="BY645" s="222"/>
      <c r="BZ645" s="222"/>
      <c r="CA645" s="222"/>
      <c r="CB645" s="222"/>
      <c r="CC645" s="222"/>
      <c r="CD645" s="222"/>
      <c r="CE645" s="222"/>
      <c r="CF645" s="222"/>
      <c r="CG645" s="222"/>
      <c r="CH645" s="222"/>
      <c r="CI645" s="222"/>
      <c r="CJ645" s="222"/>
      <c r="CK645" s="222"/>
      <c r="CL645" s="222"/>
      <c r="CM645" s="222"/>
      <c r="CN645" s="222"/>
      <c r="CO645" s="222"/>
      <c r="CP645" s="222"/>
      <c r="CQ645" s="222"/>
      <c r="CR645" s="222"/>
      <c r="CS645" s="222"/>
    </row>
    <row r="646">
      <c r="A646" s="43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  <c r="AC646" s="222"/>
      <c r="AD646" s="222"/>
      <c r="AE646" s="222"/>
      <c r="AF646" s="222"/>
      <c r="AG646" s="222"/>
      <c r="AH646" s="222"/>
      <c r="AI646" s="222"/>
      <c r="AJ646" s="222"/>
      <c r="AK646" s="222"/>
      <c r="AL646" s="222"/>
      <c r="AM646" s="222"/>
      <c r="AN646" s="222"/>
      <c r="AO646" s="222"/>
      <c r="AP646" s="222"/>
      <c r="AQ646" s="222"/>
      <c r="AR646" s="222"/>
      <c r="AS646" s="222"/>
      <c r="AT646" s="222"/>
      <c r="AU646" s="222"/>
      <c r="AV646" s="222"/>
      <c r="AW646" s="222"/>
      <c r="AX646" s="222"/>
      <c r="AY646" s="222"/>
      <c r="AZ646" s="222"/>
      <c r="BA646" s="222"/>
      <c r="BB646" s="222"/>
      <c r="BC646" s="222"/>
      <c r="BD646" s="222"/>
      <c r="BE646" s="222"/>
      <c r="BF646" s="222"/>
      <c r="BG646" s="222"/>
      <c r="BH646" s="222"/>
      <c r="BI646" s="222"/>
      <c r="BJ646" s="222"/>
      <c r="BK646" s="222"/>
      <c r="BL646" s="222"/>
      <c r="BM646" s="222"/>
      <c r="BN646" s="222"/>
      <c r="BO646" s="222"/>
      <c r="BP646" s="222"/>
      <c r="BQ646" s="222"/>
      <c r="BR646" s="222"/>
      <c r="BS646" s="222"/>
      <c r="BT646" s="222"/>
      <c r="BU646" s="222"/>
      <c r="BV646" s="222"/>
      <c r="BW646" s="222"/>
      <c r="BX646" s="222"/>
      <c r="BY646" s="222"/>
      <c r="BZ646" s="222"/>
      <c r="CA646" s="222"/>
      <c r="CB646" s="222"/>
      <c r="CC646" s="222"/>
      <c r="CD646" s="222"/>
      <c r="CE646" s="222"/>
      <c r="CF646" s="222"/>
      <c r="CG646" s="222"/>
      <c r="CH646" s="222"/>
      <c r="CI646" s="222"/>
      <c r="CJ646" s="222"/>
      <c r="CK646" s="222"/>
      <c r="CL646" s="222"/>
      <c r="CM646" s="222"/>
      <c r="CN646" s="222"/>
      <c r="CO646" s="222"/>
      <c r="CP646" s="222"/>
      <c r="CQ646" s="222"/>
      <c r="CR646" s="222"/>
      <c r="CS646" s="222"/>
    </row>
    <row r="647">
      <c r="A647" s="43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  <c r="AC647" s="222"/>
      <c r="AD647" s="222"/>
      <c r="AE647" s="222"/>
      <c r="AF647" s="222"/>
      <c r="AG647" s="222"/>
      <c r="AH647" s="222"/>
      <c r="AI647" s="222"/>
      <c r="AJ647" s="222"/>
      <c r="AK647" s="222"/>
      <c r="AL647" s="222"/>
      <c r="AM647" s="222"/>
      <c r="AN647" s="222"/>
      <c r="AO647" s="222"/>
      <c r="AP647" s="222"/>
      <c r="AQ647" s="222"/>
      <c r="AR647" s="222"/>
      <c r="AS647" s="222"/>
      <c r="AT647" s="222"/>
      <c r="AU647" s="222"/>
      <c r="AV647" s="222"/>
      <c r="AW647" s="222"/>
      <c r="AX647" s="222"/>
      <c r="AY647" s="222"/>
      <c r="AZ647" s="222"/>
      <c r="BA647" s="222"/>
      <c r="BB647" s="222"/>
      <c r="BC647" s="222"/>
      <c r="BD647" s="222"/>
      <c r="BE647" s="222"/>
      <c r="BF647" s="222"/>
      <c r="BG647" s="222"/>
      <c r="BH647" s="222"/>
      <c r="BI647" s="222"/>
      <c r="BJ647" s="222"/>
      <c r="BK647" s="222"/>
      <c r="BL647" s="222"/>
      <c r="BM647" s="222"/>
      <c r="BN647" s="222"/>
      <c r="BO647" s="222"/>
      <c r="BP647" s="222"/>
      <c r="BQ647" s="222"/>
      <c r="BR647" s="222"/>
      <c r="BS647" s="222"/>
      <c r="BT647" s="222"/>
      <c r="BU647" s="222"/>
      <c r="BV647" s="222"/>
      <c r="BW647" s="222"/>
      <c r="BX647" s="222"/>
      <c r="BY647" s="222"/>
      <c r="BZ647" s="222"/>
      <c r="CA647" s="222"/>
      <c r="CB647" s="222"/>
      <c r="CC647" s="222"/>
      <c r="CD647" s="222"/>
      <c r="CE647" s="222"/>
      <c r="CF647" s="222"/>
      <c r="CG647" s="222"/>
      <c r="CH647" s="222"/>
      <c r="CI647" s="222"/>
      <c r="CJ647" s="222"/>
      <c r="CK647" s="222"/>
      <c r="CL647" s="222"/>
      <c r="CM647" s="222"/>
      <c r="CN647" s="222"/>
      <c r="CO647" s="222"/>
      <c r="CP647" s="222"/>
      <c r="CQ647" s="222"/>
      <c r="CR647" s="222"/>
      <c r="CS647" s="222"/>
    </row>
    <row r="648">
      <c r="A648" s="43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  <c r="AC648" s="222"/>
      <c r="AD648" s="222"/>
      <c r="AE648" s="222"/>
      <c r="AF648" s="222"/>
      <c r="AG648" s="222"/>
      <c r="AH648" s="222"/>
      <c r="AI648" s="222"/>
      <c r="AJ648" s="222"/>
      <c r="AK648" s="222"/>
      <c r="AL648" s="222"/>
      <c r="AM648" s="222"/>
      <c r="AN648" s="222"/>
      <c r="AO648" s="222"/>
      <c r="AP648" s="222"/>
      <c r="AQ648" s="222"/>
      <c r="AR648" s="222"/>
      <c r="AS648" s="222"/>
      <c r="AT648" s="222"/>
      <c r="AU648" s="222"/>
      <c r="AV648" s="222"/>
      <c r="AW648" s="222"/>
      <c r="AX648" s="222"/>
      <c r="AY648" s="222"/>
      <c r="AZ648" s="222"/>
      <c r="BA648" s="222"/>
      <c r="BB648" s="222"/>
      <c r="BC648" s="222"/>
      <c r="BD648" s="222"/>
      <c r="BE648" s="222"/>
      <c r="BF648" s="222"/>
      <c r="BG648" s="222"/>
      <c r="BH648" s="222"/>
      <c r="BI648" s="222"/>
      <c r="BJ648" s="222"/>
      <c r="BK648" s="222"/>
      <c r="BL648" s="222"/>
      <c r="BM648" s="222"/>
      <c r="BN648" s="222"/>
      <c r="BO648" s="222"/>
      <c r="BP648" s="222"/>
      <c r="BQ648" s="222"/>
      <c r="BR648" s="222"/>
      <c r="BS648" s="222"/>
      <c r="BT648" s="222"/>
      <c r="BU648" s="222"/>
      <c r="BV648" s="222"/>
      <c r="BW648" s="222"/>
      <c r="BX648" s="222"/>
      <c r="BY648" s="222"/>
      <c r="BZ648" s="222"/>
      <c r="CA648" s="222"/>
      <c r="CB648" s="222"/>
      <c r="CC648" s="222"/>
      <c r="CD648" s="222"/>
      <c r="CE648" s="222"/>
      <c r="CF648" s="222"/>
      <c r="CG648" s="222"/>
      <c r="CH648" s="222"/>
      <c r="CI648" s="222"/>
      <c r="CJ648" s="222"/>
      <c r="CK648" s="222"/>
      <c r="CL648" s="222"/>
      <c r="CM648" s="222"/>
      <c r="CN648" s="222"/>
      <c r="CO648" s="222"/>
      <c r="CP648" s="222"/>
      <c r="CQ648" s="222"/>
      <c r="CR648" s="222"/>
      <c r="CS648" s="222"/>
    </row>
    <row r="649">
      <c r="A649" s="43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  <c r="AC649" s="222"/>
      <c r="AD649" s="222"/>
      <c r="AE649" s="222"/>
      <c r="AF649" s="222"/>
      <c r="AG649" s="222"/>
      <c r="AH649" s="222"/>
      <c r="AI649" s="222"/>
      <c r="AJ649" s="222"/>
      <c r="AK649" s="222"/>
      <c r="AL649" s="222"/>
      <c r="AM649" s="222"/>
      <c r="AN649" s="222"/>
      <c r="AO649" s="222"/>
      <c r="AP649" s="222"/>
      <c r="AQ649" s="222"/>
      <c r="AR649" s="222"/>
      <c r="AS649" s="222"/>
      <c r="AT649" s="222"/>
      <c r="AU649" s="222"/>
      <c r="AV649" s="222"/>
      <c r="AW649" s="222"/>
      <c r="AX649" s="222"/>
      <c r="AY649" s="222"/>
      <c r="AZ649" s="222"/>
      <c r="BA649" s="222"/>
      <c r="BB649" s="222"/>
      <c r="BC649" s="222"/>
      <c r="BD649" s="222"/>
      <c r="BE649" s="222"/>
      <c r="BF649" s="222"/>
      <c r="BG649" s="222"/>
      <c r="BH649" s="222"/>
      <c r="BI649" s="222"/>
      <c r="BJ649" s="222"/>
      <c r="BK649" s="222"/>
      <c r="BL649" s="222"/>
      <c r="BM649" s="222"/>
      <c r="BN649" s="222"/>
      <c r="BO649" s="222"/>
      <c r="BP649" s="222"/>
      <c r="BQ649" s="222"/>
      <c r="BR649" s="222"/>
      <c r="BS649" s="222"/>
      <c r="BT649" s="222"/>
      <c r="BU649" s="222"/>
      <c r="BV649" s="222"/>
      <c r="BW649" s="222"/>
      <c r="BX649" s="222"/>
      <c r="BY649" s="222"/>
      <c r="BZ649" s="222"/>
      <c r="CA649" s="222"/>
      <c r="CB649" s="222"/>
      <c r="CC649" s="222"/>
      <c r="CD649" s="222"/>
      <c r="CE649" s="222"/>
      <c r="CF649" s="222"/>
      <c r="CG649" s="222"/>
      <c r="CH649" s="222"/>
      <c r="CI649" s="222"/>
      <c r="CJ649" s="222"/>
      <c r="CK649" s="222"/>
      <c r="CL649" s="222"/>
      <c r="CM649" s="222"/>
      <c r="CN649" s="222"/>
      <c r="CO649" s="222"/>
      <c r="CP649" s="222"/>
      <c r="CQ649" s="222"/>
      <c r="CR649" s="222"/>
      <c r="CS649" s="222"/>
    </row>
    <row r="650">
      <c r="A650" s="43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  <c r="AC650" s="222"/>
      <c r="AD650" s="222"/>
      <c r="AE650" s="222"/>
      <c r="AF650" s="222"/>
      <c r="AG650" s="222"/>
      <c r="AH650" s="222"/>
      <c r="AI650" s="222"/>
      <c r="AJ650" s="222"/>
      <c r="AK650" s="222"/>
      <c r="AL650" s="222"/>
      <c r="AM650" s="222"/>
      <c r="AN650" s="222"/>
      <c r="AO650" s="222"/>
      <c r="AP650" s="222"/>
      <c r="AQ650" s="222"/>
      <c r="AR650" s="222"/>
      <c r="AS650" s="222"/>
      <c r="AT650" s="222"/>
      <c r="AU650" s="222"/>
      <c r="AV650" s="222"/>
      <c r="AW650" s="222"/>
      <c r="AX650" s="222"/>
      <c r="AY650" s="222"/>
      <c r="AZ650" s="222"/>
      <c r="BA650" s="222"/>
      <c r="BB650" s="222"/>
      <c r="BC650" s="222"/>
      <c r="BD650" s="222"/>
      <c r="BE650" s="222"/>
      <c r="BF650" s="222"/>
      <c r="BG650" s="222"/>
      <c r="BH650" s="222"/>
      <c r="BI650" s="222"/>
      <c r="BJ650" s="222"/>
      <c r="BK650" s="222"/>
      <c r="BL650" s="222"/>
      <c r="BM650" s="222"/>
      <c r="BN650" s="222"/>
      <c r="BO650" s="222"/>
      <c r="BP650" s="222"/>
      <c r="BQ650" s="222"/>
      <c r="BR650" s="222"/>
      <c r="BS650" s="222"/>
      <c r="BT650" s="222"/>
      <c r="BU650" s="222"/>
      <c r="BV650" s="222"/>
      <c r="BW650" s="222"/>
      <c r="BX650" s="222"/>
      <c r="BY650" s="222"/>
      <c r="BZ650" s="222"/>
      <c r="CA650" s="222"/>
      <c r="CB650" s="222"/>
      <c r="CC650" s="222"/>
      <c r="CD650" s="222"/>
      <c r="CE650" s="222"/>
      <c r="CF650" s="222"/>
      <c r="CG650" s="222"/>
      <c r="CH650" s="222"/>
      <c r="CI650" s="222"/>
      <c r="CJ650" s="222"/>
      <c r="CK650" s="222"/>
      <c r="CL650" s="222"/>
      <c r="CM650" s="222"/>
      <c r="CN650" s="222"/>
      <c r="CO650" s="222"/>
      <c r="CP650" s="222"/>
      <c r="CQ650" s="222"/>
      <c r="CR650" s="222"/>
      <c r="CS650" s="222"/>
    </row>
    <row r="651">
      <c r="A651" s="43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  <c r="AC651" s="222"/>
      <c r="AD651" s="222"/>
      <c r="AE651" s="222"/>
      <c r="AF651" s="222"/>
      <c r="AG651" s="222"/>
      <c r="AH651" s="222"/>
      <c r="AI651" s="222"/>
      <c r="AJ651" s="222"/>
      <c r="AK651" s="222"/>
      <c r="AL651" s="222"/>
      <c r="AM651" s="222"/>
      <c r="AN651" s="222"/>
      <c r="AO651" s="222"/>
      <c r="AP651" s="222"/>
      <c r="AQ651" s="222"/>
      <c r="AR651" s="222"/>
      <c r="AS651" s="222"/>
      <c r="AT651" s="222"/>
      <c r="AU651" s="222"/>
      <c r="AV651" s="222"/>
      <c r="AW651" s="222"/>
      <c r="AX651" s="222"/>
      <c r="AY651" s="222"/>
      <c r="AZ651" s="222"/>
      <c r="BA651" s="222"/>
      <c r="BB651" s="222"/>
      <c r="BC651" s="222"/>
      <c r="BD651" s="222"/>
      <c r="BE651" s="222"/>
      <c r="BF651" s="222"/>
      <c r="BG651" s="222"/>
      <c r="BH651" s="222"/>
      <c r="BI651" s="222"/>
      <c r="BJ651" s="222"/>
      <c r="BK651" s="222"/>
      <c r="BL651" s="222"/>
      <c r="BM651" s="222"/>
      <c r="BN651" s="222"/>
      <c r="BO651" s="222"/>
      <c r="BP651" s="222"/>
      <c r="BQ651" s="222"/>
      <c r="BR651" s="222"/>
      <c r="BS651" s="222"/>
      <c r="BT651" s="222"/>
      <c r="BU651" s="222"/>
      <c r="BV651" s="222"/>
      <c r="BW651" s="222"/>
      <c r="BX651" s="222"/>
      <c r="BY651" s="222"/>
      <c r="BZ651" s="222"/>
      <c r="CA651" s="222"/>
      <c r="CB651" s="222"/>
      <c r="CC651" s="222"/>
      <c r="CD651" s="222"/>
      <c r="CE651" s="222"/>
      <c r="CF651" s="222"/>
      <c r="CG651" s="222"/>
      <c r="CH651" s="222"/>
      <c r="CI651" s="222"/>
      <c r="CJ651" s="222"/>
      <c r="CK651" s="222"/>
      <c r="CL651" s="222"/>
      <c r="CM651" s="222"/>
      <c r="CN651" s="222"/>
      <c r="CO651" s="222"/>
      <c r="CP651" s="222"/>
      <c r="CQ651" s="222"/>
      <c r="CR651" s="222"/>
      <c r="CS651" s="222"/>
    </row>
    <row r="652">
      <c r="A652" s="43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  <c r="AC652" s="222"/>
      <c r="AD652" s="222"/>
      <c r="AE652" s="222"/>
      <c r="AF652" s="222"/>
      <c r="AG652" s="222"/>
      <c r="AH652" s="222"/>
      <c r="AI652" s="222"/>
      <c r="AJ652" s="222"/>
      <c r="AK652" s="222"/>
      <c r="AL652" s="222"/>
      <c r="AM652" s="222"/>
      <c r="AN652" s="222"/>
      <c r="AO652" s="222"/>
      <c r="AP652" s="222"/>
      <c r="AQ652" s="222"/>
      <c r="AR652" s="222"/>
      <c r="AS652" s="222"/>
      <c r="AT652" s="222"/>
      <c r="AU652" s="222"/>
      <c r="AV652" s="222"/>
      <c r="AW652" s="222"/>
      <c r="AX652" s="222"/>
      <c r="AY652" s="222"/>
      <c r="AZ652" s="222"/>
      <c r="BA652" s="222"/>
      <c r="BB652" s="222"/>
      <c r="BC652" s="222"/>
      <c r="BD652" s="222"/>
      <c r="BE652" s="222"/>
      <c r="BF652" s="222"/>
      <c r="BG652" s="222"/>
      <c r="BH652" s="222"/>
      <c r="BI652" s="222"/>
      <c r="BJ652" s="222"/>
      <c r="BK652" s="222"/>
      <c r="BL652" s="222"/>
      <c r="BM652" s="222"/>
      <c r="BN652" s="222"/>
      <c r="BO652" s="222"/>
      <c r="BP652" s="222"/>
      <c r="BQ652" s="222"/>
      <c r="BR652" s="222"/>
      <c r="BS652" s="222"/>
      <c r="BT652" s="222"/>
      <c r="BU652" s="222"/>
      <c r="BV652" s="222"/>
      <c r="BW652" s="222"/>
      <c r="BX652" s="222"/>
      <c r="BY652" s="222"/>
      <c r="BZ652" s="222"/>
      <c r="CA652" s="222"/>
      <c r="CB652" s="222"/>
      <c r="CC652" s="222"/>
      <c r="CD652" s="222"/>
      <c r="CE652" s="222"/>
      <c r="CF652" s="222"/>
      <c r="CG652" s="222"/>
      <c r="CH652" s="222"/>
      <c r="CI652" s="222"/>
      <c r="CJ652" s="222"/>
      <c r="CK652" s="222"/>
      <c r="CL652" s="222"/>
      <c r="CM652" s="222"/>
      <c r="CN652" s="222"/>
      <c r="CO652" s="222"/>
      <c r="CP652" s="222"/>
      <c r="CQ652" s="222"/>
      <c r="CR652" s="222"/>
      <c r="CS652" s="222"/>
    </row>
    <row r="653">
      <c r="A653" s="43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  <c r="AC653" s="222"/>
      <c r="AD653" s="222"/>
      <c r="AE653" s="222"/>
      <c r="AF653" s="222"/>
      <c r="AG653" s="222"/>
      <c r="AH653" s="222"/>
      <c r="AI653" s="222"/>
      <c r="AJ653" s="222"/>
      <c r="AK653" s="222"/>
      <c r="AL653" s="222"/>
      <c r="AM653" s="222"/>
      <c r="AN653" s="222"/>
      <c r="AO653" s="222"/>
      <c r="AP653" s="222"/>
      <c r="AQ653" s="222"/>
      <c r="AR653" s="222"/>
      <c r="AS653" s="222"/>
      <c r="AT653" s="222"/>
      <c r="AU653" s="222"/>
      <c r="AV653" s="222"/>
      <c r="AW653" s="222"/>
      <c r="AX653" s="222"/>
      <c r="AY653" s="222"/>
      <c r="AZ653" s="222"/>
      <c r="BA653" s="222"/>
      <c r="BB653" s="222"/>
      <c r="BC653" s="222"/>
      <c r="BD653" s="222"/>
      <c r="BE653" s="222"/>
      <c r="BF653" s="222"/>
      <c r="BG653" s="222"/>
      <c r="BH653" s="222"/>
      <c r="BI653" s="222"/>
      <c r="BJ653" s="222"/>
      <c r="BK653" s="222"/>
      <c r="BL653" s="222"/>
      <c r="BM653" s="222"/>
      <c r="BN653" s="222"/>
      <c r="BO653" s="222"/>
      <c r="BP653" s="222"/>
      <c r="BQ653" s="222"/>
      <c r="BR653" s="222"/>
      <c r="BS653" s="222"/>
      <c r="BT653" s="222"/>
      <c r="BU653" s="222"/>
      <c r="BV653" s="222"/>
      <c r="BW653" s="222"/>
      <c r="BX653" s="222"/>
      <c r="BY653" s="222"/>
      <c r="BZ653" s="222"/>
      <c r="CA653" s="222"/>
      <c r="CB653" s="222"/>
      <c r="CC653" s="222"/>
      <c r="CD653" s="222"/>
      <c r="CE653" s="222"/>
      <c r="CF653" s="222"/>
      <c r="CG653" s="222"/>
      <c r="CH653" s="222"/>
      <c r="CI653" s="222"/>
      <c r="CJ653" s="222"/>
      <c r="CK653" s="222"/>
      <c r="CL653" s="222"/>
      <c r="CM653" s="222"/>
      <c r="CN653" s="222"/>
      <c r="CO653" s="222"/>
      <c r="CP653" s="222"/>
      <c r="CQ653" s="222"/>
      <c r="CR653" s="222"/>
      <c r="CS653" s="222"/>
    </row>
    <row r="654">
      <c r="A654" s="43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  <c r="AC654" s="222"/>
      <c r="AD654" s="222"/>
      <c r="AE654" s="222"/>
      <c r="AF654" s="222"/>
      <c r="AG654" s="222"/>
      <c r="AH654" s="222"/>
      <c r="AI654" s="222"/>
      <c r="AJ654" s="222"/>
      <c r="AK654" s="222"/>
      <c r="AL654" s="222"/>
      <c r="AM654" s="222"/>
      <c r="AN654" s="222"/>
      <c r="AO654" s="222"/>
      <c r="AP654" s="222"/>
      <c r="AQ654" s="222"/>
      <c r="AR654" s="222"/>
      <c r="AS654" s="222"/>
      <c r="AT654" s="222"/>
      <c r="AU654" s="222"/>
      <c r="AV654" s="222"/>
      <c r="AW654" s="222"/>
      <c r="AX654" s="222"/>
      <c r="AY654" s="222"/>
      <c r="AZ654" s="222"/>
      <c r="BA654" s="222"/>
      <c r="BB654" s="222"/>
      <c r="BC654" s="222"/>
      <c r="BD654" s="222"/>
      <c r="BE654" s="222"/>
      <c r="BF654" s="222"/>
      <c r="BG654" s="222"/>
      <c r="BH654" s="222"/>
      <c r="BI654" s="222"/>
      <c r="BJ654" s="222"/>
      <c r="BK654" s="222"/>
      <c r="BL654" s="222"/>
      <c r="BM654" s="222"/>
      <c r="BN654" s="222"/>
      <c r="BO654" s="222"/>
      <c r="BP654" s="222"/>
      <c r="BQ654" s="222"/>
      <c r="BR654" s="222"/>
      <c r="BS654" s="222"/>
      <c r="BT654" s="222"/>
      <c r="BU654" s="222"/>
      <c r="BV654" s="222"/>
      <c r="BW654" s="222"/>
      <c r="BX654" s="222"/>
      <c r="BY654" s="222"/>
      <c r="BZ654" s="222"/>
      <c r="CA654" s="222"/>
      <c r="CB654" s="222"/>
      <c r="CC654" s="222"/>
      <c r="CD654" s="222"/>
      <c r="CE654" s="222"/>
      <c r="CF654" s="222"/>
      <c r="CG654" s="222"/>
      <c r="CH654" s="222"/>
      <c r="CI654" s="222"/>
      <c r="CJ654" s="222"/>
      <c r="CK654" s="222"/>
      <c r="CL654" s="222"/>
      <c r="CM654" s="222"/>
      <c r="CN654" s="222"/>
      <c r="CO654" s="222"/>
      <c r="CP654" s="222"/>
      <c r="CQ654" s="222"/>
      <c r="CR654" s="222"/>
      <c r="CS654" s="222"/>
    </row>
    <row r="655">
      <c r="A655" s="43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  <c r="AC655" s="222"/>
      <c r="AD655" s="222"/>
      <c r="AE655" s="222"/>
      <c r="AF655" s="222"/>
      <c r="AG655" s="222"/>
      <c r="AH655" s="222"/>
      <c r="AI655" s="222"/>
      <c r="AJ655" s="222"/>
      <c r="AK655" s="222"/>
      <c r="AL655" s="222"/>
      <c r="AM655" s="222"/>
      <c r="AN655" s="222"/>
      <c r="AO655" s="222"/>
      <c r="AP655" s="222"/>
      <c r="AQ655" s="222"/>
      <c r="AR655" s="222"/>
      <c r="AS655" s="222"/>
      <c r="AT655" s="222"/>
      <c r="AU655" s="222"/>
      <c r="AV655" s="222"/>
      <c r="AW655" s="222"/>
      <c r="AX655" s="222"/>
      <c r="AY655" s="222"/>
      <c r="AZ655" s="222"/>
      <c r="BA655" s="222"/>
      <c r="BB655" s="222"/>
      <c r="BC655" s="222"/>
      <c r="BD655" s="222"/>
      <c r="BE655" s="222"/>
      <c r="BF655" s="222"/>
      <c r="BG655" s="222"/>
      <c r="BH655" s="222"/>
      <c r="BI655" s="222"/>
      <c r="BJ655" s="222"/>
      <c r="BK655" s="222"/>
      <c r="BL655" s="222"/>
      <c r="BM655" s="222"/>
      <c r="BN655" s="222"/>
      <c r="BO655" s="222"/>
      <c r="BP655" s="222"/>
      <c r="BQ655" s="222"/>
      <c r="BR655" s="222"/>
      <c r="BS655" s="222"/>
      <c r="BT655" s="222"/>
      <c r="BU655" s="222"/>
      <c r="BV655" s="222"/>
      <c r="BW655" s="222"/>
      <c r="BX655" s="222"/>
      <c r="BY655" s="222"/>
      <c r="BZ655" s="222"/>
      <c r="CA655" s="222"/>
      <c r="CB655" s="222"/>
      <c r="CC655" s="222"/>
      <c r="CD655" s="222"/>
      <c r="CE655" s="222"/>
      <c r="CF655" s="222"/>
      <c r="CG655" s="222"/>
      <c r="CH655" s="222"/>
      <c r="CI655" s="222"/>
      <c r="CJ655" s="222"/>
      <c r="CK655" s="222"/>
      <c r="CL655" s="222"/>
      <c r="CM655" s="222"/>
      <c r="CN655" s="222"/>
      <c r="CO655" s="222"/>
      <c r="CP655" s="222"/>
      <c r="CQ655" s="222"/>
      <c r="CR655" s="222"/>
      <c r="CS655" s="222"/>
    </row>
    <row r="656">
      <c r="A656" s="43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  <c r="AC656" s="222"/>
      <c r="AD656" s="222"/>
      <c r="AE656" s="222"/>
      <c r="AF656" s="222"/>
      <c r="AG656" s="222"/>
      <c r="AH656" s="222"/>
      <c r="AI656" s="222"/>
      <c r="AJ656" s="222"/>
      <c r="AK656" s="222"/>
      <c r="AL656" s="222"/>
      <c r="AM656" s="222"/>
      <c r="AN656" s="222"/>
      <c r="AO656" s="222"/>
      <c r="AP656" s="222"/>
      <c r="AQ656" s="222"/>
      <c r="AR656" s="222"/>
      <c r="AS656" s="222"/>
      <c r="AT656" s="222"/>
      <c r="AU656" s="222"/>
      <c r="AV656" s="222"/>
      <c r="AW656" s="222"/>
      <c r="AX656" s="222"/>
      <c r="AY656" s="222"/>
      <c r="AZ656" s="222"/>
      <c r="BA656" s="222"/>
      <c r="BB656" s="222"/>
      <c r="BC656" s="222"/>
      <c r="BD656" s="222"/>
      <c r="BE656" s="222"/>
      <c r="BF656" s="222"/>
      <c r="BG656" s="222"/>
      <c r="BH656" s="222"/>
      <c r="BI656" s="222"/>
      <c r="BJ656" s="222"/>
      <c r="BK656" s="222"/>
      <c r="BL656" s="222"/>
      <c r="BM656" s="222"/>
      <c r="BN656" s="222"/>
      <c r="BO656" s="222"/>
      <c r="BP656" s="222"/>
      <c r="BQ656" s="222"/>
      <c r="BR656" s="222"/>
      <c r="BS656" s="222"/>
      <c r="BT656" s="222"/>
      <c r="BU656" s="222"/>
      <c r="BV656" s="222"/>
      <c r="BW656" s="222"/>
      <c r="BX656" s="222"/>
      <c r="BY656" s="222"/>
      <c r="BZ656" s="222"/>
      <c r="CA656" s="222"/>
      <c r="CB656" s="222"/>
      <c r="CC656" s="222"/>
      <c r="CD656" s="222"/>
      <c r="CE656" s="222"/>
      <c r="CF656" s="222"/>
      <c r="CG656" s="222"/>
      <c r="CH656" s="222"/>
      <c r="CI656" s="222"/>
      <c r="CJ656" s="222"/>
      <c r="CK656" s="222"/>
      <c r="CL656" s="222"/>
      <c r="CM656" s="222"/>
      <c r="CN656" s="222"/>
      <c r="CO656" s="222"/>
      <c r="CP656" s="222"/>
      <c r="CQ656" s="222"/>
      <c r="CR656" s="222"/>
      <c r="CS656" s="222"/>
    </row>
    <row r="657">
      <c r="A657" s="43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  <c r="AC657" s="222"/>
      <c r="AD657" s="222"/>
      <c r="AE657" s="222"/>
      <c r="AF657" s="222"/>
      <c r="AG657" s="222"/>
      <c r="AH657" s="222"/>
      <c r="AI657" s="222"/>
      <c r="AJ657" s="222"/>
      <c r="AK657" s="222"/>
      <c r="AL657" s="222"/>
      <c r="AM657" s="222"/>
      <c r="AN657" s="222"/>
      <c r="AO657" s="222"/>
      <c r="AP657" s="222"/>
      <c r="AQ657" s="222"/>
      <c r="AR657" s="222"/>
      <c r="AS657" s="222"/>
      <c r="AT657" s="222"/>
      <c r="AU657" s="222"/>
      <c r="AV657" s="222"/>
      <c r="AW657" s="222"/>
      <c r="AX657" s="222"/>
      <c r="AY657" s="222"/>
      <c r="AZ657" s="222"/>
      <c r="BA657" s="222"/>
      <c r="BB657" s="222"/>
      <c r="BC657" s="222"/>
      <c r="BD657" s="222"/>
      <c r="BE657" s="222"/>
      <c r="BF657" s="222"/>
      <c r="BG657" s="222"/>
      <c r="BH657" s="222"/>
      <c r="BI657" s="222"/>
      <c r="BJ657" s="222"/>
      <c r="BK657" s="222"/>
      <c r="BL657" s="222"/>
      <c r="BM657" s="222"/>
      <c r="BN657" s="222"/>
      <c r="BO657" s="222"/>
      <c r="BP657" s="222"/>
      <c r="BQ657" s="222"/>
      <c r="BR657" s="222"/>
      <c r="BS657" s="222"/>
      <c r="BT657" s="222"/>
      <c r="BU657" s="222"/>
      <c r="BV657" s="222"/>
      <c r="BW657" s="222"/>
      <c r="BX657" s="222"/>
      <c r="BY657" s="222"/>
      <c r="BZ657" s="222"/>
      <c r="CA657" s="222"/>
      <c r="CB657" s="222"/>
      <c r="CC657" s="222"/>
      <c r="CD657" s="222"/>
      <c r="CE657" s="222"/>
      <c r="CF657" s="222"/>
      <c r="CG657" s="222"/>
      <c r="CH657" s="222"/>
      <c r="CI657" s="222"/>
      <c r="CJ657" s="222"/>
      <c r="CK657" s="222"/>
      <c r="CL657" s="222"/>
      <c r="CM657" s="222"/>
      <c r="CN657" s="222"/>
      <c r="CO657" s="222"/>
      <c r="CP657" s="222"/>
      <c r="CQ657" s="222"/>
      <c r="CR657" s="222"/>
      <c r="CS657" s="222"/>
    </row>
    <row r="658">
      <c r="A658" s="43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  <c r="AC658" s="222"/>
      <c r="AD658" s="222"/>
      <c r="AE658" s="222"/>
      <c r="AF658" s="222"/>
      <c r="AG658" s="222"/>
      <c r="AH658" s="222"/>
      <c r="AI658" s="222"/>
      <c r="AJ658" s="222"/>
      <c r="AK658" s="222"/>
      <c r="AL658" s="222"/>
      <c r="AM658" s="222"/>
      <c r="AN658" s="222"/>
      <c r="AO658" s="222"/>
      <c r="AP658" s="222"/>
      <c r="AQ658" s="222"/>
      <c r="AR658" s="222"/>
      <c r="AS658" s="222"/>
      <c r="AT658" s="222"/>
      <c r="AU658" s="222"/>
      <c r="AV658" s="222"/>
      <c r="AW658" s="222"/>
      <c r="AX658" s="222"/>
      <c r="AY658" s="222"/>
      <c r="AZ658" s="222"/>
      <c r="BA658" s="222"/>
      <c r="BB658" s="222"/>
      <c r="BC658" s="222"/>
      <c r="BD658" s="222"/>
      <c r="BE658" s="222"/>
      <c r="BF658" s="222"/>
      <c r="BG658" s="222"/>
      <c r="BH658" s="222"/>
      <c r="BI658" s="222"/>
      <c r="BJ658" s="222"/>
      <c r="BK658" s="222"/>
      <c r="BL658" s="222"/>
      <c r="BM658" s="222"/>
      <c r="BN658" s="222"/>
      <c r="BO658" s="222"/>
      <c r="BP658" s="222"/>
      <c r="BQ658" s="222"/>
      <c r="BR658" s="222"/>
      <c r="BS658" s="222"/>
      <c r="BT658" s="222"/>
      <c r="BU658" s="222"/>
      <c r="BV658" s="222"/>
      <c r="BW658" s="222"/>
      <c r="BX658" s="222"/>
      <c r="BY658" s="222"/>
      <c r="BZ658" s="222"/>
      <c r="CA658" s="222"/>
      <c r="CB658" s="222"/>
      <c r="CC658" s="222"/>
      <c r="CD658" s="222"/>
      <c r="CE658" s="222"/>
      <c r="CF658" s="222"/>
      <c r="CG658" s="222"/>
      <c r="CH658" s="222"/>
      <c r="CI658" s="222"/>
      <c r="CJ658" s="222"/>
      <c r="CK658" s="222"/>
      <c r="CL658" s="222"/>
      <c r="CM658" s="222"/>
      <c r="CN658" s="222"/>
      <c r="CO658" s="222"/>
      <c r="CP658" s="222"/>
      <c r="CQ658" s="222"/>
      <c r="CR658" s="222"/>
      <c r="CS658" s="222"/>
    </row>
    <row r="659">
      <c r="A659" s="43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  <c r="AC659" s="222"/>
      <c r="AD659" s="222"/>
      <c r="AE659" s="222"/>
      <c r="AF659" s="222"/>
      <c r="AG659" s="222"/>
      <c r="AH659" s="222"/>
      <c r="AI659" s="222"/>
      <c r="AJ659" s="222"/>
      <c r="AK659" s="222"/>
      <c r="AL659" s="222"/>
      <c r="AM659" s="222"/>
      <c r="AN659" s="222"/>
      <c r="AO659" s="222"/>
      <c r="AP659" s="222"/>
      <c r="AQ659" s="222"/>
      <c r="AR659" s="222"/>
      <c r="AS659" s="222"/>
      <c r="AT659" s="222"/>
      <c r="AU659" s="222"/>
      <c r="AV659" s="222"/>
      <c r="AW659" s="222"/>
      <c r="AX659" s="222"/>
      <c r="AY659" s="222"/>
      <c r="AZ659" s="222"/>
      <c r="BA659" s="222"/>
      <c r="BB659" s="222"/>
      <c r="BC659" s="222"/>
      <c r="BD659" s="222"/>
      <c r="BE659" s="222"/>
      <c r="BF659" s="222"/>
      <c r="BG659" s="222"/>
      <c r="BH659" s="222"/>
      <c r="BI659" s="222"/>
      <c r="BJ659" s="222"/>
      <c r="BK659" s="222"/>
      <c r="BL659" s="222"/>
      <c r="BM659" s="222"/>
      <c r="BN659" s="222"/>
      <c r="BO659" s="222"/>
      <c r="BP659" s="222"/>
      <c r="BQ659" s="222"/>
      <c r="BR659" s="222"/>
      <c r="BS659" s="222"/>
      <c r="BT659" s="222"/>
      <c r="BU659" s="222"/>
      <c r="BV659" s="222"/>
      <c r="BW659" s="222"/>
      <c r="BX659" s="222"/>
      <c r="BY659" s="222"/>
      <c r="BZ659" s="222"/>
      <c r="CA659" s="222"/>
      <c r="CB659" s="222"/>
      <c r="CC659" s="222"/>
      <c r="CD659" s="222"/>
      <c r="CE659" s="222"/>
      <c r="CF659" s="222"/>
      <c r="CG659" s="222"/>
      <c r="CH659" s="222"/>
      <c r="CI659" s="222"/>
      <c r="CJ659" s="222"/>
      <c r="CK659" s="222"/>
      <c r="CL659" s="222"/>
      <c r="CM659" s="222"/>
      <c r="CN659" s="222"/>
      <c r="CO659" s="222"/>
      <c r="CP659" s="222"/>
      <c r="CQ659" s="222"/>
      <c r="CR659" s="222"/>
      <c r="CS659" s="222"/>
    </row>
    <row r="660">
      <c r="A660" s="43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  <c r="AC660" s="222"/>
      <c r="AD660" s="222"/>
      <c r="AE660" s="222"/>
      <c r="AF660" s="222"/>
      <c r="AG660" s="222"/>
      <c r="AH660" s="222"/>
      <c r="AI660" s="222"/>
      <c r="AJ660" s="222"/>
      <c r="AK660" s="222"/>
      <c r="AL660" s="222"/>
      <c r="AM660" s="222"/>
      <c r="AN660" s="222"/>
      <c r="AO660" s="222"/>
      <c r="AP660" s="222"/>
      <c r="AQ660" s="222"/>
      <c r="AR660" s="222"/>
      <c r="AS660" s="222"/>
      <c r="AT660" s="222"/>
      <c r="AU660" s="222"/>
      <c r="AV660" s="222"/>
      <c r="AW660" s="222"/>
      <c r="AX660" s="222"/>
      <c r="AY660" s="222"/>
      <c r="AZ660" s="222"/>
      <c r="BA660" s="222"/>
      <c r="BB660" s="222"/>
      <c r="BC660" s="222"/>
      <c r="BD660" s="222"/>
      <c r="BE660" s="222"/>
      <c r="BF660" s="222"/>
      <c r="BG660" s="222"/>
      <c r="BH660" s="222"/>
      <c r="BI660" s="222"/>
      <c r="BJ660" s="222"/>
      <c r="BK660" s="222"/>
      <c r="BL660" s="222"/>
      <c r="BM660" s="222"/>
      <c r="BN660" s="222"/>
      <c r="BO660" s="222"/>
      <c r="BP660" s="222"/>
      <c r="BQ660" s="222"/>
      <c r="BR660" s="222"/>
      <c r="BS660" s="222"/>
      <c r="BT660" s="222"/>
      <c r="BU660" s="222"/>
      <c r="BV660" s="222"/>
      <c r="BW660" s="222"/>
      <c r="BX660" s="222"/>
      <c r="BY660" s="222"/>
      <c r="BZ660" s="222"/>
      <c r="CA660" s="222"/>
      <c r="CB660" s="222"/>
      <c r="CC660" s="222"/>
      <c r="CD660" s="222"/>
      <c r="CE660" s="222"/>
      <c r="CF660" s="222"/>
      <c r="CG660" s="222"/>
      <c r="CH660" s="222"/>
      <c r="CI660" s="222"/>
      <c r="CJ660" s="222"/>
      <c r="CK660" s="222"/>
      <c r="CL660" s="222"/>
      <c r="CM660" s="222"/>
      <c r="CN660" s="222"/>
      <c r="CO660" s="222"/>
      <c r="CP660" s="222"/>
      <c r="CQ660" s="222"/>
      <c r="CR660" s="222"/>
      <c r="CS660" s="222"/>
    </row>
    <row r="661">
      <c r="A661" s="43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  <c r="AC661" s="222"/>
      <c r="AD661" s="222"/>
      <c r="AE661" s="222"/>
      <c r="AF661" s="222"/>
      <c r="AG661" s="222"/>
      <c r="AH661" s="222"/>
      <c r="AI661" s="222"/>
      <c r="AJ661" s="222"/>
      <c r="AK661" s="222"/>
      <c r="AL661" s="222"/>
      <c r="AM661" s="222"/>
      <c r="AN661" s="222"/>
      <c r="AO661" s="222"/>
      <c r="AP661" s="222"/>
      <c r="AQ661" s="222"/>
      <c r="AR661" s="222"/>
      <c r="AS661" s="222"/>
      <c r="AT661" s="222"/>
      <c r="AU661" s="222"/>
      <c r="AV661" s="222"/>
      <c r="AW661" s="222"/>
      <c r="AX661" s="222"/>
      <c r="AY661" s="222"/>
      <c r="AZ661" s="222"/>
      <c r="BA661" s="222"/>
      <c r="BB661" s="222"/>
      <c r="BC661" s="222"/>
      <c r="BD661" s="222"/>
      <c r="BE661" s="222"/>
      <c r="BF661" s="222"/>
      <c r="BG661" s="222"/>
      <c r="BH661" s="222"/>
      <c r="BI661" s="222"/>
      <c r="BJ661" s="222"/>
      <c r="BK661" s="222"/>
      <c r="BL661" s="222"/>
      <c r="BM661" s="222"/>
      <c r="BN661" s="222"/>
      <c r="BO661" s="222"/>
      <c r="BP661" s="222"/>
      <c r="BQ661" s="222"/>
      <c r="BR661" s="222"/>
      <c r="BS661" s="222"/>
      <c r="BT661" s="222"/>
      <c r="BU661" s="222"/>
      <c r="BV661" s="222"/>
      <c r="BW661" s="222"/>
      <c r="BX661" s="222"/>
      <c r="BY661" s="222"/>
      <c r="BZ661" s="222"/>
      <c r="CA661" s="222"/>
      <c r="CB661" s="222"/>
      <c r="CC661" s="222"/>
      <c r="CD661" s="222"/>
      <c r="CE661" s="222"/>
      <c r="CF661" s="222"/>
      <c r="CG661" s="222"/>
      <c r="CH661" s="222"/>
      <c r="CI661" s="222"/>
      <c r="CJ661" s="222"/>
      <c r="CK661" s="222"/>
      <c r="CL661" s="222"/>
      <c r="CM661" s="222"/>
      <c r="CN661" s="222"/>
      <c r="CO661" s="222"/>
      <c r="CP661" s="222"/>
      <c r="CQ661" s="222"/>
      <c r="CR661" s="222"/>
      <c r="CS661" s="222"/>
    </row>
    <row r="662">
      <c r="A662" s="43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  <c r="AC662" s="222"/>
      <c r="AD662" s="222"/>
      <c r="AE662" s="222"/>
      <c r="AF662" s="222"/>
      <c r="AG662" s="222"/>
      <c r="AH662" s="222"/>
      <c r="AI662" s="222"/>
      <c r="AJ662" s="222"/>
      <c r="AK662" s="222"/>
      <c r="AL662" s="222"/>
      <c r="AM662" s="222"/>
      <c r="AN662" s="222"/>
      <c r="AO662" s="222"/>
      <c r="AP662" s="222"/>
      <c r="AQ662" s="222"/>
      <c r="AR662" s="222"/>
      <c r="AS662" s="222"/>
      <c r="AT662" s="222"/>
      <c r="AU662" s="222"/>
      <c r="AV662" s="222"/>
      <c r="AW662" s="222"/>
      <c r="AX662" s="222"/>
      <c r="AY662" s="222"/>
      <c r="AZ662" s="222"/>
      <c r="BA662" s="222"/>
      <c r="BB662" s="222"/>
      <c r="BC662" s="222"/>
      <c r="BD662" s="222"/>
      <c r="BE662" s="222"/>
      <c r="BF662" s="222"/>
      <c r="BG662" s="222"/>
      <c r="BH662" s="222"/>
      <c r="BI662" s="222"/>
      <c r="BJ662" s="222"/>
      <c r="BK662" s="222"/>
      <c r="BL662" s="222"/>
      <c r="BM662" s="222"/>
      <c r="BN662" s="222"/>
      <c r="BO662" s="222"/>
      <c r="BP662" s="222"/>
      <c r="BQ662" s="222"/>
      <c r="BR662" s="222"/>
      <c r="BS662" s="222"/>
      <c r="BT662" s="222"/>
      <c r="BU662" s="222"/>
      <c r="BV662" s="222"/>
      <c r="BW662" s="222"/>
      <c r="BX662" s="222"/>
      <c r="BY662" s="222"/>
      <c r="BZ662" s="222"/>
      <c r="CA662" s="222"/>
      <c r="CB662" s="222"/>
      <c r="CC662" s="222"/>
      <c r="CD662" s="222"/>
      <c r="CE662" s="222"/>
      <c r="CF662" s="222"/>
      <c r="CG662" s="222"/>
      <c r="CH662" s="222"/>
      <c r="CI662" s="222"/>
      <c r="CJ662" s="222"/>
      <c r="CK662" s="222"/>
      <c r="CL662" s="222"/>
      <c r="CM662" s="222"/>
      <c r="CN662" s="222"/>
      <c r="CO662" s="222"/>
      <c r="CP662" s="222"/>
      <c r="CQ662" s="222"/>
      <c r="CR662" s="222"/>
      <c r="CS662" s="222"/>
    </row>
    <row r="663">
      <c r="A663" s="43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  <c r="AC663" s="222"/>
      <c r="AD663" s="222"/>
      <c r="AE663" s="222"/>
      <c r="AF663" s="222"/>
      <c r="AG663" s="222"/>
      <c r="AH663" s="222"/>
      <c r="AI663" s="222"/>
      <c r="AJ663" s="222"/>
      <c r="AK663" s="222"/>
      <c r="AL663" s="222"/>
      <c r="AM663" s="222"/>
      <c r="AN663" s="222"/>
      <c r="AO663" s="222"/>
      <c r="AP663" s="222"/>
      <c r="AQ663" s="222"/>
      <c r="AR663" s="222"/>
      <c r="AS663" s="222"/>
      <c r="AT663" s="222"/>
      <c r="AU663" s="222"/>
      <c r="AV663" s="222"/>
      <c r="AW663" s="222"/>
      <c r="AX663" s="222"/>
      <c r="AY663" s="222"/>
      <c r="AZ663" s="222"/>
      <c r="BA663" s="222"/>
      <c r="BB663" s="222"/>
      <c r="BC663" s="222"/>
      <c r="BD663" s="222"/>
      <c r="BE663" s="222"/>
      <c r="BF663" s="222"/>
      <c r="BG663" s="222"/>
      <c r="BH663" s="222"/>
      <c r="BI663" s="222"/>
      <c r="BJ663" s="222"/>
      <c r="BK663" s="222"/>
      <c r="BL663" s="222"/>
      <c r="BM663" s="222"/>
      <c r="BN663" s="222"/>
      <c r="BO663" s="222"/>
      <c r="BP663" s="222"/>
      <c r="BQ663" s="222"/>
      <c r="BR663" s="222"/>
      <c r="BS663" s="222"/>
      <c r="BT663" s="222"/>
      <c r="BU663" s="222"/>
      <c r="BV663" s="222"/>
      <c r="BW663" s="222"/>
      <c r="BX663" s="222"/>
      <c r="BY663" s="222"/>
      <c r="BZ663" s="222"/>
      <c r="CA663" s="222"/>
      <c r="CB663" s="222"/>
      <c r="CC663" s="222"/>
      <c r="CD663" s="222"/>
      <c r="CE663" s="222"/>
      <c r="CF663" s="222"/>
      <c r="CG663" s="222"/>
      <c r="CH663" s="222"/>
      <c r="CI663" s="222"/>
      <c r="CJ663" s="222"/>
      <c r="CK663" s="222"/>
      <c r="CL663" s="222"/>
      <c r="CM663" s="222"/>
      <c r="CN663" s="222"/>
      <c r="CO663" s="222"/>
      <c r="CP663" s="222"/>
      <c r="CQ663" s="222"/>
      <c r="CR663" s="222"/>
      <c r="CS663" s="222"/>
    </row>
    <row r="664">
      <c r="A664" s="43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  <c r="AC664" s="222"/>
      <c r="AD664" s="222"/>
      <c r="AE664" s="222"/>
      <c r="AF664" s="222"/>
      <c r="AG664" s="222"/>
      <c r="AH664" s="222"/>
      <c r="AI664" s="222"/>
      <c r="AJ664" s="222"/>
      <c r="AK664" s="222"/>
      <c r="AL664" s="222"/>
      <c r="AM664" s="222"/>
      <c r="AN664" s="222"/>
      <c r="AO664" s="222"/>
      <c r="AP664" s="222"/>
      <c r="AQ664" s="222"/>
      <c r="AR664" s="222"/>
      <c r="AS664" s="222"/>
      <c r="AT664" s="222"/>
      <c r="AU664" s="222"/>
      <c r="AV664" s="222"/>
      <c r="AW664" s="222"/>
      <c r="AX664" s="222"/>
      <c r="AY664" s="222"/>
      <c r="AZ664" s="222"/>
      <c r="BA664" s="222"/>
      <c r="BB664" s="222"/>
      <c r="BC664" s="222"/>
      <c r="BD664" s="222"/>
      <c r="BE664" s="222"/>
      <c r="BF664" s="222"/>
      <c r="BG664" s="222"/>
      <c r="BH664" s="222"/>
      <c r="BI664" s="222"/>
      <c r="BJ664" s="222"/>
      <c r="BK664" s="222"/>
      <c r="BL664" s="222"/>
      <c r="BM664" s="222"/>
      <c r="BN664" s="222"/>
      <c r="BO664" s="222"/>
      <c r="BP664" s="222"/>
      <c r="BQ664" s="222"/>
      <c r="BR664" s="222"/>
      <c r="BS664" s="222"/>
      <c r="BT664" s="222"/>
      <c r="BU664" s="222"/>
      <c r="BV664" s="222"/>
      <c r="BW664" s="222"/>
      <c r="BX664" s="222"/>
      <c r="BY664" s="222"/>
      <c r="BZ664" s="222"/>
      <c r="CA664" s="222"/>
      <c r="CB664" s="222"/>
      <c r="CC664" s="222"/>
      <c r="CD664" s="222"/>
      <c r="CE664" s="222"/>
      <c r="CF664" s="222"/>
      <c r="CG664" s="222"/>
      <c r="CH664" s="222"/>
      <c r="CI664" s="222"/>
      <c r="CJ664" s="222"/>
      <c r="CK664" s="222"/>
      <c r="CL664" s="222"/>
      <c r="CM664" s="222"/>
      <c r="CN664" s="222"/>
      <c r="CO664" s="222"/>
      <c r="CP664" s="222"/>
      <c r="CQ664" s="222"/>
      <c r="CR664" s="222"/>
      <c r="CS664" s="222"/>
    </row>
    <row r="665">
      <c r="A665" s="43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  <c r="AC665" s="222"/>
      <c r="AD665" s="222"/>
      <c r="AE665" s="222"/>
      <c r="AF665" s="222"/>
      <c r="AG665" s="222"/>
      <c r="AH665" s="222"/>
      <c r="AI665" s="222"/>
      <c r="AJ665" s="222"/>
      <c r="AK665" s="222"/>
      <c r="AL665" s="222"/>
      <c r="AM665" s="222"/>
      <c r="AN665" s="222"/>
      <c r="AO665" s="222"/>
      <c r="AP665" s="222"/>
      <c r="AQ665" s="222"/>
      <c r="AR665" s="222"/>
      <c r="AS665" s="222"/>
      <c r="AT665" s="222"/>
      <c r="AU665" s="222"/>
      <c r="AV665" s="222"/>
      <c r="AW665" s="222"/>
      <c r="AX665" s="222"/>
      <c r="AY665" s="222"/>
      <c r="AZ665" s="222"/>
      <c r="BA665" s="222"/>
      <c r="BB665" s="222"/>
      <c r="BC665" s="222"/>
      <c r="BD665" s="222"/>
      <c r="BE665" s="222"/>
      <c r="BF665" s="222"/>
      <c r="BG665" s="222"/>
      <c r="BH665" s="222"/>
      <c r="BI665" s="222"/>
      <c r="BJ665" s="222"/>
      <c r="BK665" s="222"/>
      <c r="BL665" s="222"/>
      <c r="BM665" s="222"/>
      <c r="BN665" s="222"/>
      <c r="BO665" s="222"/>
      <c r="BP665" s="222"/>
      <c r="BQ665" s="222"/>
      <c r="BR665" s="222"/>
      <c r="BS665" s="222"/>
      <c r="BT665" s="222"/>
      <c r="BU665" s="222"/>
      <c r="BV665" s="222"/>
      <c r="BW665" s="222"/>
      <c r="BX665" s="222"/>
      <c r="BY665" s="222"/>
      <c r="BZ665" s="222"/>
      <c r="CA665" s="222"/>
      <c r="CB665" s="222"/>
      <c r="CC665" s="222"/>
      <c r="CD665" s="222"/>
      <c r="CE665" s="222"/>
      <c r="CF665" s="222"/>
      <c r="CG665" s="222"/>
      <c r="CH665" s="222"/>
      <c r="CI665" s="222"/>
      <c r="CJ665" s="222"/>
      <c r="CK665" s="222"/>
      <c r="CL665" s="222"/>
      <c r="CM665" s="222"/>
      <c r="CN665" s="222"/>
      <c r="CO665" s="222"/>
      <c r="CP665" s="222"/>
      <c r="CQ665" s="222"/>
      <c r="CR665" s="222"/>
      <c r="CS665" s="222"/>
    </row>
    <row r="666">
      <c r="A666" s="43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  <c r="AC666" s="222"/>
      <c r="AD666" s="222"/>
      <c r="AE666" s="222"/>
      <c r="AF666" s="222"/>
      <c r="AG666" s="222"/>
      <c r="AH666" s="222"/>
      <c r="AI666" s="222"/>
      <c r="AJ666" s="222"/>
      <c r="AK666" s="222"/>
      <c r="AL666" s="222"/>
      <c r="AM666" s="222"/>
      <c r="AN666" s="222"/>
      <c r="AO666" s="222"/>
      <c r="AP666" s="222"/>
      <c r="AQ666" s="222"/>
      <c r="AR666" s="222"/>
      <c r="AS666" s="222"/>
      <c r="AT666" s="222"/>
      <c r="AU666" s="222"/>
      <c r="AV666" s="222"/>
      <c r="AW666" s="222"/>
      <c r="AX666" s="222"/>
      <c r="AY666" s="222"/>
      <c r="AZ666" s="222"/>
      <c r="BA666" s="222"/>
      <c r="BB666" s="222"/>
      <c r="BC666" s="222"/>
      <c r="BD666" s="222"/>
      <c r="BE666" s="222"/>
      <c r="BF666" s="222"/>
      <c r="BG666" s="222"/>
      <c r="BH666" s="222"/>
      <c r="BI666" s="222"/>
      <c r="BJ666" s="222"/>
      <c r="BK666" s="222"/>
      <c r="BL666" s="222"/>
      <c r="BM666" s="222"/>
      <c r="BN666" s="222"/>
      <c r="BO666" s="222"/>
      <c r="BP666" s="222"/>
      <c r="BQ666" s="222"/>
      <c r="BR666" s="222"/>
      <c r="BS666" s="222"/>
      <c r="BT666" s="222"/>
      <c r="BU666" s="222"/>
      <c r="BV666" s="222"/>
      <c r="BW666" s="222"/>
      <c r="BX666" s="222"/>
      <c r="BY666" s="222"/>
      <c r="BZ666" s="222"/>
      <c r="CA666" s="222"/>
      <c r="CB666" s="222"/>
      <c r="CC666" s="222"/>
      <c r="CD666" s="222"/>
      <c r="CE666" s="222"/>
      <c r="CF666" s="222"/>
      <c r="CG666" s="222"/>
      <c r="CH666" s="222"/>
      <c r="CI666" s="222"/>
      <c r="CJ666" s="222"/>
      <c r="CK666" s="222"/>
      <c r="CL666" s="222"/>
      <c r="CM666" s="222"/>
      <c r="CN666" s="222"/>
      <c r="CO666" s="222"/>
      <c r="CP666" s="222"/>
      <c r="CQ666" s="222"/>
      <c r="CR666" s="222"/>
      <c r="CS666" s="222"/>
    </row>
    <row r="667">
      <c r="A667" s="43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  <c r="AC667" s="222"/>
      <c r="AD667" s="222"/>
      <c r="AE667" s="222"/>
      <c r="AF667" s="222"/>
      <c r="AG667" s="222"/>
      <c r="AH667" s="222"/>
      <c r="AI667" s="222"/>
      <c r="AJ667" s="222"/>
      <c r="AK667" s="222"/>
      <c r="AL667" s="222"/>
      <c r="AM667" s="222"/>
      <c r="AN667" s="222"/>
      <c r="AO667" s="222"/>
      <c r="AP667" s="222"/>
      <c r="AQ667" s="222"/>
      <c r="AR667" s="222"/>
      <c r="AS667" s="222"/>
      <c r="AT667" s="222"/>
      <c r="AU667" s="222"/>
      <c r="AV667" s="222"/>
      <c r="AW667" s="222"/>
      <c r="AX667" s="222"/>
      <c r="AY667" s="222"/>
      <c r="AZ667" s="222"/>
      <c r="BA667" s="222"/>
      <c r="BB667" s="222"/>
      <c r="BC667" s="222"/>
      <c r="BD667" s="222"/>
      <c r="BE667" s="222"/>
      <c r="BF667" s="222"/>
      <c r="BG667" s="222"/>
      <c r="BH667" s="222"/>
      <c r="BI667" s="222"/>
      <c r="BJ667" s="222"/>
      <c r="BK667" s="222"/>
      <c r="BL667" s="222"/>
      <c r="BM667" s="222"/>
      <c r="BN667" s="222"/>
      <c r="BO667" s="222"/>
      <c r="BP667" s="222"/>
      <c r="BQ667" s="222"/>
      <c r="BR667" s="222"/>
      <c r="BS667" s="222"/>
      <c r="BT667" s="222"/>
      <c r="BU667" s="222"/>
      <c r="BV667" s="222"/>
      <c r="BW667" s="222"/>
      <c r="BX667" s="222"/>
      <c r="BY667" s="222"/>
      <c r="BZ667" s="222"/>
      <c r="CA667" s="222"/>
      <c r="CB667" s="222"/>
      <c r="CC667" s="222"/>
      <c r="CD667" s="222"/>
      <c r="CE667" s="222"/>
      <c r="CF667" s="222"/>
      <c r="CG667" s="222"/>
      <c r="CH667" s="222"/>
      <c r="CI667" s="222"/>
      <c r="CJ667" s="222"/>
      <c r="CK667" s="222"/>
      <c r="CL667" s="222"/>
      <c r="CM667" s="222"/>
      <c r="CN667" s="222"/>
      <c r="CO667" s="222"/>
      <c r="CP667" s="222"/>
      <c r="CQ667" s="222"/>
      <c r="CR667" s="222"/>
      <c r="CS667" s="222"/>
    </row>
    <row r="668">
      <c r="A668" s="43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  <c r="AC668" s="222"/>
      <c r="AD668" s="222"/>
      <c r="AE668" s="222"/>
      <c r="AF668" s="222"/>
      <c r="AG668" s="222"/>
      <c r="AH668" s="222"/>
      <c r="AI668" s="222"/>
      <c r="AJ668" s="222"/>
      <c r="AK668" s="222"/>
      <c r="AL668" s="222"/>
      <c r="AM668" s="222"/>
      <c r="AN668" s="222"/>
      <c r="AO668" s="222"/>
      <c r="AP668" s="222"/>
      <c r="AQ668" s="222"/>
      <c r="AR668" s="222"/>
      <c r="AS668" s="222"/>
      <c r="AT668" s="222"/>
      <c r="AU668" s="222"/>
      <c r="AV668" s="222"/>
      <c r="AW668" s="222"/>
      <c r="AX668" s="222"/>
      <c r="AY668" s="222"/>
      <c r="AZ668" s="222"/>
      <c r="BA668" s="222"/>
      <c r="BB668" s="222"/>
      <c r="BC668" s="222"/>
      <c r="BD668" s="222"/>
      <c r="BE668" s="222"/>
      <c r="BF668" s="222"/>
      <c r="BG668" s="222"/>
      <c r="BH668" s="222"/>
      <c r="BI668" s="222"/>
      <c r="BJ668" s="222"/>
      <c r="BK668" s="222"/>
      <c r="BL668" s="222"/>
      <c r="BM668" s="222"/>
      <c r="BN668" s="222"/>
      <c r="BO668" s="222"/>
      <c r="BP668" s="222"/>
      <c r="BQ668" s="222"/>
      <c r="BR668" s="222"/>
      <c r="BS668" s="222"/>
      <c r="BT668" s="222"/>
      <c r="BU668" s="222"/>
      <c r="BV668" s="222"/>
      <c r="BW668" s="222"/>
      <c r="BX668" s="222"/>
      <c r="BY668" s="222"/>
      <c r="BZ668" s="222"/>
      <c r="CA668" s="222"/>
      <c r="CB668" s="222"/>
      <c r="CC668" s="222"/>
      <c r="CD668" s="222"/>
      <c r="CE668" s="222"/>
      <c r="CF668" s="222"/>
      <c r="CG668" s="222"/>
      <c r="CH668" s="222"/>
      <c r="CI668" s="222"/>
      <c r="CJ668" s="222"/>
      <c r="CK668" s="222"/>
      <c r="CL668" s="222"/>
      <c r="CM668" s="222"/>
      <c r="CN668" s="222"/>
      <c r="CO668" s="222"/>
      <c r="CP668" s="222"/>
      <c r="CQ668" s="222"/>
      <c r="CR668" s="222"/>
      <c r="CS668" s="222"/>
    </row>
    <row r="669">
      <c r="A669" s="43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  <c r="AC669" s="222"/>
      <c r="AD669" s="222"/>
      <c r="AE669" s="222"/>
      <c r="AF669" s="222"/>
      <c r="AG669" s="222"/>
      <c r="AH669" s="222"/>
      <c r="AI669" s="222"/>
      <c r="AJ669" s="222"/>
      <c r="AK669" s="222"/>
      <c r="AL669" s="222"/>
      <c r="AM669" s="222"/>
      <c r="AN669" s="222"/>
      <c r="AO669" s="222"/>
      <c r="AP669" s="222"/>
      <c r="AQ669" s="222"/>
      <c r="AR669" s="222"/>
      <c r="AS669" s="222"/>
      <c r="AT669" s="222"/>
      <c r="AU669" s="222"/>
      <c r="AV669" s="222"/>
      <c r="AW669" s="222"/>
      <c r="AX669" s="222"/>
      <c r="AY669" s="222"/>
      <c r="AZ669" s="222"/>
      <c r="BA669" s="222"/>
      <c r="BB669" s="222"/>
      <c r="BC669" s="222"/>
      <c r="BD669" s="222"/>
      <c r="BE669" s="222"/>
      <c r="BF669" s="222"/>
      <c r="BG669" s="222"/>
      <c r="BH669" s="222"/>
      <c r="BI669" s="222"/>
      <c r="BJ669" s="222"/>
      <c r="BK669" s="222"/>
      <c r="BL669" s="222"/>
      <c r="BM669" s="222"/>
      <c r="BN669" s="222"/>
      <c r="BO669" s="222"/>
      <c r="BP669" s="222"/>
      <c r="BQ669" s="222"/>
      <c r="BR669" s="222"/>
      <c r="BS669" s="222"/>
      <c r="BT669" s="222"/>
      <c r="BU669" s="222"/>
      <c r="BV669" s="222"/>
      <c r="BW669" s="222"/>
      <c r="BX669" s="222"/>
      <c r="BY669" s="222"/>
      <c r="BZ669" s="222"/>
      <c r="CA669" s="222"/>
      <c r="CB669" s="222"/>
      <c r="CC669" s="222"/>
      <c r="CD669" s="222"/>
      <c r="CE669" s="222"/>
      <c r="CF669" s="222"/>
      <c r="CG669" s="222"/>
      <c r="CH669" s="222"/>
      <c r="CI669" s="222"/>
      <c r="CJ669" s="222"/>
      <c r="CK669" s="222"/>
      <c r="CL669" s="222"/>
      <c r="CM669" s="222"/>
      <c r="CN669" s="222"/>
      <c r="CO669" s="222"/>
      <c r="CP669" s="222"/>
      <c r="CQ669" s="222"/>
      <c r="CR669" s="222"/>
      <c r="CS669" s="222"/>
    </row>
    <row r="670">
      <c r="A670" s="43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  <c r="AC670" s="222"/>
      <c r="AD670" s="222"/>
      <c r="AE670" s="222"/>
      <c r="AF670" s="222"/>
      <c r="AG670" s="222"/>
      <c r="AH670" s="222"/>
      <c r="AI670" s="222"/>
      <c r="AJ670" s="222"/>
      <c r="AK670" s="222"/>
      <c r="AL670" s="222"/>
      <c r="AM670" s="222"/>
      <c r="AN670" s="222"/>
      <c r="AO670" s="222"/>
      <c r="AP670" s="222"/>
      <c r="AQ670" s="222"/>
      <c r="AR670" s="222"/>
      <c r="AS670" s="222"/>
      <c r="AT670" s="222"/>
      <c r="AU670" s="222"/>
      <c r="AV670" s="222"/>
      <c r="AW670" s="222"/>
      <c r="AX670" s="222"/>
      <c r="AY670" s="222"/>
      <c r="AZ670" s="222"/>
      <c r="BA670" s="222"/>
      <c r="BB670" s="222"/>
      <c r="BC670" s="222"/>
      <c r="BD670" s="222"/>
      <c r="BE670" s="222"/>
      <c r="BF670" s="222"/>
      <c r="BG670" s="222"/>
      <c r="BH670" s="222"/>
      <c r="BI670" s="222"/>
      <c r="BJ670" s="222"/>
      <c r="BK670" s="222"/>
      <c r="BL670" s="222"/>
      <c r="BM670" s="222"/>
      <c r="BN670" s="222"/>
      <c r="BO670" s="222"/>
      <c r="BP670" s="222"/>
      <c r="BQ670" s="222"/>
      <c r="BR670" s="222"/>
      <c r="BS670" s="222"/>
      <c r="BT670" s="222"/>
      <c r="BU670" s="222"/>
      <c r="BV670" s="222"/>
      <c r="BW670" s="222"/>
      <c r="BX670" s="222"/>
      <c r="BY670" s="222"/>
      <c r="BZ670" s="222"/>
      <c r="CA670" s="222"/>
      <c r="CB670" s="222"/>
      <c r="CC670" s="222"/>
      <c r="CD670" s="222"/>
      <c r="CE670" s="222"/>
      <c r="CF670" s="222"/>
      <c r="CG670" s="222"/>
      <c r="CH670" s="222"/>
      <c r="CI670" s="222"/>
      <c r="CJ670" s="222"/>
      <c r="CK670" s="222"/>
      <c r="CL670" s="222"/>
      <c r="CM670" s="222"/>
      <c r="CN670" s="222"/>
      <c r="CO670" s="222"/>
      <c r="CP670" s="222"/>
      <c r="CQ670" s="222"/>
      <c r="CR670" s="222"/>
      <c r="CS670" s="222"/>
    </row>
    <row r="671">
      <c r="A671" s="43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  <c r="AC671" s="222"/>
      <c r="AD671" s="222"/>
      <c r="AE671" s="222"/>
      <c r="AF671" s="222"/>
      <c r="AG671" s="222"/>
      <c r="AH671" s="222"/>
      <c r="AI671" s="222"/>
      <c r="AJ671" s="222"/>
      <c r="AK671" s="222"/>
      <c r="AL671" s="222"/>
      <c r="AM671" s="222"/>
      <c r="AN671" s="222"/>
      <c r="AO671" s="222"/>
      <c r="AP671" s="222"/>
      <c r="AQ671" s="222"/>
      <c r="AR671" s="222"/>
      <c r="AS671" s="222"/>
      <c r="AT671" s="222"/>
      <c r="AU671" s="222"/>
      <c r="AV671" s="222"/>
      <c r="AW671" s="222"/>
      <c r="AX671" s="222"/>
      <c r="AY671" s="222"/>
      <c r="AZ671" s="222"/>
      <c r="BA671" s="222"/>
      <c r="BB671" s="222"/>
      <c r="BC671" s="222"/>
      <c r="BD671" s="222"/>
      <c r="BE671" s="222"/>
      <c r="BF671" s="222"/>
      <c r="BG671" s="222"/>
      <c r="BH671" s="222"/>
      <c r="BI671" s="222"/>
      <c r="BJ671" s="222"/>
      <c r="BK671" s="222"/>
      <c r="BL671" s="222"/>
      <c r="BM671" s="222"/>
      <c r="BN671" s="222"/>
      <c r="BO671" s="222"/>
      <c r="BP671" s="222"/>
      <c r="BQ671" s="222"/>
      <c r="BR671" s="222"/>
      <c r="BS671" s="222"/>
      <c r="BT671" s="222"/>
      <c r="BU671" s="222"/>
      <c r="BV671" s="222"/>
      <c r="BW671" s="222"/>
      <c r="BX671" s="222"/>
      <c r="BY671" s="222"/>
      <c r="BZ671" s="222"/>
      <c r="CA671" s="222"/>
      <c r="CB671" s="222"/>
      <c r="CC671" s="222"/>
      <c r="CD671" s="222"/>
      <c r="CE671" s="222"/>
      <c r="CF671" s="222"/>
      <c r="CG671" s="222"/>
      <c r="CH671" s="222"/>
      <c r="CI671" s="222"/>
      <c r="CJ671" s="222"/>
      <c r="CK671" s="222"/>
      <c r="CL671" s="222"/>
      <c r="CM671" s="222"/>
      <c r="CN671" s="222"/>
      <c r="CO671" s="222"/>
      <c r="CP671" s="222"/>
      <c r="CQ671" s="222"/>
      <c r="CR671" s="222"/>
      <c r="CS671" s="222"/>
    </row>
    <row r="672">
      <c r="A672" s="43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  <c r="AC672" s="222"/>
      <c r="AD672" s="222"/>
      <c r="AE672" s="222"/>
      <c r="AF672" s="222"/>
      <c r="AG672" s="222"/>
      <c r="AH672" s="222"/>
      <c r="AI672" s="222"/>
      <c r="AJ672" s="222"/>
      <c r="AK672" s="222"/>
      <c r="AL672" s="222"/>
      <c r="AM672" s="222"/>
      <c r="AN672" s="222"/>
      <c r="AO672" s="222"/>
      <c r="AP672" s="222"/>
      <c r="AQ672" s="222"/>
      <c r="AR672" s="222"/>
      <c r="AS672" s="222"/>
      <c r="AT672" s="222"/>
      <c r="AU672" s="222"/>
      <c r="AV672" s="222"/>
      <c r="AW672" s="222"/>
      <c r="AX672" s="222"/>
      <c r="AY672" s="222"/>
      <c r="AZ672" s="222"/>
      <c r="BA672" s="222"/>
      <c r="BB672" s="222"/>
      <c r="BC672" s="222"/>
      <c r="BD672" s="222"/>
      <c r="BE672" s="222"/>
      <c r="BF672" s="222"/>
      <c r="BG672" s="222"/>
      <c r="BH672" s="222"/>
      <c r="BI672" s="222"/>
      <c r="BJ672" s="222"/>
      <c r="BK672" s="222"/>
      <c r="BL672" s="222"/>
      <c r="BM672" s="222"/>
      <c r="BN672" s="222"/>
      <c r="BO672" s="222"/>
      <c r="BP672" s="222"/>
      <c r="BQ672" s="222"/>
      <c r="BR672" s="222"/>
      <c r="BS672" s="222"/>
      <c r="BT672" s="222"/>
      <c r="BU672" s="222"/>
      <c r="BV672" s="222"/>
      <c r="BW672" s="222"/>
      <c r="BX672" s="222"/>
      <c r="BY672" s="222"/>
      <c r="BZ672" s="222"/>
      <c r="CA672" s="222"/>
      <c r="CB672" s="222"/>
      <c r="CC672" s="222"/>
      <c r="CD672" s="222"/>
      <c r="CE672" s="222"/>
      <c r="CF672" s="222"/>
      <c r="CG672" s="222"/>
      <c r="CH672" s="222"/>
      <c r="CI672" s="222"/>
      <c r="CJ672" s="222"/>
      <c r="CK672" s="222"/>
      <c r="CL672" s="222"/>
      <c r="CM672" s="222"/>
      <c r="CN672" s="222"/>
      <c r="CO672" s="222"/>
      <c r="CP672" s="222"/>
      <c r="CQ672" s="222"/>
      <c r="CR672" s="222"/>
      <c r="CS672" s="222"/>
    </row>
    <row r="673">
      <c r="A673" s="43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  <c r="AC673" s="222"/>
      <c r="AD673" s="222"/>
      <c r="AE673" s="222"/>
      <c r="AF673" s="222"/>
      <c r="AG673" s="222"/>
      <c r="AH673" s="222"/>
      <c r="AI673" s="222"/>
      <c r="AJ673" s="222"/>
      <c r="AK673" s="222"/>
      <c r="AL673" s="222"/>
      <c r="AM673" s="222"/>
      <c r="AN673" s="222"/>
      <c r="AO673" s="222"/>
      <c r="AP673" s="222"/>
      <c r="AQ673" s="222"/>
      <c r="AR673" s="222"/>
      <c r="AS673" s="222"/>
      <c r="AT673" s="222"/>
      <c r="AU673" s="222"/>
      <c r="AV673" s="222"/>
      <c r="AW673" s="222"/>
      <c r="AX673" s="222"/>
      <c r="AY673" s="222"/>
      <c r="AZ673" s="222"/>
      <c r="BA673" s="222"/>
      <c r="BB673" s="222"/>
      <c r="BC673" s="222"/>
      <c r="BD673" s="222"/>
      <c r="BE673" s="222"/>
      <c r="BF673" s="222"/>
      <c r="BG673" s="222"/>
      <c r="BH673" s="222"/>
      <c r="BI673" s="222"/>
      <c r="BJ673" s="222"/>
      <c r="BK673" s="222"/>
      <c r="BL673" s="222"/>
      <c r="BM673" s="222"/>
      <c r="BN673" s="222"/>
      <c r="BO673" s="222"/>
      <c r="BP673" s="222"/>
      <c r="BQ673" s="222"/>
      <c r="BR673" s="222"/>
      <c r="BS673" s="222"/>
      <c r="BT673" s="222"/>
      <c r="BU673" s="222"/>
      <c r="BV673" s="222"/>
      <c r="BW673" s="222"/>
      <c r="BX673" s="222"/>
      <c r="BY673" s="222"/>
      <c r="BZ673" s="222"/>
      <c r="CA673" s="222"/>
      <c r="CB673" s="222"/>
      <c r="CC673" s="222"/>
      <c r="CD673" s="222"/>
      <c r="CE673" s="222"/>
      <c r="CF673" s="222"/>
      <c r="CG673" s="222"/>
      <c r="CH673" s="222"/>
      <c r="CI673" s="222"/>
      <c r="CJ673" s="222"/>
      <c r="CK673" s="222"/>
      <c r="CL673" s="222"/>
      <c r="CM673" s="222"/>
      <c r="CN673" s="222"/>
      <c r="CO673" s="222"/>
      <c r="CP673" s="222"/>
      <c r="CQ673" s="222"/>
      <c r="CR673" s="222"/>
      <c r="CS673" s="222"/>
    </row>
    <row r="674">
      <c r="A674" s="43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  <c r="AC674" s="222"/>
      <c r="AD674" s="222"/>
      <c r="AE674" s="222"/>
      <c r="AF674" s="222"/>
      <c r="AG674" s="222"/>
      <c r="AH674" s="222"/>
      <c r="AI674" s="222"/>
      <c r="AJ674" s="222"/>
      <c r="AK674" s="222"/>
      <c r="AL674" s="222"/>
      <c r="AM674" s="222"/>
      <c r="AN674" s="222"/>
      <c r="AO674" s="222"/>
      <c r="AP674" s="222"/>
      <c r="AQ674" s="222"/>
      <c r="AR674" s="222"/>
      <c r="AS674" s="222"/>
      <c r="AT674" s="222"/>
      <c r="AU674" s="222"/>
      <c r="AV674" s="222"/>
      <c r="AW674" s="222"/>
      <c r="AX674" s="222"/>
      <c r="AY674" s="222"/>
      <c r="AZ674" s="222"/>
      <c r="BA674" s="222"/>
      <c r="BB674" s="222"/>
      <c r="BC674" s="222"/>
      <c r="BD674" s="222"/>
      <c r="BE674" s="222"/>
      <c r="BF674" s="222"/>
      <c r="BG674" s="222"/>
      <c r="BH674" s="222"/>
      <c r="BI674" s="222"/>
      <c r="BJ674" s="222"/>
      <c r="BK674" s="222"/>
      <c r="BL674" s="222"/>
      <c r="BM674" s="222"/>
      <c r="BN674" s="222"/>
      <c r="BO674" s="222"/>
      <c r="BP674" s="222"/>
      <c r="BQ674" s="222"/>
      <c r="BR674" s="222"/>
      <c r="BS674" s="222"/>
      <c r="BT674" s="222"/>
      <c r="BU674" s="222"/>
      <c r="BV674" s="222"/>
      <c r="BW674" s="222"/>
      <c r="BX674" s="222"/>
      <c r="BY674" s="222"/>
      <c r="BZ674" s="222"/>
      <c r="CA674" s="222"/>
      <c r="CB674" s="222"/>
      <c r="CC674" s="222"/>
      <c r="CD674" s="222"/>
      <c r="CE674" s="222"/>
      <c r="CF674" s="222"/>
      <c r="CG674" s="222"/>
      <c r="CH674" s="222"/>
      <c r="CI674" s="222"/>
      <c r="CJ674" s="222"/>
      <c r="CK674" s="222"/>
      <c r="CL674" s="222"/>
      <c r="CM674" s="222"/>
      <c r="CN674" s="222"/>
      <c r="CO674" s="222"/>
      <c r="CP674" s="222"/>
      <c r="CQ674" s="222"/>
      <c r="CR674" s="222"/>
      <c r="CS674" s="222"/>
    </row>
    <row r="675">
      <c r="A675" s="43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  <c r="AC675" s="222"/>
      <c r="AD675" s="222"/>
      <c r="AE675" s="222"/>
      <c r="AF675" s="222"/>
      <c r="AG675" s="222"/>
      <c r="AH675" s="222"/>
      <c r="AI675" s="222"/>
      <c r="AJ675" s="222"/>
      <c r="AK675" s="222"/>
      <c r="AL675" s="222"/>
      <c r="AM675" s="222"/>
      <c r="AN675" s="222"/>
      <c r="AO675" s="222"/>
      <c r="AP675" s="222"/>
      <c r="AQ675" s="222"/>
      <c r="AR675" s="222"/>
      <c r="AS675" s="222"/>
      <c r="AT675" s="222"/>
      <c r="AU675" s="222"/>
      <c r="AV675" s="222"/>
      <c r="AW675" s="222"/>
      <c r="AX675" s="222"/>
      <c r="AY675" s="222"/>
      <c r="AZ675" s="222"/>
      <c r="BA675" s="222"/>
      <c r="BB675" s="222"/>
      <c r="BC675" s="222"/>
      <c r="BD675" s="222"/>
      <c r="BE675" s="222"/>
      <c r="BF675" s="222"/>
      <c r="BG675" s="222"/>
      <c r="BH675" s="222"/>
      <c r="BI675" s="222"/>
      <c r="BJ675" s="222"/>
      <c r="BK675" s="222"/>
      <c r="BL675" s="222"/>
      <c r="BM675" s="222"/>
      <c r="BN675" s="222"/>
      <c r="BO675" s="222"/>
      <c r="BP675" s="222"/>
      <c r="BQ675" s="222"/>
      <c r="BR675" s="222"/>
      <c r="BS675" s="222"/>
      <c r="BT675" s="222"/>
      <c r="BU675" s="222"/>
      <c r="BV675" s="222"/>
      <c r="BW675" s="222"/>
      <c r="BX675" s="222"/>
      <c r="BY675" s="222"/>
      <c r="BZ675" s="222"/>
      <c r="CA675" s="222"/>
      <c r="CB675" s="222"/>
      <c r="CC675" s="222"/>
      <c r="CD675" s="222"/>
      <c r="CE675" s="222"/>
      <c r="CF675" s="222"/>
      <c r="CG675" s="222"/>
      <c r="CH675" s="222"/>
      <c r="CI675" s="222"/>
      <c r="CJ675" s="222"/>
      <c r="CK675" s="222"/>
      <c r="CL675" s="222"/>
      <c r="CM675" s="222"/>
      <c r="CN675" s="222"/>
      <c r="CO675" s="222"/>
      <c r="CP675" s="222"/>
      <c r="CQ675" s="222"/>
      <c r="CR675" s="222"/>
      <c r="CS675" s="222"/>
    </row>
    <row r="676">
      <c r="A676" s="43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  <c r="AE676" s="222"/>
      <c r="AF676" s="222"/>
      <c r="AG676" s="222"/>
      <c r="AH676" s="222"/>
      <c r="AI676" s="222"/>
      <c r="AJ676" s="222"/>
      <c r="AK676" s="222"/>
      <c r="AL676" s="222"/>
      <c r="AM676" s="222"/>
      <c r="AN676" s="222"/>
      <c r="AO676" s="222"/>
      <c r="AP676" s="222"/>
      <c r="AQ676" s="222"/>
      <c r="AR676" s="222"/>
      <c r="AS676" s="222"/>
      <c r="AT676" s="222"/>
      <c r="AU676" s="222"/>
      <c r="AV676" s="222"/>
      <c r="AW676" s="222"/>
      <c r="AX676" s="222"/>
      <c r="AY676" s="222"/>
      <c r="AZ676" s="222"/>
      <c r="BA676" s="222"/>
      <c r="BB676" s="222"/>
      <c r="BC676" s="222"/>
      <c r="BD676" s="222"/>
      <c r="BE676" s="222"/>
      <c r="BF676" s="222"/>
      <c r="BG676" s="222"/>
      <c r="BH676" s="222"/>
      <c r="BI676" s="222"/>
      <c r="BJ676" s="222"/>
      <c r="BK676" s="222"/>
      <c r="BL676" s="222"/>
      <c r="BM676" s="222"/>
      <c r="BN676" s="222"/>
      <c r="BO676" s="222"/>
      <c r="BP676" s="222"/>
      <c r="BQ676" s="222"/>
      <c r="BR676" s="222"/>
      <c r="BS676" s="222"/>
      <c r="BT676" s="222"/>
      <c r="BU676" s="222"/>
      <c r="BV676" s="222"/>
      <c r="BW676" s="222"/>
      <c r="BX676" s="222"/>
      <c r="BY676" s="222"/>
      <c r="BZ676" s="222"/>
      <c r="CA676" s="222"/>
      <c r="CB676" s="222"/>
      <c r="CC676" s="222"/>
      <c r="CD676" s="222"/>
      <c r="CE676" s="222"/>
      <c r="CF676" s="222"/>
      <c r="CG676" s="222"/>
      <c r="CH676" s="222"/>
      <c r="CI676" s="222"/>
      <c r="CJ676" s="222"/>
      <c r="CK676" s="222"/>
      <c r="CL676" s="222"/>
      <c r="CM676" s="222"/>
      <c r="CN676" s="222"/>
      <c r="CO676" s="222"/>
      <c r="CP676" s="222"/>
      <c r="CQ676" s="222"/>
      <c r="CR676" s="222"/>
      <c r="CS676" s="222"/>
    </row>
    <row r="677">
      <c r="A677" s="43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  <c r="AC677" s="222"/>
      <c r="AD677" s="222"/>
      <c r="AE677" s="222"/>
      <c r="AF677" s="222"/>
      <c r="AG677" s="222"/>
      <c r="AH677" s="222"/>
      <c r="AI677" s="222"/>
      <c r="AJ677" s="222"/>
      <c r="AK677" s="222"/>
      <c r="AL677" s="222"/>
      <c r="AM677" s="222"/>
      <c r="AN677" s="222"/>
      <c r="AO677" s="222"/>
      <c r="AP677" s="222"/>
      <c r="AQ677" s="222"/>
      <c r="AR677" s="222"/>
      <c r="AS677" s="222"/>
      <c r="AT677" s="222"/>
      <c r="AU677" s="222"/>
      <c r="AV677" s="222"/>
      <c r="AW677" s="222"/>
      <c r="AX677" s="222"/>
      <c r="AY677" s="222"/>
      <c r="AZ677" s="222"/>
      <c r="BA677" s="222"/>
      <c r="BB677" s="222"/>
      <c r="BC677" s="222"/>
      <c r="BD677" s="222"/>
      <c r="BE677" s="222"/>
      <c r="BF677" s="222"/>
      <c r="BG677" s="222"/>
      <c r="BH677" s="222"/>
      <c r="BI677" s="222"/>
      <c r="BJ677" s="222"/>
      <c r="BK677" s="222"/>
      <c r="BL677" s="222"/>
      <c r="BM677" s="222"/>
      <c r="BN677" s="222"/>
      <c r="BO677" s="222"/>
      <c r="BP677" s="222"/>
      <c r="BQ677" s="222"/>
      <c r="BR677" s="222"/>
      <c r="BS677" s="222"/>
      <c r="BT677" s="222"/>
      <c r="BU677" s="222"/>
      <c r="BV677" s="222"/>
      <c r="BW677" s="222"/>
      <c r="BX677" s="222"/>
      <c r="BY677" s="222"/>
      <c r="BZ677" s="222"/>
      <c r="CA677" s="222"/>
      <c r="CB677" s="222"/>
      <c r="CC677" s="222"/>
      <c r="CD677" s="222"/>
      <c r="CE677" s="222"/>
      <c r="CF677" s="222"/>
      <c r="CG677" s="222"/>
      <c r="CH677" s="222"/>
      <c r="CI677" s="222"/>
      <c r="CJ677" s="222"/>
      <c r="CK677" s="222"/>
      <c r="CL677" s="222"/>
      <c r="CM677" s="222"/>
      <c r="CN677" s="222"/>
      <c r="CO677" s="222"/>
      <c r="CP677" s="222"/>
      <c r="CQ677" s="222"/>
      <c r="CR677" s="222"/>
      <c r="CS677" s="222"/>
    </row>
    <row r="678">
      <c r="A678" s="43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  <c r="AC678" s="222"/>
      <c r="AD678" s="222"/>
      <c r="AE678" s="222"/>
      <c r="AF678" s="222"/>
      <c r="AG678" s="222"/>
      <c r="AH678" s="222"/>
      <c r="AI678" s="222"/>
      <c r="AJ678" s="222"/>
      <c r="AK678" s="222"/>
      <c r="AL678" s="222"/>
      <c r="AM678" s="222"/>
      <c r="AN678" s="222"/>
      <c r="AO678" s="222"/>
      <c r="AP678" s="222"/>
      <c r="AQ678" s="222"/>
      <c r="AR678" s="222"/>
      <c r="AS678" s="222"/>
      <c r="AT678" s="222"/>
      <c r="AU678" s="222"/>
      <c r="AV678" s="222"/>
      <c r="AW678" s="222"/>
      <c r="AX678" s="222"/>
      <c r="AY678" s="222"/>
      <c r="AZ678" s="222"/>
      <c r="BA678" s="222"/>
      <c r="BB678" s="222"/>
      <c r="BC678" s="222"/>
      <c r="BD678" s="222"/>
      <c r="BE678" s="222"/>
      <c r="BF678" s="222"/>
      <c r="BG678" s="222"/>
      <c r="BH678" s="222"/>
      <c r="BI678" s="222"/>
      <c r="BJ678" s="222"/>
      <c r="BK678" s="222"/>
      <c r="BL678" s="222"/>
      <c r="BM678" s="222"/>
      <c r="BN678" s="222"/>
      <c r="BO678" s="222"/>
      <c r="BP678" s="222"/>
      <c r="BQ678" s="222"/>
      <c r="BR678" s="222"/>
      <c r="BS678" s="222"/>
      <c r="BT678" s="222"/>
      <c r="BU678" s="222"/>
      <c r="BV678" s="222"/>
      <c r="BW678" s="222"/>
      <c r="BX678" s="222"/>
      <c r="BY678" s="222"/>
      <c r="BZ678" s="222"/>
      <c r="CA678" s="222"/>
      <c r="CB678" s="222"/>
      <c r="CC678" s="222"/>
      <c r="CD678" s="222"/>
      <c r="CE678" s="222"/>
      <c r="CF678" s="222"/>
      <c r="CG678" s="222"/>
      <c r="CH678" s="222"/>
      <c r="CI678" s="222"/>
      <c r="CJ678" s="222"/>
      <c r="CK678" s="222"/>
      <c r="CL678" s="222"/>
      <c r="CM678" s="222"/>
      <c r="CN678" s="222"/>
      <c r="CO678" s="222"/>
      <c r="CP678" s="222"/>
      <c r="CQ678" s="222"/>
      <c r="CR678" s="222"/>
      <c r="CS678" s="222"/>
    </row>
    <row r="679">
      <c r="A679" s="43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  <c r="AC679" s="222"/>
      <c r="AD679" s="222"/>
      <c r="AE679" s="222"/>
      <c r="AF679" s="222"/>
      <c r="AG679" s="222"/>
      <c r="AH679" s="222"/>
      <c r="AI679" s="222"/>
      <c r="AJ679" s="222"/>
      <c r="AK679" s="222"/>
      <c r="AL679" s="222"/>
      <c r="AM679" s="222"/>
      <c r="AN679" s="222"/>
      <c r="AO679" s="222"/>
      <c r="AP679" s="222"/>
      <c r="AQ679" s="222"/>
      <c r="AR679" s="222"/>
      <c r="AS679" s="222"/>
      <c r="AT679" s="222"/>
      <c r="AU679" s="222"/>
      <c r="AV679" s="222"/>
      <c r="AW679" s="222"/>
      <c r="AX679" s="222"/>
      <c r="AY679" s="222"/>
      <c r="AZ679" s="222"/>
      <c r="BA679" s="222"/>
      <c r="BB679" s="222"/>
      <c r="BC679" s="222"/>
      <c r="BD679" s="222"/>
      <c r="BE679" s="222"/>
      <c r="BF679" s="222"/>
      <c r="BG679" s="222"/>
      <c r="BH679" s="222"/>
      <c r="BI679" s="222"/>
      <c r="BJ679" s="222"/>
      <c r="BK679" s="222"/>
      <c r="BL679" s="222"/>
      <c r="BM679" s="222"/>
      <c r="BN679" s="222"/>
      <c r="BO679" s="222"/>
      <c r="BP679" s="222"/>
      <c r="BQ679" s="222"/>
      <c r="BR679" s="222"/>
      <c r="BS679" s="222"/>
      <c r="BT679" s="222"/>
      <c r="BU679" s="222"/>
      <c r="BV679" s="222"/>
      <c r="BW679" s="222"/>
      <c r="BX679" s="222"/>
      <c r="BY679" s="222"/>
      <c r="BZ679" s="222"/>
      <c r="CA679" s="222"/>
      <c r="CB679" s="222"/>
      <c r="CC679" s="222"/>
      <c r="CD679" s="222"/>
      <c r="CE679" s="222"/>
      <c r="CF679" s="222"/>
      <c r="CG679" s="222"/>
      <c r="CH679" s="222"/>
      <c r="CI679" s="222"/>
      <c r="CJ679" s="222"/>
      <c r="CK679" s="222"/>
      <c r="CL679" s="222"/>
      <c r="CM679" s="222"/>
      <c r="CN679" s="222"/>
      <c r="CO679" s="222"/>
      <c r="CP679" s="222"/>
      <c r="CQ679" s="222"/>
      <c r="CR679" s="222"/>
      <c r="CS679" s="222"/>
    </row>
    <row r="680">
      <c r="A680" s="43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  <c r="AC680" s="222"/>
      <c r="AD680" s="222"/>
      <c r="AE680" s="222"/>
      <c r="AF680" s="222"/>
      <c r="AG680" s="222"/>
      <c r="AH680" s="222"/>
      <c r="AI680" s="222"/>
      <c r="AJ680" s="222"/>
      <c r="AK680" s="222"/>
      <c r="AL680" s="222"/>
      <c r="AM680" s="222"/>
      <c r="AN680" s="222"/>
      <c r="AO680" s="222"/>
      <c r="AP680" s="222"/>
      <c r="AQ680" s="222"/>
      <c r="AR680" s="222"/>
      <c r="AS680" s="222"/>
      <c r="AT680" s="222"/>
      <c r="AU680" s="222"/>
      <c r="AV680" s="222"/>
      <c r="AW680" s="222"/>
      <c r="AX680" s="222"/>
      <c r="AY680" s="222"/>
      <c r="AZ680" s="222"/>
      <c r="BA680" s="222"/>
      <c r="BB680" s="222"/>
      <c r="BC680" s="222"/>
      <c r="BD680" s="222"/>
      <c r="BE680" s="222"/>
      <c r="BF680" s="222"/>
      <c r="BG680" s="222"/>
      <c r="BH680" s="222"/>
      <c r="BI680" s="222"/>
      <c r="BJ680" s="222"/>
      <c r="BK680" s="222"/>
      <c r="BL680" s="222"/>
      <c r="BM680" s="222"/>
      <c r="BN680" s="222"/>
      <c r="BO680" s="222"/>
      <c r="BP680" s="222"/>
      <c r="BQ680" s="222"/>
      <c r="BR680" s="222"/>
      <c r="BS680" s="222"/>
      <c r="BT680" s="222"/>
      <c r="BU680" s="222"/>
      <c r="BV680" s="222"/>
      <c r="BW680" s="222"/>
      <c r="BX680" s="222"/>
      <c r="BY680" s="222"/>
      <c r="BZ680" s="222"/>
      <c r="CA680" s="222"/>
      <c r="CB680" s="222"/>
      <c r="CC680" s="222"/>
      <c r="CD680" s="222"/>
      <c r="CE680" s="222"/>
      <c r="CF680" s="222"/>
      <c r="CG680" s="222"/>
      <c r="CH680" s="222"/>
      <c r="CI680" s="222"/>
      <c r="CJ680" s="222"/>
      <c r="CK680" s="222"/>
      <c r="CL680" s="222"/>
      <c r="CM680" s="222"/>
      <c r="CN680" s="222"/>
      <c r="CO680" s="222"/>
      <c r="CP680" s="222"/>
      <c r="CQ680" s="222"/>
      <c r="CR680" s="222"/>
      <c r="CS680" s="222"/>
    </row>
    <row r="681">
      <c r="A681" s="43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  <c r="AC681" s="222"/>
      <c r="AD681" s="222"/>
      <c r="AE681" s="222"/>
      <c r="AF681" s="222"/>
      <c r="AG681" s="222"/>
      <c r="AH681" s="222"/>
      <c r="AI681" s="222"/>
      <c r="AJ681" s="222"/>
      <c r="AK681" s="222"/>
      <c r="AL681" s="222"/>
      <c r="AM681" s="222"/>
      <c r="AN681" s="222"/>
      <c r="AO681" s="222"/>
      <c r="AP681" s="222"/>
      <c r="AQ681" s="222"/>
      <c r="AR681" s="222"/>
      <c r="AS681" s="222"/>
      <c r="AT681" s="222"/>
      <c r="AU681" s="222"/>
      <c r="AV681" s="222"/>
      <c r="AW681" s="222"/>
      <c r="AX681" s="222"/>
      <c r="AY681" s="222"/>
      <c r="AZ681" s="222"/>
      <c r="BA681" s="222"/>
      <c r="BB681" s="222"/>
      <c r="BC681" s="222"/>
      <c r="BD681" s="222"/>
      <c r="BE681" s="222"/>
      <c r="BF681" s="222"/>
      <c r="BG681" s="222"/>
      <c r="BH681" s="222"/>
      <c r="BI681" s="222"/>
      <c r="BJ681" s="222"/>
      <c r="BK681" s="222"/>
      <c r="BL681" s="222"/>
      <c r="BM681" s="222"/>
      <c r="BN681" s="222"/>
      <c r="BO681" s="222"/>
      <c r="BP681" s="222"/>
      <c r="BQ681" s="222"/>
      <c r="BR681" s="222"/>
      <c r="BS681" s="222"/>
      <c r="BT681" s="222"/>
      <c r="BU681" s="222"/>
      <c r="BV681" s="222"/>
      <c r="BW681" s="222"/>
      <c r="BX681" s="222"/>
      <c r="BY681" s="222"/>
      <c r="BZ681" s="222"/>
      <c r="CA681" s="222"/>
      <c r="CB681" s="222"/>
      <c r="CC681" s="222"/>
      <c r="CD681" s="222"/>
      <c r="CE681" s="222"/>
      <c r="CF681" s="222"/>
      <c r="CG681" s="222"/>
      <c r="CH681" s="222"/>
      <c r="CI681" s="222"/>
      <c r="CJ681" s="222"/>
      <c r="CK681" s="222"/>
      <c r="CL681" s="222"/>
      <c r="CM681" s="222"/>
      <c r="CN681" s="222"/>
      <c r="CO681" s="222"/>
      <c r="CP681" s="222"/>
      <c r="CQ681" s="222"/>
      <c r="CR681" s="222"/>
      <c r="CS681" s="222"/>
    </row>
    <row r="682">
      <c r="A682" s="43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  <c r="AC682" s="222"/>
      <c r="AD682" s="222"/>
      <c r="AE682" s="222"/>
      <c r="AF682" s="222"/>
      <c r="AG682" s="222"/>
      <c r="AH682" s="222"/>
      <c r="AI682" s="222"/>
      <c r="AJ682" s="222"/>
      <c r="AK682" s="222"/>
      <c r="AL682" s="222"/>
      <c r="AM682" s="222"/>
      <c r="AN682" s="222"/>
      <c r="AO682" s="222"/>
      <c r="AP682" s="222"/>
      <c r="AQ682" s="222"/>
      <c r="AR682" s="222"/>
      <c r="AS682" s="222"/>
      <c r="AT682" s="222"/>
      <c r="AU682" s="222"/>
      <c r="AV682" s="222"/>
      <c r="AW682" s="222"/>
      <c r="AX682" s="222"/>
      <c r="AY682" s="222"/>
      <c r="AZ682" s="222"/>
      <c r="BA682" s="222"/>
      <c r="BB682" s="222"/>
      <c r="BC682" s="222"/>
      <c r="BD682" s="222"/>
      <c r="BE682" s="222"/>
      <c r="BF682" s="222"/>
      <c r="BG682" s="222"/>
      <c r="BH682" s="222"/>
      <c r="BI682" s="222"/>
      <c r="BJ682" s="222"/>
      <c r="BK682" s="222"/>
      <c r="BL682" s="222"/>
      <c r="BM682" s="222"/>
      <c r="BN682" s="222"/>
      <c r="BO682" s="222"/>
      <c r="BP682" s="222"/>
      <c r="BQ682" s="222"/>
      <c r="BR682" s="222"/>
      <c r="BS682" s="222"/>
      <c r="BT682" s="222"/>
      <c r="BU682" s="222"/>
      <c r="BV682" s="222"/>
      <c r="BW682" s="222"/>
      <c r="BX682" s="222"/>
      <c r="BY682" s="222"/>
      <c r="BZ682" s="222"/>
      <c r="CA682" s="222"/>
      <c r="CB682" s="222"/>
      <c r="CC682" s="222"/>
      <c r="CD682" s="222"/>
      <c r="CE682" s="222"/>
      <c r="CF682" s="222"/>
      <c r="CG682" s="222"/>
      <c r="CH682" s="222"/>
      <c r="CI682" s="222"/>
      <c r="CJ682" s="222"/>
      <c r="CK682" s="222"/>
      <c r="CL682" s="222"/>
      <c r="CM682" s="222"/>
      <c r="CN682" s="222"/>
      <c r="CO682" s="222"/>
      <c r="CP682" s="222"/>
      <c r="CQ682" s="222"/>
      <c r="CR682" s="222"/>
      <c r="CS682" s="222"/>
    </row>
    <row r="683">
      <c r="A683" s="43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  <c r="AC683" s="222"/>
      <c r="AD683" s="222"/>
      <c r="AE683" s="222"/>
      <c r="AF683" s="222"/>
      <c r="AG683" s="222"/>
      <c r="AH683" s="222"/>
      <c r="AI683" s="222"/>
      <c r="AJ683" s="222"/>
      <c r="AK683" s="222"/>
      <c r="AL683" s="222"/>
      <c r="AM683" s="222"/>
      <c r="AN683" s="222"/>
      <c r="AO683" s="222"/>
      <c r="AP683" s="222"/>
      <c r="AQ683" s="222"/>
      <c r="AR683" s="222"/>
      <c r="AS683" s="222"/>
      <c r="AT683" s="222"/>
      <c r="AU683" s="222"/>
      <c r="AV683" s="222"/>
      <c r="AW683" s="222"/>
      <c r="AX683" s="222"/>
      <c r="AY683" s="222"/>
      <c r="AZ683" s="222"/>
      <c r="BA683" s="222"/>
      <c r="BB683" s="222"/>
      <c r="BC683" s="222"/>
      <c r="BD683" s="222"/>
      <c r="BE683" s="222"/>
      <c r="BF683" s="222"/>
      <c r="BG683" s="222"/>
      <c r="BH683" s="222"/>
      <c r="BI683" s="222"/>
      <c r="BJ683" s="222"/>
      <c r="BK683" s="222"/>
      <c r="BL683" s="222"/>
      <c r="BM683" s="222"/>
      <c r="BN683" s="222"/>
      <c r="BO683" s="222"/>
      <c r="BP683" s="222"/>
      <c r="BQ683" s="222"/>
      <c r="BR683" s="222"/>
      <c r="BS683" s="222"/>
      <c r="BT683" s="222"/>
      <c r="BU683" s="222"/>
      <c r="BV683" s="222"/>
      <c r="BW683" s="222"/>
      <c r="BX683" s="222"/>
      <c r="BY683" s="222"/>
      <c r="BZ683" s="222"/>
      <c r="CA683" s="222"/>
      <c r="CB683" s="222"/>
      <c r="CC683" s="222"/>
      <c r="CD683" s="222"/>
      <c r="CE683" s="222"/>
      <c r="CF683" s="222"/>
      <c r="CG683" s="222"/>
      <c r="CH683" s="222"/>
      <c r="CI683" s="222"/>
      <c r="CJ683" s="222"/>
      <c r="CK683" s="222"/>
      <c r="CL683" s="222"/>
      <c r="CM683" s="222"/>
      <c r="CN683" s="222"/>
      <c r="CO683" s="222"/>
      <c r="CP683" s="222"/>
      <c r="CQ683" s="222"/>
      <c r="CR683" s="222"/>
      <c r="CS683" s="222"/>
    </row>
    <row r="684">
      <c r="A684" s="43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  <c r="AC684" s="222"/>
      <c r="AD684" s="222"/>
      <c r="AE684" s="222"/>
      <c r="AF684" s="222"/>
      <c r="AG684" s="222"/>
      <c r="AH684" s="222"/>
      <c r="AI684" s="222"/>
      <c r="AJ684" s="222"/>
      <c r="AK684" s="222"/>
      <c r="AL684" s="222"/>
      <c r="AM684" s="222"/>
      <c r="AN684" s="222"/>
      <c r="AO684" s="222"/>
      <c r="AP684" s="222"/>
      <c r="AQ684" s="222"/>
      <c r="AR684" s="222"/>
      <c r="AS684" s="222"/>
      <c r="AT684" s="222"/>
      <c r="AU684" s="222"/>
      <c r="AV684" s="222"/>
      <c r="AW684" s="222"/>
      <c r="AX684" s="222"/>
      <c r="AY684" s="222"/>
      <c r="AZ684" s="222"/>
      <c r="BA684" s="222"/>
      <c r="BB684" s="222"/>
      <c r="BC684" s="222"/>
      <c r="BD684" s="222"/>
      <c r="BE684" s="222"/>
      <c r="BF684" s="222"/>
      <c r="BG684" s="222"/>
      <c r="BH684" s="222"/>
      <c r="BI684" s="222"/>
      <c r="BJ684" s="222"/>
      <c r="BK684" s="222"/>
      <c r="BL684" s="222"/>
      <c r="BM684" s="222"/>
      <c r="BN684" s="222"/>
      <c r="BO684" s="222"/>
      <c r="BP684" s="222"/>
      <c r="BQ684" s="222"/>
      <c r="BR684" s="222"/>
      <c r="BS684" s="222"/>
      <c r="BT684" s="222"/>
      <c r="BU684" s="222"/>
      <c r="BV684" s="222"/>
      <c r="BW684" s="222"/>
      <c r="BX684" s="222"/>
      <c r="BY684" s="222"/>
      <c r="BZ684" s="222"/>
      <c r="CA684" s="222"/>
      <c r="CB684" s="222"/>
      <c r="CC684" s="222"/>
      <c r="CD684" s="222"/>
      <c r="CE684" s="222"/>
      <c r="CF684" s="222"/>
      <c r="CG684" s="222"/>
      <c r="CH684" s="222"/>
      <c r="CI684" s="222"/>
      <c r="CJ684" s="222"/>
      <c r="CK684" s="222"/>
      <c r="CL684" s="222"/>
      <c r="CM684" s="222"/>
      <c r="CN684" s="222"/>
      <c r="CO684" s="222"/>
      <c r="CP684" s="222"/>
      <c r="CQ684" s="222"/>
      <c r="CR684" s="222"/>
      <c r="CS684" s="222"/>
    </row>
    <row r="685">
      <c r="A685" s="43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  <c r="AC685" s="222"/>
      <c r="AD685" s="222"/>
      <c r="AE685" s="222"/>
      <c r="AF685" s="222"/>
      <c r="AG685" s="222"/>
      <c r="AH685" s="222"/>
      <c r="AI685" s="222"/>
      <c r="AJ685" s="222"/>
      <c r="AK685" s="222"/>
      <c r="AL685" s="222"/>
      <c r="AM685" s="222"/>
      <c r="AN685" s="222"/>
      <c r="AO685" s="222"/>
      <c r="AP685" s="222"/>
      <c r="AQ685" s="222"/>
      <c r="AR685" s="222"/>
      <c r="AS685" s="222"/>
      <c r="AT685" s="222"/>
      <c r="AU685" s="222"/>
      <c r="AV685" s="222"/>
      <c r="AW685" s="222"/>
      <c r="AX685" s="222"/>
      <c r="AY685" s="222"/>
      <c r="AZ685" s="222"/>
      <c r="BA685" s="222"/>
      <c r="BB685" s="222"/>
      <c r="BC685" s="222"/>
      <c r="BD685" s="222"/>
      <c r="BE685" s="222"/>
      <c r="BF685" s="222"/>
      <c r="BG685" s="222"/>
      <c r="BH685" s="222"/>
      <c r="BI685" s="222"/>
      <c r="BJ685" s="222"/>
      <c r="BK685" s="222"/>
      <c r="BL685" s="222"/>
      <c r="BM685" s="222"/>
      <c r="BN685" s="222"/>
      <c r="BO685" s="222"/>
      <c r="BP685" s="222"/>
      <c r="BQ685" s="222"/>
      <c r="BR685" s="222"/>
      <c r="BS685" s="222"/>
      <c r="BT685" s="222"/>
      <c r="BU685" s="222"/>
      <c r="BV685" s="222"/>
      <c r="BW685" s="222"/>
      <c r="BX685" s="222"/>
      <c r="BY685" s="222"/>
      <c r="BZ685" s="222"/>
      <c r="CA685" s="222"/>
      <c r="CB685" s="222"/>
      <c r="CC685" s="222"/>
      <c r="CD685" s="222"/>
      <c r="CE685" s="222"/>
      <c r="CF685" s="222"/>
      <c r="CG685" s="222"/>
      <c r="CH685" s="222"/>
      <c r="CI685" s="222"/>
      <c r="CJ685" s="222"/>
      <c r="CK685" s="222"/>
      <c r="CL685" s="222"/>
      <c r="CM685" s="222"/>
      <c r="CN685" s="222"/>
      <c r="CO685" s="222"/>
      <c r="CP685" s="222"/>
      <c r="CQ685" s="222"/>
      <c r="CR685" s="222"/>
      <c r="CS685" s="222"/>
    </row>
    <row r="686">
      <c r="A686" s="43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  <c r="AC686" s="222"/>
      <c r="AD686" s="222"/>
      <c r="AE686" s="222"/>
      <c r="AF686" s="222"/>
      <c r="AG686" s="222"/>
      <c r="AH686" s="222"/>
      <c r="AI686" s="222"/>
      <c r="AJ686" s="222"/>
      <c r="AK686" s="222"/>
      <c r="AL686" s="222"/>
      <c r="AM686" s="222"/>
      <c r="AN686" s="222"/>
      <c r="AO686" s="222"/>
      <c r="AP686" s="222"/>
      <c r="AQ686" s="222"/>
      <c r="AR686" s="222"/>
      <c r="AS686" s="222"/>
      <c r="AT686" s="222"/>
      <c r="AU686" s="222"/>
      <c r="AV686" s="222"/>
      <c r="AW686" s="222"/>
      <c r="AX686" s="222"/>
      <c r="AY686" s="222"/>
      <c r="AZ686" s="222"/>
      <c r="BA686" s="222"/>
      <c r="BB686" s="222"/>
      <c r="BC686" s="222"/>
      <c r="BD686" s="222"/>
      <c r="BE686" s="222"/>
      <c r="BF686" s="222"/>
      <c r="BG686" s="222"/>
      <c r="BH686" s="222"/>
      <c r="BI686" s="222"/>
      <c r="BJ686" s="222"/>
      <c r="BK686" s="222"/>
      <c r="BL686" s="222"/>
      <c r="BM686" s="222"/>
      <c r="BN686" s="222"/>
      <c r="BO686" s="222"/>
      <c r="BP686" s="222"/>
      <c r="BQ686" s="222"/>
      <c r="BR686" s="222"/>
      <c r="BS686" s="222"/>
      <c r="BT686" s="222"/>
      <c r="BU686" s="222"/>
      <c r="BV686" s="222"/>
      <c r="BW686" s="222"/>
      <c r="BX686" s="222"/>
      <c r="BY686" s="222"/>
      <c r="BZ686" s="222"/>
      <c r="CA686" s="222"/>
      <c r="CB686" s="222"/>
      <c r="CC686" s="222"/>
      <c r="CD686" s="222"/>
      <c r="CE686" s="222"/>
      <c r="CF686" s="222"/>
      <c r="CG686" s="222"/>
      <c r="CH686" s="222"/>
      <c r="CI686" s="222"/>
      <c r="CJ686" s="222"/>
      <c r="CK686" s="222"/>
      <c r="CL686" s="222"/>
      <c r="CM686" s="222"/>
      <c r="CN686" s="222"/>
      <c r="CO686" s="222"/>
      <c r="CP686" s="222"/>
      <c r="CQ686" s="222"/>
      <c r="CR686" s="222"/>
      <c r="CS686" s="222"/>
    </row>
    <row r="687">
      <c r="A687" s="43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  <c r="AC687" s="222"/>
      <c r="AD687" s="222"/>
      <c r="AE687" s="222"/>
      <c r="AF687" s="222"/>
      <c r="AG687" s="222"/>
      <c r="AH687" s="222"/>
      <c r="AI687" s="222"/>
      <c r="AJ687" s="222"/>
      <c r="AK687" s="222"/>
      <c r="AL687" s="222"/>
      <c r="AM687" s="222"/>
      <c r="AN687" s="222"/>
      <c r="AO687" s="222"/>
      <c r="AP687" s="222"/>
      <c r="AQ687" s="222"/>
      <c r="AR687" s="222"/>
      <c r="AS687" s="222"/>
      <c r="AT687" s="222"/>
      <c r="AU687" s="222"/>
      <c r="AV687" s="222"/>
      <c r="AW687" s="222"/>
      <c r="AX687" s="222"/>
      <c r="AY687" s="222"/>
      <c r="AZ687" s="222"/>
      <c r="BA687" s="222"/>
      <c r="BB687" s="222"/>
      <c r="BC687" s="222"/>
      <c r="BD687" s="222"/>
      <c r="BE687" s="222"/>
      <c r="BF687" s="222"/>
      <c r="BG687" s="222"/>
      <c r="BH687" s="222"/>
      <c r="BI687" s="222"/>
      <c r="BJ687" s="222"/>
      <c r="BK687" s="222"/>
      <c r="BL687" s="222"/>
      <c r="BM687" s="222"/>
      <c r="BN687" s="222"/>
      <c r="BO687" s="222"/>
      <c r="BP687" s="222"/>
      <c r="BQ687" s="222"/>
      <c r="BR687" s="222"/>
      <c r="BS687" s="222"/>
      <c r="BT687" s="222"/>
      <c r="BU687" s="222"/>
      <c r="BV687" s="222"/>
      <c r="BW687" s="222"/>
      <c r="BX687" s="222"/>
      <c r="BY687" s="222"/>
      <c r="BZ687" s="222"/>
      <c r="CA687" s="222"/>
      <c r="CB687" s="222"/>
      <c r="CC687" s="222"/>
      <c r="CD687" s="222"/>
      <c r="CE687" s="222"/>
      <c r="CF687" s="222"/>
      <c r="CG687" s="222"/>
      <c r="CH687" s="222"/>
      <c r="CI687" s="222"/>
      <c r="CJ687" s="222"/>
      <c r="CK687" s="222"/>
      <c r="CL687" s="222"/>
      <c r="CM687" s="222"/>
      <c r="CN687" s="222"/>
      <c r="CO687" s="222"/>
      <c r="CP687" s="222"/>
      <c r="CQ687" s="222"/>
      <c r="CR687" s="222"/>
      <c r="CS687" s="222"/>
    </row>
    <row r="688">
      <c r="A688" s="43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  <c r="AC688" s="222"/>
      <c r="AD688" s="222"/>
      <c r="AE688" s="222"/>
      <c r="AF688" s="222"/>
      <c r="AG688" s="222"/>
      <c r="AH688" s="222"/>
      <c r="AI688" s="222"/>
      <c r="AJ688" s="222"/>
      <c r="AK688" s="222"/>
      <c r="AL688" s="222"/>
      <c r="AM688" s="222"/>
      <c r="AN688" s="222"/>
      <c r="AO688" s="222"/>
      <c r="AP688" s="222"/>
      <c r="AQ688" s="222"/>
      <c r="AR688" s="222"/>
      <c r="AS688" s="222"/>
      <c r="AT688" s="222"/>
      <c r="AU688" s="222"/>
      <c r="AV688" s="222"/>
      <c r="AW688" s="222"/>
      <c r="AX688" s="222"/>
      <c r="AY688" s="222"/>
      <c r="AZ688" s="222"/>
      <c r="BA688" s="222"/>
      <c r="BB688" s="222"/>
      <c r="BC688" s="222"/>
      <c r="BD688" s="222"/>
      <c r="BE688" s="222"/>
      <c r="BF688" s="222"/>
      <c r="BG688" s="222"/>
      <c r="BH688" s="222"/>
      <c r="BI688" s="222"/>
      <c r="BJ688" s="222"/>
      <c r="BK688" s="222"/>
      <c r="BL688" s="222"/>
      <c r="BM688" s="222"/>
      <c r="BN688" s="222"/>
      <c r="BO688" s="222"/>
      <c r="BP688" s="222"/>
      <c r="BQ688" s="222"/>
      <c r="BR688" s="222"/>
      <c r="BS688" s="222"/>
      <c r="BT688" s="222"/>
      <c r="BU688" s="222"/>
      <c r="BV688" s="222"/>
      <c r="BW688" s="222"/>
      <c r="BX688" s="222"/>
      <c r="BY688" s="222"/>
      <c r="BZ688" s="222"/>
      <c r="CA688" s="222"/>
      <c r="CB688" s="222"/>
      <c r="CC688" s="222"/>
      <c r="CD688" s="222"/>
      <c r="CE688" s="222"/>
      <c r="CF688" s="222"/>
      <c r="CG688" s="222"/>
      <c r="CH688" s="222"/>
      <c r="CI688" s="222"/>
      <c r="CJ688" s="222"/>
      <c r="CK688" s="222"/>
      <c r="CL688" s="222"/>
      <c r="CM688" s="222"/>
      <c r="CN688" s="222"/>
      <c r="CO688" s="222"/>
      <c r="CP688" s="222"/>
      <c r="CQ688" s="222"/>
      <c r="CR688" s="222"/>
      <c r="CS688" s="222"/>
    </row>
    <row r="689">
      <c r="A689" s="43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  <c r="AC689" s="222"/>
      <c r="AD689" s="222"/>
      <c r="AE689" s="222"/>
      <c r="AF689" s="222"/>
      <c r="AG689" s="222"/>
      <c r="AH689" s="222"/>
      <c r="AI689" s="222"/>
      <c r="AJ689" s="222"/>
      <c r="AK689" s="222"/>
      <c r="AL689" s="222"/>
      <c r="AM689" s="222"/>
      <c r="AN689" s="222"/>
      <c r="AO689" s="222"/>
      <c r="AP689" s="222"/>
      <c r="AQ689" s="222"/>
      <c r="AR689" s="222"/>
      <c r="AS689" s="222"/>
      <c r="AT689" s="222"/>
      <c r="AU689" s="222"/>
      <c r="AV689" s="222"/>
      <c r="AW689" s="222"/>
      <c r="AX689" s="222"/>
      <c r="AY689" s="222"/>
      <c r="AZ689" s="222"/>
      <c r="BA689" s="222"/>
      <c r="BB689" s="222"/>
      <c r="BC689" s="222"/>
      <c r="BD689" s="222"/>
      <c r="BE689" s="222"/>
      <c r="BF689" s="222"/>
      <c r="BG689" s="222"/>
      <c r="BH689" s="222"/>
      <c r="BI689" s="222"/>
      <c r="BJ689" s="222"/>
      <c r="BK689" s="222"/>
      <c r="BL689" s="222"/>
      <c r="BM689" s="222"/>
      <c r="BN689" s="222"/>
      <c r="BO689" s="222"/>
      <c r="BP689" s="222"/>
      <c r="BQ689" s="222"/>
      <c r="BR689" s="222"/>
      <c r="BS689" s="222"/>
      <c r="BT689" s="222"/>
      <c r="BU689" s="222"/>
      <c r="BV689" s="222"/>
      <c r="BW689" s="222"/>
      <c r="BX689" s="222"/>
      <c r="BY689" s="222"/>
      <c r="BZ689" s="222"/>
      <c r="CA689" s="222"/>
      <c r="CB689" s="222"/>
      <c r="CC689" s="222"/>
      <c r="CD689" s="222"/>
      <c r="CE689" s="222"/>
      <c r="CF689" s="222"/>
      <c r="CG689" s="222"/>
      <c r="CH689" s="222"/>
      <c r="CI689" s="222"/>
      <c r="CJ689" s="222"/>
      <c r="CK689" s="222"/>
      <c r="CL689" s="222"/>
      <c r="CM689" s="222"/>
      <c r="CN689" s="222"/>
      <c r="CO689" s="222"/>
      <c r="CP689" s="222"/>
      <c r="CQ689" s="222"/>
      <c r="CR689" s="222"/>
      <c r="CS689" s="222"/>
    </row>
    <row r="690">
      <c r="A690" s="43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  <c r="AC690" s="222"/>
      <c r="AD690" s="222"/>
      <c r="AE690" s="222"/>
      <c r="AF690" s="222"/>
      <c r="AG690" s="222"/>
      <c r="AH690" s="222"/>
      <c r="AI690" s="222"/>
      <c r="AJ690" s="222"/>
      <c r="AK690" s="222"/>
      <c r="AL690" s="222"/>
      <c r="AM690" s="222"/>
      <c r="AN690" s="222"/>
      <c r="AO690" s="222"/>
      <c r="AP690" s="222"/>
      <c r="AQ690" s="222"/>
      <c r="AR690" s="222"/>
      <c r="AS690" s="222"/>
      <c r="AT690" s="222"/>
      <c r="AU690" s="222"/>
      <c r="AV690" s="222"/>
      <c r="AW690" s="222"/>
      <c r="AX690" s="222"/>
      <c r="AY690" s="222"/>
      <c r="AZ690" s="222"/>
      <c r="BA690" s="222"/>
      <c r="BB690" s="222"/>
      <c r="BC690" s="222"/>
      <c r="BD690" s="222"/>
      <c r="BE690" s="222"/>
      <c r="BF690" s="222"/>
      <c r="BG690" s="222"/>
      <c r="BH690" s="222"/>
      <c r="BI690" s="222"/>
      <c r="BJ690" s="222"/>
      <c r="BK690" s="222"/>
      <c r="BL690" s="222"/>
      <c r="BM690" s="222"/>
      <c r="BN690" s="222"/>
      <c r="BO690" s="222"/>
      <c r="BP690" s="222"/>
      <c r="BQ690" s="222"/>
      <c r="BR690" s="222"/>
      <c r="BS690" s="222"/>
      <c r="BT690" s="222"/>
      <c r="BU690" s="222"/>
      <c r="BV690" s="222"/>
      <c r="BW690" s="222"/>
      <c r="BX690" s="222"/>
      <c r="BY690" s="222"/>
      <c r="BZ690" s="222"/>
      <c r="CA690" s="222"/>
      <c r="CB690" s="222"/>
      <c r="CC690" s="222"/>
      <c r="CD690" s="222"/>
      <c r="CE690" s="222"/>
      <c r="CF690" s="222"/>
      <c r="CG690" s="222"/>
      <c r="CH690" s="222"/>
      <c r="CI690" s="222"/>
      <c r="CJ690" s="222"/>
      <c r="CK690" s="222"/>
      <c r="CL690" s="222"/>
      <c r="CM690" s="222"/>
      <c r="CN690" s="222"/>
      <c r="CO690" s="222"/>
      <c r="CP690" s="222"/>
      <c r="CQ690" s="222"/>
      <c r="CR690" s="222"/>
      <c r="CS690" s="222"/>
    </row>
    <row r="691">
      <c r="A691" s="43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  <c r="AC691" s="222"/>
      <c r="AD691" s="222"/>
      <c r="AE691" s="222"/>
      <c r="AF691" s="222"/>
      <c r="AG691" s="222"/>
      <c r="AH691" s="222"/>
      <c r="AI691" s="222"/>
      <c r="AJ691" s="222"/>
      <c r="AK691" s="222"/>
      <c r="AL691" s="222"/>
      <c r="AM691" s="222"/>
      <c r="AN691" s="222"/>
      <c r="AO691" s="222"/>
      <c r="AP691" s="222"/>
      <c r="AQ691" s="222"/>
      <c r="AR691" s="222"/>
      <c r="AS691" s="222"/>
      <c r="AT691" s="222"/>
      <c r="AU691" s="222"/>
      <c r="AV691" s="222"/>
      <c r="AW691" s="222"/>
      <c r="AX691" s="222"/>
      <c r="AY691" s="222"/>
      <c r="AZ691" s="222"/>
      <c r="BA691" s="222"/>
      <c r="BB691" s="222"/>
      <c r="BC691" s="222"/>
      <c r="BD691" s="222"/>
      <c r="BE691" s="222"/>
      <c r="BF691" s="222"/>
      <c r="BG691" s="222"/>
      <c r="BH691" s="222"/>
      <c r="BI691" s="222"/>
      <c r="BJ691" s="222"/>
      <c r="BK691" s="222"/>
      <c r="BL691" s="222"/>
      <c r="BM691" s="222"/>
      <c r="BN691" s="222"/>
      <c r="BO691" s="222"/>
      <c r="BP691" s="222"/>
      <c r="BQ691" s="222"/>
      <c r="BR691" s="222"/>
      <c r="BS691" s="222"/>
      <c r="BT691" s="222"/>
      <c r="BU691" s="222"/>
      <c r="BV691" s="222"/>
      <c r="BW691" s="222"/>
      <c r="BX691" s="222"/>
      <c r="BY691" s="222"/>
      <c r="BZ691" s="222"/>
      <c r="CA691" s="222"/>
      <c r="CB691" s="222"/>
      <c r="CC691" s="222"/>
      <c r="CD691" s="222"/>
      <c r="CE691" s="222"/>
      <c r="CF691" s="222"/>
      <c r="CG691" s="222"/>
      <c r="CH691" s="222"/>
      <c r="CI691" s="222"/>
      <c r="CJ691" s="222"/>
      <c r="CK691" s="222"/>
      <c r="CL691" s="222"/>
      <c r="CM691" s="222"/>
      <c r="CN691" s="222"/>
      <c r="CO691" s="222"/>
      <c r="CP691" s="222"/>
      <c r="CQ691" s="222"/>
      <c r="CR691" s="222"/>
      <c r="CS691" s="222"/>
    </row>
    <row r="692">
      <c r="A692" s="43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  <c r="AC692" s="222"/>
      <c r="AD692" s="222"/>
      <c r="AE692" s="222"/>
      <c r="AF692" s="222"/>
      <c r="AG692" s="222"/>
      <c r="AH692" s="222"/>
      <c r="AI692" s="222"/>
      <c r="AJ692" s="222"/>
      <c r="AK692" s="222"/>
      <c r="AL692" s="222"/>
      <c r="AM692" s="222"/>
      <c r="AN692" s="222"/>
      <c r="AO692" s="222"/>
      <c r="AP692" s="222"/>
      <c r="AQ692" s="222"/>
      <c r="AR692" s="222"/>
      <c r="AS692" s="222"/>
      <c r="AT692" s="222"/>
      <c r="AU692" s="222"/>
      <c r="AV692" s="222"/>
      <c r="AW692" s="222"/>
      <c r="AX692" s="222"/>
      <c r="AY692" s="222"/>
      <c r="AZ692" s="222"/>
      <c r="BA692" s="222"/>
      <c r="BB692" s="222"/>
      <c r="BC692" s="222"/>
      <c r="BD692" s="222"/>
      <c r="BE692" s="222"/>
      <c r="BF692" s="222"/>
      <c r="BG692" s="222"/>
      <c r="BH692" s="222"/>
      <c r="BI692" s="222"/>
      <c r="BJ692" s="222"/>
      <c r="BK692" s="222"/>
      <c r="BL692" s="222"/>
      <c r="BM692" s="222"/>
      <c r="BN692" s="222"/>
      <c r="BO692" s="222"/>
      <c r="BP692" s="222"/>
      <c r="BQ692" s="222"/>
      <c r="BR692" s="222"/>
      <c r="BS692" s="222"/>
      <c r="BT692" s="222"/>
      <c r="BU692" s="222"/>
      <c r="BV692" s="222"/>
      <c r="BW692" s="222"/>
      <c r="BX692" s="222"/>
      <c r="BY692" s="222"/>
      <c r="BZ692" s="222"/>
      <c r="CA692" s="222"/>
      <c r="CB692" s="222"/>
      <c r="CC692" s="222"/>
      <c r="CD692" s="222"/>
      <c r="CE692" s="222"/>
      <c r="CF692" s="222"/>
      <c r="CG692" s="222"/>
      <c r="CH692" s="222"/>
      <c r="CI692" s="222"/>
      <c r="CJ692" s="222"/>
      <c r="CK692" s="222"/>
      <c r="CL692" s="222"/>
      <c r="CM692" s="222"/>
      <c r="CN692" s="222"/>
      <c r="CO692" s="222"/>
      <c r="CP692" s="222"/>
      <c r="CQ692" s="222"/>
      <c r="CR692" s="222"/>
      <c r="CS692" s="222"/>
    </row>
    <row r="693">
      <c r="A693" s="43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  <c r="AC693" s="222"/>
      <c r="AD693" s="222"/>
      <c r="AE693" s="222"/>
      <c r="AF693" s="222"/>
      <c r="AG693" s="222"/>
      <c r="AH693" s="222"/>
      <c r="AI693" s="222"/>
      <c r="AJ693" s="222"/>
      <c r="AK693" s="222"/>
      <c r="AL693" s="222"/>
      <c r="AM693" s="222"/>
      <c r="AN693" s="222"/>
      <c r="AO693" s="222"/>
      <c r="AP693" s="222"/>
      <c r="AQ693" s="222"/>
      <c r="AR693" s="222"/>
      <c r="AS693" s="222"/>
      <c r="AT693" s="222"/>
      <c r="AU693" s="222"/>
      <c r="AV693" s="222"/>
      <c r="AW693" s="222"/>
      <c r="AX693" s="222"/>
      <c r="AY693" s="222"/>
      <c r="AZ693" s="222"/>
      <c r="BA693" s="222"/>
      <c r="BB693" s="222"/>
      <c r="BC693" s="222"/>
      <c r="BD693" s="222"/>
      <c r="BE693" s="222"/>
      <c r="BF693" s="222"/>
      <c r="BG693" s="222"/>
      <c r="BH693" s="222"/>
      <c r="BI693" s="222"/>
      <c r="BJ693" s="222"/>
      <c r="BK693" s="222"/>
      <c r="BL693" s="222"/>
      <c r="BM693" s="222"/>
      <c r="BN693" s="222"/>
      <c r="BO693" s="222"/>
      <c r="BP693" s="222"/>
      <c r="BQ693" s="222"/>
      <c r="BR693" s="222"/>
      <c r="BS693" s="222"/>
      <c r="BT693" s="222"/>
      <c r="BU693" s="222"/>
      <c r="BV693" s="222"/>
      <c r="BW693" s="222"/>
      <c r="BX693" s="222"/>
      <c r="BY693" s="222"/>
      <c r="BZ693" s="222"/>
      <c r="CA693" s="222"/>
      <c r="CB693" s="222"/>
      <c r="CC693" s="222"/>
      <c r="CD693" s="222"/>
      <c r="CE693" s="222"/>
      <c r="CF693" s="222"/>
      <c r="CG693" s="222"/>
      <c r="CH693" s="222"/>
      <c r="CI693" s="222"/>
      <c r="CJ693" s="222"/>
      <c r="CK693" s="222"/>
      <c r="CL693" s="222"/>
      <c r="CM693" s="222"/>
      <c r="CN693" s="222"/>
      <c r="CO693" s="222"/>
      <c r="CP693" s="222"/>
      <c r="CQ693" s="222"/>
      <c r="CR693" s="222"/>
      <c r="CS693" s="222"/>
    </row>
    <row r="694">
      <c r="A694" s="43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  <c r="AC694" s="222"/>
      <c r="AD694" s="222"/>
      <c r="AE694" s="222"/>
      <c r="AF694" s="222"/>
      <c r="AG694" s="222"/>
      <c r="AH694" s="222"/>
      <c r="AI694" s="222"/>
      <c r="AJ694" s="222"/>
      <c r="AK694" s="222"/>
      <c r="AL694" s="222"/>
      <c r="AM694" s="222"/>
      <c r="AN694" s="222"/>
      <c r="AO694" s="222"/>
      <c r="AP694" s="222"/>
      <c r="AQ694" s="222"/>
      <c r="AR694" s="222"/>
      <c r="AS694" s="222"/>
      <c r="AT694" s="222"/>
      <c r="AU694" s="222"/>
      <c r="AV694" s="222"/>
      <c r="AW694" s="222"/>
      <c r="AX694" s="222"/>
      <c r="AY694" s="222"/>
      <c r="AZ694" s="222"/>
      <c r="BA694" s="222"/>
      <c r="BB694" s="222"/>
      <c r="BC694" s="222"/>
      <c r="BD694" s="222"/>
      <c r="BE694" s="222"/>
      <c r="BF694" s="222"/>
      <c r="BG694" s="222"/>
      <c r="BH694" s="222"/>
      <c r="BI694" s="222"/>
      <c r="BJ694" s="222"/>
      <c r="BK694" s="222"/>
      <c r="BL694" s="222"/>
      <c r="BM694" s="222"/>
      <c r="BN694" s="222"/>
      <c r="BO694" s="222"/>
      <c r="BP694" s="222"/>
      <c r="BQ694" s="222"/>
      <c r="BR694" s="222"/>
      <c r="BS694" s="222"/>
      <c r="BT694" s="222"/>
      <c r="BU694" s="222"/>
      <c r="BV694" s="222"/>
      <c r="BW694" s="222"/>
      <c r="BX694" s="222"/>
      <c r="BY694" s="222"/>
      <c r="BZ694" s="222"/>
      <c r="CA694" s="222"/>
      <c r="CB694" s="222"/>
      <c r="CC694" s="222"/>
      <c r="CD694" s="222"/>
      <c r="CE694" s="222"/>
      <c r="CF694" s="222"/>
      <c r="CG694" s="222"/>
      <c r="CH694" s="222"/>
      <c r="CI694" s="222"/>
      <c r="CJ694" s="222"/>
      <c r="CK694" s="222"/>
      <c r="CL694" s="222"/>
      <c r="CM694" s="222"/>
      <c r="CN694" s="222"/>
      <c r="CO694" s="222"/>
      <c r="CP694" s="222"/>
      <c r="CQ694" s="222"/>
      <c r="CR694" s="222"/>
      <c r="CS694" s="222"/>
    </row>
    <row r="695">
      <c r="A695" s="43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  <c r="AC695" s="222"/>
      <c r="AD695" s="222"/>
      <c r="AE695" s="222"/>
      <c r="AF695" s="222"/>
      <c r="AG695" s="222"/>
      <c r="AH695" s="222"/>
      <c r="AI695" s="222"/>
      <c r="AJ695" s="222"/>
      <c r="AK695" s="222"/>
      <c r="AL695" s="222"/>
      <c r="AM695" s="222"/>
      <c r="AN695" s="222"/>
      <c r="AO695" s="222"/>
      <c r="AP695" s="222"/>
      <c r="AQ695" s="222"/>
      <c r="AR695" s="222"/>
      <c r="AS695" s="222"/>
      <c r="AT695" s="222"/>
      <c r="AU695" s="222"/>
      <c r="AV695" s="222"/>
      <c r="AW695" s="222"/>
      <c r="AX695" s="222"/>
      <c r="AY695" s="222"/>
      <c r="AZ695" s="222"/>
      <c r="BA695" s="222"/>
      <c r="BB695" s="222"/>
      <c r="BC695" s="222"/>
      <c r="BD695" s="222"/>
      <c r="BE695" s="222"/>
      <c r="BF695" s="222"/>
      <c r="BG695" s="222"/>
      <c r="BH695" s="222"/>
      <c r="BI695" s="222"/>
      <c r="BJ695" s="222"/>
      <c r="BK695" s="222"/>
      <c r="BL695" s="222"/>
      <c r="BM695" s="222"/>
      <c r="BN695" s="222"/>
      <c r="BO695" s="222"/>
      <c r="BP695" s="222"/>
      <c r="BQ695" s="222"/>
      <c r="BR695" s="222"/>
      <c r="BS695" s="222"/>
      <c r="BT695" s="222"/>
      <c r="BU695" s="222"/>
      <c r="BV695" s="222"/>
      <c r="BW695" s="222"/>
      <c r="BX695" s="222"/>
      <c r="BY695" s="222"/>
      <c r="BZ695" s="222"/>
      <c r="CA695" s="222"/>
      <c r="CB695" s="222"/>
      <c r="CC695" s="222"/>
      <c r="CD695" s="222"/>
      <c r="CE695" s="222"/>
      <c r="CF695" s="222"/>
      <c r="CG695" s="222"/>
      <c r="CH695" s="222"/>
      <c r="CI695" s="222"/>
      <c r="CJ695" s="222"/>
      <c r="CK695" s="222"/>
      <c r="CL695" s="222"/>
      <c r="CM695" s="222"/>
      <c r="CN695" s="222"/>
      <c r="CO695" s="222"/>
      <c r="CP695" s="222"/>
      <c r="CQ695" s="222"/>
      <c r="CR695" s="222"/>
      <c r="CS695" s="222"/>
    </row>
    <row r="696">
      <c r="A696" s="43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  <c r="AC696" s="222"/>
      <c r="AD696" s="222"/>
      <c r="AE696" s="222"/>
      <c r="AF696" s="222"/>
      <c r="AG696" s="222"/>
      <c r="AH696" s="222"/>
      <c r="AI696" s="222"/>
      <c r="AJ696" s="222"/>
      <c r="AK696" s="222"/>
      <c r="AL696" s="222"/>
      <c r="AM696" s="222"/>
      <c r="AN696" s="222"/>
      <c r="AO696" s="222"/>
      <c r="AP696" s="222"/>
      <c r="AQ696" s="222"/>
      <c r="AR696" s="222"/>
      <c r="AS696" s="222"/>
      <c r="AT696" s="222"/>
      <c r="AU696" s="222"/>
      <c r="AV696" s="222"/>
      <c r="AW696" s="222"/>
      <c r="AX696" s="222"/>
      <c r="AY696" s="222"/>
      <c r="AZ696" s="222"/>
      <c r="BA696" s="222"/>
      <c r="BB696" s="222"/>
      <c r="BC696" s="222"/>
      <c r="BD696" s="222"/>
      <c r="BE696" s="222"/>
      <c r="BF696" s="222"/>
      <c r="BG696" s="222"/>
      <c r="BH696" s="222"/>
      <c r="BI696" s="222"/>
      <c r="BJ696" s="222"/>
      <c r="BK696" s="222"/>
      <c r="BL696" s="222"/>
      <c r="BM696" s="222"/>
      <c r="BN696" s="222"/>
      <c r="BO696" s="222"/>
      <c r="BP696" s="222"/>
      <c r="BQ696" s="222"/>
      <c r="BR696" s="222"/>
      <c r="BS696" s="222"/>
      <c r="BT696" s="222"/>
      <c r="BU696" s="222"/>
      <c r="BV696" s="222"/>
      <c r="BW696" s="222"/>
      <c r="BX696" s="222"/>
      <c r="BY696" s="222"/>
      <c r="BZ696" s="222"/>
      <c r="CA696" s="222"/>
      <c r="CB696" s="222"/>
      <c r="CC696" s="222"/>
      <c r="CD696" s="222"/>
      <c r="CE696" s="222"/>
      <c r="CF696" s="222"/>
      <c r="CG696" s="222"/>
      <c r="CH696" s="222"/>
      <c r="CI696" s="222"/>
      <c r="CJ696" s="222"/>
      <c r="CK696" s="222"/>
      <c r="CL696" s="222"/>
      <c r="CM696" s="222"/>
      <c r="CN696" s="222"/>
      <c r="CO696" s="222"/>
      <c r="CP696" s="222"/>
      <c r="CQ696" s="222"/>
      <c r="CR696" s="222"/>
      <c r="CS696" s="222"/>
    </row>
    <row r="697">
      <c r="A697" s="43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  <c r="AC697" s="222"/>
      <c r="AD697" s="222"/>
      <c r="AE697" s="222"/>
      <c r="AF697" s="222"/>
      <c r="AG697" s="222"/>
      <c r="AH697" s="222"/>
      <c r="AI697" s="222"/>
      <c r="AJ697" s="222"/>
      <c r="AK697" s="222"/>
      <c r="AL697" s="222"/>
      <c r="AM697" s="222"/>
      <c r="AN697" s="222"/>
      <c r="AO697" s="222"/>
      <c r="AP697" s="222"/>
      <c r="AQ697" s="222"/>
      <c r="AR697" s="222"/>
      <c r="AS697" s="222"/>
      <c r="AT697" s="222"/>
      <c r="AU697" s="222"/>
      <c r="AV697" s="222"/>
      <c r="AW697" s="222"/>
      <c r="AX697" s="222"/>
      <c r="AY697" s="222"/>
      <c r="AZ697" s="222"/>
      <c r="BA697" s="222"/>
      <c r="BB697" s="222"/>
      <c r="BC697" s="222"/>
      <c r="BD697" s="222"/>
      <c r="BE697" s="222"/>
      <c r="BF697" s="222"/>
      <c r="BG697" s="222"/>
      <c r="BH697" s="222"/>
      <c r="BI697" s="222"/>
      <c r="BJ697" s="222"/>
      <c r="BK697" s="222"/>
      <c r="BL697" s="222"/>
      <c r="BM697" s="222"/>
      <c r="BN697" s="222"/>
      <c r="BO697" s="222"/>
      <c r="BP697" s="222"/>
      <c r="BQ697" s="222"/>
      <c r="BR697" s="222"/>
      <c r="BS697" s="222"/>
      <c r="BT697" s="222"/>
      <c r="BU697" s="222"/>
      <c r="BV697" s="222"/>
      <c r="BW697" s="222"/>
      <c r="BX697" s="222"/>
      <c r="BY697" s="222"/>
      <c r="BZ697" s="222"/>
      <c r="CA697" s="222"/>
      <c r="CB697" s="222"/>
      <c r="CC697" s="222"/>
      <c r="CD697" s="222"/>
      <c r="CE697" s="222"/>
      <c r="CF697" s="222"/>
      <c r="CG697" s="222"/>
      <c r="CH697" s="222"/>
      <c r="CI697" s="222"/>
      <c r="CJ697" s="222"/>
      <c r="CK697" s="222"/>
      <c r="CL697" s="222"/>
      <c r="CM697" s="222"/>
      <c r="CN697" s="222"/>
      <c r="CO697" s="222"/>
      <c r="CP697" s="222"/>
      <c r="CQ697" s="222"/>
      <c r="CR697" s="222"/>
      <c r="CS697" s="222"/>
    </row>
    <row r="698">
      <c r="A698" s="43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  <c r="AC698" s="222"/>
      <c r="AD698" s="222"/>
      <c r="AE698" s="222"/>
      <c r="AF698" s="222"/>
      <c r="AG698" s="222"/>
      <c r="AH698" s="222"/>
      <c r="AI698" s="222"/>
      <c r="AJ698" s="222"/>
      <c r="AK698" s="222"/>
      <c r="AL698" s="222"/>
      <c r="AM698" s="222"/>
      <c r="AN698" s="222"/>
      <c r="AO698" s="222"/>
      <c r="AP698" s="222"/>
      <c r="AQ698" s="222"/>
      <c r="AR698" s="222"/>
      <c r="AS698" s="222"/>
      <c r="AT698" s="222"/>
      <c r="AU698" s="222"/>
      <c r="AV698" s="222"/>
      <c r="AW698" s="222"/>
      <c r="AX698" s="222"/>
      <c r="AY698" s="222"/>
      <c r="AZ698" s="222"/>
      <c r="BA698" s="222"/>
      <c r="BB698" s="222"/>
      <c r="BC698" s="222"/>
      <c r="BD698" s="222"/>
      <c r="BE698" s="222"/>
      <c r="BF698" s="222"/>
      <c r="BG698" s="222"/>
      <c r="BH698" s="222"/>
      <c r="BI698" s="222"/>
      <c r="BJ698" s="222"/>
      <c r="BK698" s="222"/>
      <c r="BL698" s="222"/>
      <c r="BM698" s="222"/>
      <c r="BN698" s="222"/>
      <c r="BO698" s="222"/>
      <c r="BP698" s="222"/>
      <c r="BQ698" s="222"/>
      <c r="BR698" s="222"/>
      <c r="BS698" s="222"/>
      <c r="BT698" s="222"/>
      <c r="BU698" s="222"/>
      <c r="BV698" s="222"/>
      <c r="BW698" s="222"/>
      <c r="BX698" s="222"/>
      <c r="BY698" s="222"/>
      <c r="BZ698" s="222"/>
      <c r="CA698" s="222"/>
      <c r="CB698" s="222"/>
      <c r="CC698" s="222"/>
      <c r="CD698" s="222"/>
      <c r="CE698" s="222"/>
      <c r="CF698" s="222"/>
      <c r="CG698" s="222"/>
      <c r="CH698" s="222"/>
      <c r="CI698" s="222"/>
      <c r="CJ698" s="222"/>
      <c r="CK698" s="222"/>
      <c r="CL698" s="222"/>
      <c r="CM698" s="222"/>
      <c r="CN698" s="222"/>
      <c r="CO698" s="222"/>
      <c r="CP698" s="222"/>
      <c r="CQ698" s="222"/>
      <c r="CR698" s="222"/>
      <c r="CS698" s="222"/>
    </row>
    <row r="699">
      <c r="A699" s="43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  <c r="AC699" s="222"/>
      <c r="AD699" s="222"/>
      <c r="AE699" s="222"/>
      <c r="AF699" s="222"/>
      <c r="AG699" s="222"/>
      <c r="AH699" s="222"/>
      <c r="AI699" s="222"/>
      <c r="AJ699" s="222"/>
      <c r="AK699" s="222"/>
      <c r="AL699" s="222"/>
      <c r="AM699" s="222"/>
      <c r="AN699" s="222"/>
      <c r="AO699" s="222"/>
      <c r="AP699" s="222"/>
      <c r="AQ699" s="222"/>
      <c r="AR699" s="222"/>
      <c r="AS699" s="222"/>
      <c r="AT699" s="222"/>
      <c r="AU699" s="222"/>
      <c r="AV699" s="222"/>
      <c r="AW699" s="222"/>
      <c r="AX699" s="222"/>
      <c r="AY699" s="222"/>
      <c r="AZ699" s="222"/>
      <c r="BA699" s="222"/>
      <c r="BB699" s="222"/>
      <c r="BC699" s="222"/>
      <c r="BD699" s="222"/>
      <c r="BE699" s="222"/>
      <c r="BF699" s="222"/>
      <c r="BG699" s="222"/>
      <c r="BH699" s="222"/>
      <c r="BI699" s="222"/>
      <c r="BJ699" s="222"/>
      <c r="BK699" s="222"/>
      <c r="BL699" s="222"/>
      <c r="BM699" s="222"/>
      <c r="BN699" s="222"/>
      <c r="BO699" s="222"/>
      <c r="BP699" s="222"/>
      <c r="BQ699" s="222"/>
      <c r="BR699" s="222"/>
      <c r="BS699" s="222"/>
      <c r="BT699" s="222"/>
      <c r="BU699" s="222"/>
      <c r="BV699" s="222"/>
      <c r="BW699" s="222"/>
      <c r="BX699" s="222"/>
      <c r="BY699" s="222"/>
      <c r="BZ699" s="222"/>
      <c r="CA699" s="222"/>
      <c r="CB699" s="222"/>
      <c r="CC699" s="222"/>
      <c r="CD699" s="222"/>
      <c r="CE699" s="222"/>
      <c r="CF699" s="222"/>
      <c r="CG699" s="222"/>
      <c r="CH699" s="222"/>
      <c r="CI699" s="222"/>
      <c r="CJ699" s="222"/>
      <c r="CK699" s="222"/>
      <c r="CL699" s="222"/>
      <c r="CM699" s="222"/>
      <c r="CN699" s="222"/>
      <c r="CO699" s="222"/>
      <c r="CP699" s="222"/>
      <c r="CQ699" s="222"/>
      <c r="CR699" s="222"/>
      <c r="CS699" s="222"/>
    </row>
    <row r="700">
      <c r="A700" s="43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  <c r="AC700" s="222"/>
      <c r="AD700" s="222"/>
      <c r="AE700" s="222"/>
      <c r="AF700" s="222"/>
      <c r="AG700" s="222"/>
      <c r="AH700" s="222"/>
      <c r="AI700" s="222"/>
      <c r="AJ700" s="222"/>
      <c r="AK700" s="222"/>
      <c r="AL700" s="222"/>
      <c r="AM700" s="222"/>
      <c r="AN700" s="222"/>
      <c r="AO700" s="222"/>
      <c r="AP700" s="222"/>
      <c r="AQ700" s="222"/>
      <c r="AR700" s="222"/>
      <c r="AS700" s="222"/>
      <c r="AT700" s="222"/>
      <c r="AU700" s="222"/>
      <c r="AV700" s="222"/>
      <c r="AW700" s="222"/>
      <c r="AX700" s="222"/>
      <c r="AY700" s="222"/>
      <c r="AZ700" s="222"/>
      <c r="BA700" s="222"/>
      <c r="BB700" s="222"/>
      <c r="BC700" s="222"/>
      <c r="BD700" s="222"/>
      <c r="BE700" s="222"/>
      <c r="BF700" s="222"/>
      <c r="BG700" s="222"/>
      <c r="BH700" s="222"/>
      <c r="BI700" s="222"/>
      <c r="BJ700" s="222"/>
      <c r="BK700" s="222"/>
      <c r="BL700" s="222"/>
      <c r="BM700" s="222"/>
      <c r="BN700" s="222"/>
      <c r="BO700" s="222"/>
      <c r="BP700" s="222"/>
      <c r="BQ700" s="222"/>
      <c r="BR700" s="222"/>
      <c r="BS700" s="222"/>
      <c r="BT700" s="222"/>
      <c r="BU700" s="222"/>
      <c r="BV700" s="222"/>
      <c r="BW700" s="222"/>
      <c r="BX700" s="222"/>
      <c r="BY700" s="222"/>
      <c r="BZ700" s="222"/>
      <c r="CA700" s="222"/>
      <c r="CB700" s="222"/>
      <c r="CC700" s="222"/>
      <c r="CD700" s="222"/>
      <c r="CE700" s="222"/>
      <c r="CF700" s="222"/>
      <c r="CG700" s="222"/>
      <c r="CH700" s="222"/>
      <c r="CI700" s="222"/>
      <c r="CJ700" s="222"/>
      <c r="CK700" s="222"/>
      <c r="CL700" s="222"/>
      <c r="CM700" s="222"/>
      <c r="CN700" s="222"/>
      <c r="CO700" s="222"/>
      <c r="CP700" s="222"/>
      <c r="CQ700" s="222"/>
      <c r="CR700" s="222"/>
      <c r="CS700" s="222"/>
    </row>
    <row r="701">
      <c r="A701" s="43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  <c r="AC701" s="222"/>
      <c r="AD701" s="222"/>
      <c r="AE701" s="222"/>
      <c r="AF701" s="222"/>
      <c r="AG701" s="222"/>
      <c r="AH701" s="222"/>
      <c r="AI701" s="222"/>
      <c r="AJ701" s="222"/>
      <c r="AK701" s="222"/>
      <c r="AL701" s="222"/>
      <c r="AM701" s="222"/>
      <c r="AN701" s="222"/>
      <c r="AO701" s="222"/>
      <c r="AP701" s="222"/>
      <c r="AQ701" s="222"/>
      <c r="AR701" s="222"/>
      <c r="AS701" s="222"/>
      <c r="AT701" s="222"/>
      <c r="AU701" s="222"/>
      <c r="AV701" s="222"/>
      <c r="AW701" s="222"/>
      <c r="AX701" s="222"/>
      <c r="AY701" s="222"/>
      <c r="AZ701" s="222"/>
      <c r="BA701" s="222"/>
      <c r="BB701" s="222"/>
      <c r="BC701" s="222"/>
      <c r="BD701" s="222"/>
      <c r="BE701" s="222"/>
      <c r="BF701" s="222"/>
      <c r="BG701" s="222"/>
      <c r="BH701" s="222"/>
      <c r="BI701" s="222"/>
      <c r="BJ701" s="222"/>
      <c r="BK701" s="222"/>
      <c r="BL701" s="222"/>
      <c r="BM701" s="222"/>
      <c r="BN701" s="222"/>
      <c r="BO701" s="222"/>
      <c r="BP701" s="222"/>
      <c r="BQ701" s="222"/>
      <c r="BR701" s="222"/>
      <c r="BS701" s="222"/>
      <c r="BT701" s="222"/>
      <c r="BU701" s="222"/>
      <c r="BV701" s="222"/>
      <c r="BW701" s="222"/>
      <c r="BX701" s="222"/>
      <c r="BY701" s="222"/>
      <c r="BZ701" s="222"/>
      <c r="CA701" s="222"/>
      <c r="CB701" s="222"/>
      <c r="CC701" s="222"/>
      <c r="CD701" s="222"/>
      <c r="CE701" s="222"/>
      <c r="CF701" s="222"/>
      <c r="CG701" s="222"/>
      <c r="CH701" s="222"/>
      <c r="CI701" s="222"/>
      <c r="CJ701" s="222"/>
      <c r="CK701" s="222"/>
      <c r="CL701" s="222"/>
      <c r="CM701" s="222"/>
      <c r="CN701" s="222"/>
      <c r="CO701" s="222"/>
      <c r="CP701" s="222"/>
      <c r="CQ701" s="222"/>
      <c r="CR701" s="222"/>
      <c r="CS701" s="222"/>
    </row>
    <row r="702">
      <c r="A702" s="43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  <c r="AC702" s="222"/>
      <c r="AD702" s="222"/>
      <c r="AE702" s="222"/>
      <c r="AF702" s="222"/>
      <c r="AG702" s="222"/>
      <c r="AH702" s="222"/>
      <c r="AI702" s="222"/>
      <c r="AJ702" s="222"/>
      <c r="AK702" s="222"/>
      <c r="AL702" s="222"/>
      <c r="AM702" s="222"/>
      <c r="AN702" s="222"/>
      <c r="AO702" s="222"/>
      <c r="AP702" s="222"/>
      <c r="AQ702" s="222"/>
      <c r="AR702" s="222"/>
      <c r="AS702" s="222"/>
      <c r="AT702" s="222"/>
      <c r="AU702" s="222"/>
      <c r="AV702" s="222"/>
      <c r="AW702" s="222"/>
      <c r="AX702" s="222"/>
      <c r="AY702" s="222"/>
      <c r="AZ702" s="222"/>
      <c r="BA702" s="222"/>
      <c r="BB702" s="222"/>
      <c r="BC702" s="222"/>
      <c r="BD702" s="222"/>
      <c r="BE702" s="222"/>
      <c r="BF702" s="222"/>
      <c r="BG702" s="222"/>
      <c r="BH702" s="222"/>
      <c r="BI702" s="222"/>
      <c r="BJ702" s="222"/>
      <c r="BK702" s="222"/>
      <c r="BL702" s="222"/>
      <c r="BM702" s="222"/>
      <c r="BN702" s="222"/>
      <c r="BO702" s="222"/>
      <c r="BP702" s="222"/>
      <c r="BQ702" s="222"/>
      <c r="BR702" s="222"/>
      <c r="BS702" s="222"/>
      <c r="BT702" s="222"/>
      <c r="BU702" s="222"/>
      <c r="BV702" s="222"/>
      <c r="BW702" s="222"/>
      <c r="BX702" s="222"/>
      <c r="BY702" s="222"/>
      <c r="BZ702" s="222"/>
      <c r="CA702" s="222"/>
      <c r="CB702" s="222"/>
      <c r="CC702" s="222"/>
      <c r="CD702" s="222"/>
      <c r="CE702" s="222"/>
      <c r="CF702" s="222"/>
      <c r="CG702" s="222"/>
      <c r="CH702" s="222"/>
      <c r="CI702" s="222"/>
      <c r="CJ702" s="222"/>
      <c r="CK702" s="222"/>
      <c r="CL702" s="222"/>
      <c r="CM702" s="222"/>
      <c r="CN702" s="222"/>
      <c r="CO702" s="222"/>
      <c r="CP702" s="222"/>
      <c r="CQ702" s="222"/>
      <c r="CR702" s="222"/>
      <c r="CS702" s="222"/>
    </row>
    <row r="703">
      <c r="A703" s="43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  <c r="AC703" s="222"/>
      <c r="AD703" s="222"/>
      <c r="AE703" s="222"/>
      <c r="AF703" s="222"/>
      <c r="AG703" s="222"/>
      <c r="AH703" s="222"/>
      <c r="AI703" s="222"/>
      <c r="AJ703" s="222"/>
      <c r="AK703" s="222"/>
      <c r="AL703" s="222"/>
      <c r="AM703" s="222"/>
      <c r="AN703" s="222"/>
      <c r="AO703" s="222"/>
      <c r="AP703" s="222"/>
      <c r="AQ703" s="222"/>
      <c r="AR703" s="222"/>
      <c r="AS703" s="222"/>
      <c r="AT703" s="222"/>
      <c r="AU703" s="222"/>
      <c r="AV703" s="222"/>
      <c r="AW703" s="222"/>
      <c r="AX703" s="222"/>
      <c r="AY703" s="222"/>
      <c r="AZ703" s="222"/>
      <c r="BA703" s="222"/>
      <c r="BB703" s="222"/>
      <c r="BC703" s="222"/>
      <c r="BD703" s="222"/>
      <c r="BE703" s="222"/>
      <c r="BF703" s="222"/>
      <c r="BG703" s="222"/>
      <c r="BH703" s="222"/>
      <c r="BI703" s="222"/>
      <c r="BJ703" s="222"/>
      <c r="BK703" s="222"/>
      <c r="BL703" s="222"/>
      <c r="BM703" s="222"/>
      <c r="BN703" s="222"/>
      <c r="BO703" s="222"/>
      <c r="BP703" s="222"/>
      <c r="BQ703" s="222"/>
      <c r="BR703" s="222"/>
      <c r="BS703" s="222"/>
      <c r="BT703" s="222"/>
      <c r="BU703" s="222"/>
      <c r="BV703" s="222"/>
      <c r="BW703" s="222"/>
      <c r="BX703" s="222"/>
      <c r="BY703" s="222"/>
      <c r="BZ703" s="222"/>
      <c r="CA703" s="222"/>
      <c r="CB703" s="222"/>
      <c r="CC703" s="222"/>
      <c r="CD703" s="222"/>
      <c r="CE703" s="222"/>
      <c r="CF703" s="222"/>
      <c r="CG703" s="222"/>
      <c r="CH703" s="222"/>
      <c r="CI703" s="222"/>
      <c r="CJ703" s="222"/>
      <c r="CK703" s="222"/>
      <c r="CL703" s="222"/>
      <c r="CM703" s="222"/>
      <c r="CN703" s="222"/>
      <c r="CO703" s="222"/>
      <c r="CP703" s="222"/>
      <c r="CQ703" s="222"/>
      <c r="CR703" s="222"/>
      <c r="CS703" s="222"/>
    </row>
    <row r="704">
      <c r="A704" s="43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  <c r="AC704" s="222"/>
      <c r="AD704" s="222"/>
      <c r="AE704" s="222"/>
      <c r="AF704" s="222"/>
      <c r="AG704" s="222"/>
      <c r="AH704" s="222"/>
      <c r="AI704" s="222"/>
      <c r="AJ704" s="222"/>
      <c r="AK704" s="222"/>
      <c r="AL704" s="222"/>
      <c r="AM704" s="222"/>
      <c r="AN704" s="222"/>
      <c r="AO704" s="222"/>
      <c r="AP704" s="222"/>
      <c r="AQ704" s="222"/>
      <c r="AR704" s="222"/>
      <c r="AS704" s="222"/>
      <c r="AT704" s="222"/>
      <c r="AU704" s="222"/>
      <c r="AV704" s="222"/>
      <c r="AW704" s="222"/>
      <c r="AX704" s="222"/>
      <c r="AY704" s="222"/>
      <c r="AZ704" s="222"/>
      <c r="BA704" s="222"/>
      <c r="BB704" s="222"/>
      <c r="BC704" s="222"/>
      <c r="BD704" s="222"/>
      <c r="BE704" s="222"/>
      <c r="BF704" s="222"/>
      <c r="BG704" s="222"/>
      <c r="BH704" s="222"/>
      <c r="BI704" s="222"/>
      <c r="BJ704" s="222"/>
      <c r="BK704" s="222"/>
      <c r="BL704" s="222"/>
      <c r="BM704" s="222"/>
      <c r="BN704" s="222"/>
      <c r="BO704" s="222"/>
      <c r="BP704" s="222"/>
      <c r="BQ704" s="222"/>
      <c r="BR704" s="222"/>
      <c r="BS704" s="222"/>
      <c r="BT704" s="222"/>
      <c r="BU704" s="222"/>
      <c r="BV704" s="222"/>
      <c r="BW704" s="222"/>
      <c r="BX704" s="222"/>
      <c r="BY704" s="222"/>
      <c r="BZ704" s="222"/>
      <c r="CA704" s="222"/>
      <c r="CB704" s="222"/>
      <c r="CC704" s="222"/>
      <c r="CD704" s="222"/>
      <c r="CE704" s="222"/>
      <c r="CF704" s="222"/>
      <c r="CG704" s="222"/>
      <c r="CH704" s="222"/>
      <c r="CI704" s="222"/>
      <c r="CJ704" s="222"/>
      <c r="CK704" s="222"/>
      <c r="CL704" s="222"/>
      <c r="CM704" s="222"/>
      <c r="CN704" s="222"/>
      <c r="CO704" s="222"/>
      <c r="CP704" s="222"/>
      <c r="CQ704" s="222"/>
      <c r="CR704" s="222"/>
      <c r="CS704" s="222"/>
    </row>
    <row r="705">
      <c r="A705" s="43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  <c r="AE705" s="222"/>
      <c r="AF705" s="222"/>
      <c r="AG705" s="222"/>
      <c r="AH705" s="222"/>
      <c r="AI705" s="222"/>
      <c r="AJ705" s="222"/>
      <c r="AK705" s="222"/>
      <c r="AL705" s="222"/>
      <c r="AM705" s="222"/>
      <c r="AN705" s="222"/>
      <c r="AO705" s="222"/>
      <c r="AP705" s="222"/>
      <c r="AQ705" s="222"/>
      <c r="AR705" s="222"/>
      <c r="AS705" s="222"/>
      <c r="AT705" s="222"/>
      <c r="AU705" s="222"/>
      <c r="AV705" s="222"/>
      <c r="AW705" s="222"/>
      <c r="AX705" s="222"/>
      <c r="AY705" s="222"/>
      <c r="AZ705" s="222"/>
      <c r="BA705" s="222"/>
      <c r="BB705" s="222"/>
      <c r="BC705" s="222"/>
      <c r="BD705" s="222"/>
      <c r="BE705" s="222"/>
      <c r="BF705" s="222"/>
      <c r="BG705" s="222"/>
      <c r="BH705" s="222"/>
      <c r="BI705" s="222"/>
      <c r="BJ705" s="222"/>
      <c r="BK705" s="222"/>
      <c r="BL705" s="222"/>
      <c r="BM705" s="222"/>
      <c r="BN705" s="222"/>
      <c r="BO705" s="222"/>
      <c r="BP705" s="222"/>
      <c r="BQ705" s="222"/>
      <c r="BR705" s="222"/>
      <c r="BS705" s="222"/>
      <c r="BT705" s="222"/>
      <c r="BU705" s="222"/>
      <c r="BV705" s="222"/>
      <c r="BW705" s="222"/>
      <c r="BX705" s="222"/>
      <c r="BY705" s="222"/>
      <c r="BZ705" s="222"/>
      <c r="CA705" s="222"/>
      <c r="CB705" s="222"/>
      <c r="CC705" s="222"/>
      <c r="CD705" s="222"/>
      <c r="CE705" s="222"/>
      <c r="CF705" s="222"/>
      <c r="CG705" s="222"/>
      <c r="CH705" s="222"/>
      <c r="CI705" s="222"/>
      <c r="CJ705" s="222"/>
      <c r="CK705" s="222"/>
      <c r="CL705" s="222"/>
      <c r="CM705" s="222"/>
      <c r="CN705" s="222"/>
      <c r="CO705" s="222"/>
      <c r="CP705" s="222"/>
      <c r="CQ705" s="222"/>
      <c r="CR705" s="222"/>
      <c r="CS705" s="222"/>
    </row>
    <row r="706">
      <c r="A706" s="43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  <c r="AC706" s="222"/>
      <c r="AD706" s="222"/>
      <c r="AE706" s="222"/>
      <c r="AF706" s="222"/>
      <c r="AG706" s="222"/>
      <c r="AH706" s="222"/>
      <c r="AI706" s="222"/>
      <c r="AJ706" s="222"/>
      <c r="AK706" s="222"/>
      <c r="AL706" s="222"/>
      <c r="AM706" s="222"/>
      <c r="AN706" s="222"/>
      <c r="AO706" s="222"/>
      <c r="AP706" s="222"/>
      <c r="AQ706" s="222"/>
      <c r="AR706" s="222"/>
      <c r="AS706" s="222"/>
      <c r="AT706" s="222"/>
      <c r="AU706" s="222"/>
      <c r="AV706" s="222"/>
      <c r="AW706" s="222"/>
      <c r="AX706" s="222"/>
      <c r="AY706" s="222"/>
      <c r="AZ706" s="222"/>
      <c r="BA706" s="222"/>
      <c r="BB706" s="222"/>
      <c r="BC706" s="222"/>
      <c r="BD706" s="222"/>
      <c r="BE706" s="222"/>
      <c r="BF706" s="222"/>
      <c r="BG706" s="222"/>
      <c r="BH706" s="222"/>
      <c r="BI706" s="222"/>
      <c r="BJ706" s="222"/>
      <c r="BK706" s="222"/>
      <c r="BL706" s="222"/>
      <c r="BM706" s="222"/>
      <c r="BN706" s="222"/>
      <c r="BO706" s="222"/>
      <c r="BP706" s="222"/>
      <c r="BQ706" s="222"/>
      <c r="BR706" s="222"/>
      <c r="BS706" s="222"/>
      <c r="BT706" s="222"/>
      <c r="BU706" s="222"/>
      <c r="BV706" s="222"/>
      <c r="BW706" s="222"/>
      <c r="BX706" s="222"/>
      <c r="BY706" s="222"/>
      <c r="BZ706" s="222"/>
      <c r="CA706" s="222"/>
      <c r="CB706" s="222"/>
      <c r="CC706" s="222"/>
      <c r="CD706" s="222"/>
      <c r="CE706" s="222"/>
      <c r="CF706" s="222"/>
      <c r="CG706" s="222"/>
      <c r="CH706" s="222"/>
      <c r="CI706" s="222"/>
      <c r="CJ706" s="222"/>
      <c r="CK706" s="222"/>
      <c r="CL706" s="222"/>
      <c r="CM706" s="222"/>
      <c r="CN706" s="222"/>
      <c r="CO706" s="222"/>
      <c r="CP706" s="222"/>
      <c r="CQ706" s="222"/>
      <c r="CR706" s="222"/>
      <c r="CS706" s="222"/>
    </row>
    <row r="707">
      <c r="A707" s="43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  <c r="AC707" s="222"/>
      <c r="AD707" s="222"/>
      <c r="AE707" s="222"/>
      <c r="AF707" s="222"/>
      <c r="AG707" s="222"/>
      <c r="AH707" s="222"/>
      <c r="AI707" s="222"/>
      <c r="AJ707" s="222"/>
      <c r="AK707" s="222"/>
      <c r="AL707" s="222"/>
      <c r="AM707" s="222"/>
      <c r="AN707" s="222"/>
      <c r="AO707" s="222"/>
      <c r="AP707" s="222"/>
      <c r="AQ707" s="222"/>
      <c r="AR707" s="222"/>
      <c r="AS707" s="222"/>
      <c r="AT707" s="222"/>
      <c r="AU707" s="222"/>
      <c r="AV707" s="222"/>
      <c r="AW707" s="222"/>
      <c r="AX707" s="222"/>
      <c r="AY707" s="222"/>
      <c r="AZ707" s="222"/>
      <c r="BA707" s="222"/>
      <c r="BB707" s="222"/>
      <c r="BC707" s="222"/>
      <c r="BD707" s="222"/>
      <c r="BE707" s="222"/>
      <c r="BF707" s="222"/>
      <c r="BG707" s="222"/>
      <c r="BH707" s="222"/>
      <c r="BI707" s="222"/>
      <c r="BJ707" s="222"/>
      <c r="BK707" s="222"/>
      <c r="BL707" s="222"/>
      <c r="BM707" s="222"/>
      <c r="BN707" s="222"/>
      <c r="BO707" s="222"/>
      <c r="BP707" s="222"/>
      <c r="BQ707" s="222"/>
      <c r="BR707" s="222"/>
      <c r="BS707" s="222"/>
      <c r="BT707" s="222"/>
      <c r="BU707" s="222"/>
      <c r="BV707" s="222"/>
      <c r="BW707" s="222"/>
      <c r="BX707" s="222"/>
      <c r="BY707" s="222"/>
      <c r="BZ707" s="222"/>
      <c r="CA707" s="222"/>
      <c r="CB707" s="222"/>
      <c r="CC707" s="222"/>
      <c r="CD707" s="222"/>
      <c r="CE707" s="222"/>
      <c r="CF707" s="222"/>
      <c r="CG707" s="222"/>
      <c r="CH707" s="222"/>
      <c r="CI707" s="222"/>
      <c r="CJ707" s="222"/>
      <c r="CK707" s="222"/>
      <c r="CL707" s="222"/>
      <c r="CM707" s="222"/>
      <c r="CN707" s="222"/>
      <c r="CO707" s="222"/>
      <c r="CP707" s="222"/>
      <c r="CQ707" s="222"/>
      <c r="CR707" s="222"/>
      <c r="CS707" s="222"/>
    </row>
    <row r="708">
      <c r="A708" s="43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  <c r="AC708" s="222"/>
      <c r="AD708" s="222"/>
      <c r="AE708" s="222"/>
      <c r="AF708" s="222"/>
      <c r="AG708" s="222"/>
      <c r="AH708" s="222"/>
      <c r="AI708" s="222"/>
      <c r="AJ708" s="222"/>
      <c r="AK708" s="222"/>
      <c r="AL708" s="222"/>
      <c r="AM708" s="222"/>
      <c r="AN708" s="222"/>
      <c r="AO708" s="222"/>
      <c r="AP708" s="222"/>
      <c r="AQ708" s="222"/>
      <c r="AR708" s="222"/>
      <c r="AS708" s="222"/>
      <c r="AT708" s="222"/>
      <c r="AU708" s="222"/>
      <c r="AV708" s="222"/>
      <c r="AW708" s="222"/>
      <c r="AX708" s="222"/>
      <c r="AY708" s="222"/>
      <c r="AZ708" s="222"/>
      <c r="BA708" s="222"/>
      <c r="BB708" s="222"/>
      <c r="BC708" s="222"/>
      <c r="BD708" s="222"/>
      <c r="BE708" s="222"/>
      <c r="BF708" s="222"/>
      <c r="BG708" s="222"/>
      <c r="BH708" s="222"/>
      <c r="BI708" s="222"/>
      <c r="BJ708" s="222"/>
      <c r="BK708" s="222"/>
      <c r="BL708" s="222"/>
      <c r="BM708" s="222"/>
      <c r="BN708" s="222"/>
      <c r="BO708" s="222"/>
      <c r="BP708" s="222"/>
      <c r="BQ708" s="222"/>
      <c r="BR708" s="222"/>
      <c r="BS708" s="222"/>
      <c r="BT708" s="222"/>
      <c r="BU708" s="222"/>
      <c r="BV708" s="222"/>
      <c r="BW708" s="222"/>
      <c r="BX708" s="222"/>
      <c r="BY708" s="222"/>
      <c r="BZ708" s="222"/>
      <c r="CA708" s="222"/>
      <c r="CB708" s="222"/>
      <c r="CC708" s="222"/>
      <c r="CD708" s="222"/>
      <c r="CE708" s="222"/>
      <c r="CF708" s="222"/>
      <c r="CG708" s="222"/>
      <c r="CH708" s="222"/>
      <c r="CI708" s="222"/>
      <c r="CJ708" s="222"/>
      <c r="CK708" s="222"/>
      <c r="CL708" s="222"/>
      <c r="CM708" s="222"/>
      <c r="CN708" s="222"/>
      <c r="CO708" s="222"/>
      <c r="CP708" s="222"/>
      <c r="CQ708" s="222"/>
      <c r="CR708" s="222"/>
      <c r="CS708" s="222"/>
    </row>
    <row r="709">
      <c r="A709" s="43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  <c r="AC709" s="222"/>
      <c r="AD709" s="222"/>
      <c r="AE709" s="222"/>
      <c r="AF709" s="222"/>
      <c r="AG709" s="222"/>
      <c r="AH709" s="222"/>
      <c r="AI709" s="222"/>
      <c r="AJ709" s="222"/>
      <c r="AK709" s="222"/>
      <c r="AL709" s="222"/>
      <c r="AM709" s="222"/>
      <c r="AN709" s="222"/>
      <c r="AO709" s="222"/>
      <c r="AP709" s="222"/>
      <c r="AQ709" s="222"/>
      <c r="AR709" s="222"/>
      <c r="AS709" s="222"/>
      <c r="AT709" s="222"/>
      <c r="AU709" s="222"/>
      <c r="AV709" s="222"/>
      <c r="AW709" s="222"/>
      <c r="AX709" s="222"/>
      <c r="AY709" s="222"/>
      <c r="AZ709" s="222"/>
      <c r="BA709" s="222"/>
      <c r="BB709" s="222"/>
      <c r="BC709" s="222"/>
      <c r="BD709" s="222"/>
      <c r="BE709" s="222"/>
      <c r="BF709" s="222"/>
      <c r="BG709" s="222"/>
      <c r="BH709" s="222"/>
      <c r="BI709" s="222"/>
      <c r="BJ709" s="222"/>
      <c r="BK709" s="222"/>
      <c r="BL709" s="222"/>
      <c r="BM709" s="222"/>
      <c r="BN709" s="222"/>
      <c r="BO709" s="222"/>
      <c r="BP709" s="222"/>
      <c r="BQ709" s="222"/>
      <c r="BR709" s="222"/>
      <c r="BS709" s="222"/>
      <c r="BT709" s="222"/>
      <c r="BU709" s="222"/>
      <c r="BV709" s="222"/>
      <c r="BW709" s="222"/>
      <c r="BX709" s="222"/>
      <c r="BY709" s="222"/>
      <c r="BZ709" s="222"/>
      <c r="CA709" s="222"/>
      <c r="CB709" s="222"/>
      <c r="CC709" s="222"/>
      <c r="CD709" s="222"/>
      <c r="CE709" s="222"/>
      <c r="CF709" s="222"/>
      <c r="CG709" s="222"/>
      <c r="CH709" s="222"/>
      <c r="CI709" s="222"/>
      <c r="CJ709" s="222"/>
      <c r="CK709" s="222"/>
      <c r="CL709" s="222"/>
      <c r="CM709" s="222"/>
      <c r="CN709" s="222"/>
      <c r="CO709" s="222"/>
      <c r="CP709" s="222"/>
      <c r="CQ709" s="222"/>
      <c r="CR709" s="222"/>
      <c r="CS709" s="222"/>
    </row>
    <row r="710">
      <c r="A710" s="43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  <c r="AC710" s="222"/>
      <c r="AD710" s="222"/>
      <c r="AE710" s="222"/>
      <c r="AF710" s="222"/>
      <c r="AG710" s="222"/>
      <c r="AH710" s="222"/>
      <c r="AI710" s="222"/>
      <c r="AJ710" s="222"/>
      <c r="AK710" s="222"/>
      <c r="AL710" s="222"/>
      <c r="AM710" s="222"/>
      <c r="AN710" s="222"/>
      <c r="AO710" s="222"/>
      <c r="AP710" s="222"/>
      <c r="AQ710" s="222"/>
      <c r="AR710" s="222"/>
      <c r="AS710" s="222"/>
      <c r="AT710" s="222"/>
      <c r="AU710" s="222"/>
      <c r="AV710" s="222"/>
      <c r="AW710" s="222"/>
      <c r="AX710" s="222"/>
      <c r="AY710" s="222"/>
      <c r="AZ710" s="222"/>
      <c r="BA710" s="222"/>
      <c r="BB710" s="222"/>
      <c r="BC710" s="222"/>
      <c r="BD710" s="222"/>
      <c r="BE710" s="222"/>
      <c r="BF710" s="222"/>
      <c r="BG710" s="222"/>
      <c r="BH710" s="222"/>
      <c r="BI710" s="222"/>
      <c r="BJ710" s="222"/>
      <c r="BK710" s="222"/>
      <c r="BL710" s="222"/>
      <c r="BM710" s="222"/>
      <c r="BN710" s="222"/>
      <c r="BO710" s="222"/>
      <c r="BP710" s="222"/>
      <c r="BQ710" s="222"/>
      <c r="BR710" s="222"/>
      <c r="BS710" s="222"/>
      <c r="BT710" s="222"/>
      <c r="BU710" s="222"/>
      <c r="BV710" s="222"/>
      <c r="BW710" s="222"/>
      <c r="BX710" s="222"/>
      <c r="BY710" s="222"/>
      <c r="BZ710" s="222"/>
      <c r="CA710" s="222"/>
      <c r="CB710" s="222"/>
      <c r="CC710" s="222"/>
      <c r="CD710" s="222"/>
      <c r="CE710" s="222"/>
      <c r="CF710" s="222"/>
      <c r="CG710" s="222"/>
      <c r="CH710" s="222"/>
      <c r="CI710" s="222"/>
      <c r="CJ710" s="222"/>
      <c r="CK710" s="222"/>
      <c r="CL710" s="222"/>
      <c r="CM710" s="222"/>
      <c r="CN710" s="222"/>
      <c r="CO710" s="222"/>
      <c r="CP710" s="222"/>
      <c r="CQ710" s="222"/>
      <c r="CR710" s="222"/>
      <c r="CS710" s="222"/>
    </row>
    <row r="711">
      <c r="A711" s="43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  <c r="AC711" s="222"/>
      <c r="AD711" s="222"/>
      <c r="AE711" s="222"/>
      <c r="AF711" s="222"/>
      <c r="AG711" s="222"/>
      <c r="AH711" s="222"/>
      <c r="AI711" s="222"/>
      <c r="AJ711" s="222"/>
      <c r="AK711" s="222"/>
      <c r="AL711" s="222"/>
      <c r="AM711" s="222"/>
      <c r="AN711" s="222"/>
      <c r="AO711" s="222"/>
      <c r="AP711" s="222"/>
      <c r="AQ711" s="222"/>
      <c r="AR711" s="222"/>
      <c r="AS711" s="222"/>
      <c r="AT711" s="222"/>
      <c r="AU711" s="222"/>
      <c r="AV711" s="222"/>
      <c r="AW711" s="222"/>
      <c r="AX711" s="222"/>
      <c r="AY711" s="222"/>
      <c r="AZ711" s="222"/>
      <c r="BA711" s="222"/>
      <c r="BB711" s="222"/>
      <c r="BC711" s="222"/>
      <c r="BD711" s="222"/>
      <c r="BE711" s="222"/>
      <c r="BF711" s="222"/>
      <c r="BG711" s="222"/>
      <c r="BH711" s="222"/>
      <c r="BI711" s="222"/>
      <c r="BJ711" s="222"/>
      <c r="BK711" s="222"/>
      <c r="BL711" s="222"/>
      <c r="BM711" s="222"/>
      <c r="BN711" s="222"/>
      <c r="BO711" s="222"/>
      <c r="BP711" s="222"/>
      <c r="BQ711" s="222"/>
      <c r="BR711" s="222"/>
      <c r="BS711" s="222"/>
      <c r="BT711" s="222"/>
      <c r="BU711" s="222"/>
      <c r="BV711" s="222"/>
      <c r="BW711" s="222"/>
      <c r="BX711" s="222"/>
      <c r="BY711" s="222"/>
      <c r="BZ711" s="222"/>
      <c r="CA711" s="222"/>
      <c r="CB711" s="222"/>
      <c r="CC711" s="222"/>
      <c r="CD711" s="222"/>
      <c r="CE711" s="222"/>
      <c r="CF711" s="222"/>
      <c r="CG711" s="222"/>
      <c r="CH711" s="222"/>
      <c r="CI711" s="222"/>
      <c r="CJ711" s="222"/>
      <c r="CK711" s="222"/>
      <c r="CL711" s="222"/>
      <c r="CM711" s="222"/>
      <c r="CN711" s="222"/>
      <c r="CO711" s="222"/>
      <c r="CP711" s="222"/>
      <c r="CQ711" s="222"/>
      <c r="CR711" s="222"/>
      <c r="CS711" s="222"/>
    </row>
    <row r="712">
      <c r="A712" s="43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  <c r="AC712" s="222"/>
      <c r="AD712" s="222"/>
      <c r="AE712" s="222"/>
      <c r="AF712" s="222"/>
      <c r="AG712" s="222"/>
      <c r="AH712" s="222"/>
      <c r="AI712" s="222"/>
      <c r="AJ712" s="222"/>
      <c r="AK712" s="222"/>
      <c r="AL712" s="222"/>
      <c r="AM712" s="222"/>
      <c r="AN712" s="222"/>
      <c r="AO712" s="222"/>
      <c r="AP712" s="222"/>
      <c r="AQ712" s="222"/>
      <c r="AR712" s="222"/>
      <c r="AS712" s="222"/>
      <c r="AT712" s="222"/>
      <c r="AU712" s="222"/>
      <c r="AV712" s="222"/>
      <c r="AW712" s="222"/>
      <c r="AX712" s="222"/>
      <c r="AY712" s="222"/>
      <c r="AZ712" s="222"/>
      <c r="BA712" s="222"/>
      <c r="BB712" s="222"/>
      <c r="BC712" s="222"/>
      <c r="BD712" s="222"/>
      <c r="BE712" s="222"/>
      <c r="BF712" s="222"/>
      <c r="BG712" s="222"/>
      <c r="BH712" s="222"/>
      <c r="BI712" s="222"/>
      <c r="BJ712" s="222"/>
      <c r="BK712" s="222"/>
      <c r="BL712" s="222"/>
      <c r="BM712" s="222"/>
      <c r="BN712" s="222"/>
      <c r="BO712" s="222"/>
      <c r="BP712" s="222"/>
      <c r="BQ712" s="222"/>
      <c r="BR712" s="222"/>
      <c r="BS712" s="222"/>
      <c r="BT712" s="222"/>
      <c r="BU712" s="222"/>
      <c r="BV712" s="222"/>
      <c r="BW712" s="222"/>
      <c r="BX712" s="222"/>
      <c r="BY712" s="222"/>
      <c r="BZ712" s="222"/>
      <c r="CA712" s="222"/>
      <c r="CB712" s="222"/>
      <c r="CC712" s="222"/>
      <c r="CD712" s="222"/>
      <c r="CE712" s="222"/>
      <c r="CF712" s="222"/>
      <c r="CG712" s="222"/>
      <c r="CH712" s="222"/>
      <c r="CI712" s="222"/>
      <c r="CJ712" s="222"/>
      <c r="CK712" s="222"/>
      <c r="CL712" s="222"/>
      <c r="CM712" s="222"/>
      <c r="CN712" s="222"/>
      <c r="CO712" s="222"/>
      <c r="CP712" s="222"/>
      <c r="CQ712" s="222"/>
      <c r="CR712" s="222"/>
      <c r="CS712" s="222"/>
    </row>
    <row r="713">
      <c r="A713" s="43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  <c r="AC713" s="222"/>
      <c r="AD713" s="222"/>
      <c r="AE713" s="222"/>
      <c r="AF713" s="222"/>
      <c r="AG713" s="222"/>
      <c r="AH713" s="222"/>
      <c r="AI713" s="222"/>
      <c r="AJ713" s="222"/>
      <c r="AK713" s="222"/>
      <c r="AL713" s="222"/>
      <c r="AM713" s="222"/>
      <c r="AN713" s="222"/>
      <c r="AO713" s="222"/>
      <c r="AP713" s="222"/>
      <c r="AQ713" s="222"/>
      <c r="AR713" s="222"/>
      <c r="AS713" s="222"/>
      <c r="AT713" s="222"/>
      <c r="AU713" s="222"/>
      <c r="AV713" s="222"/>
      <c r="AW713" s="222"/>
      <c r="AX713" s="222"/>
      <c r="AY713" s="222"/>
      <c r="AZ713" s="222"/>
      <c r="BA713" s="222"/>
      <c r="BB713" s="222"/>
      <c r="BC713" s="222"/>
      <c r="BD713" s="222"/>
      <c r="BE713" s="222"/>
      <c r="BF713" s="222"/>
      <c r="BG713" s="222"/>
      <c r="BH713" s="222"/>
      <c r="BI713" s="222"/>
      <c r="BJ713" s="222"/>
      <c r="BK713" s="222"/>
      <c r="BL713" s="222"/>
      <c r="BM713" s="222"/>
      <c r="BN713" s="222"/>
      <c r="BO713" s="222"/>
      <c r="BP713" s="222"/>
      <c r="BQ713" s="222"/>
      <c r="BR713" s="222"/>
      <c r="BS713" s="222"/>
      <c r="BT713" s="222"/>
      <c r="BU713" s="222"/>
      <c r="BV713" s="222"/>
      <c r="BW713" s="222"/>
      <c r="BX713" s="222"/>
      <c r="BY713" s="222"/>
      <c r="BZ713" s="222"/>
      <c r="CA713" s="222"/>
      <c r="CB713" s="222"/>
      <c r="CC713" s="222"/>
      <c r="CD713" s="222"/>
      <c r="CE713" s="222"/>
      <c r="CF713" s="222"/>
      <c r="CG713" s="222"/>
      <c r="CH713" s="222"/>
      <c r="CI713" s="222"/>
      <c r="CJ713" s="222"/>
      <c r="CK713" s="222"/>
      <c r="CL713" s="222"/>
      <c r="CM713" s="222"/>
      <c r="CN713" s="222"/>
      <c r="CO713" s="222"/>
      <c r="CP713" s="222"/>
      <c r="CQ713" s="222"/>
      <c r="CR713" s="222"/>
      <c r="CS713" s="222"/>
    </row>
    <row r="714">
      <c r="A714" s="43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  <c r="AC714" s="222"/>
      <c r="AD714" s="222"/>
      <c r="AE714" s="222"/>
      <c r="AF714" s="222"/>
      <c r="AG714" s="222"/>
      <c r="AH714" s="222"/>
      <c r="AI714" s="222"/>
      <c r="AJ714" s="222"/>
      <c r="AK714" s="222"/>
      <c r="AL714" s="222"/>
      <c r="AM714" s="222"/>
      <c r="AN714" s="222"/>
      <c r="AO714" s="222"/>
      <c r="AP714" s="222"/>
      <c r="AQ714" s="222"/>
      <c r="AR714" s="222"/>
      <c r="AS714" s="222"/>
      <c r="AT714" s="222"/>
      <c r="AU714" s="222"/>
      <c r="AV714" s="222"/>
      <c r="AW714" s="222"/>
      <c r="AX714" s="222"/>
      <c r="AY714" s="222"/>
      <c r="AZ714" s="222"/>
      <c r="BA714" s="222"/>
      <c r="BB714" s="222"/>
      <c r="BC714" s="222"/>
      <c r="BD714" s="222"/>
      <c r="BE714" s="222"/>
      <c r="BF714" s="222"/>
      <c r="BG714" s="222"/>
      <c r="BH714" s="222"/>
      <c r="BI714" s="222"/>
      <c r="BJ714" s="222"/>
      <c r="BK714" s="222"/>
      <c r="BL714" s="222"/>
      <c r="BM714" s="222"/>
      <c r="BN714" s="222"/>
      <c r="BO714" s="222"/>
      <c r="BP714" s="222"/>
      <c r="BQ714" s="222"/>
      <c r="BR714" s="222"/>
      <c r="BS714" s="222"/>
      <c r="BT714" s="222"/>
      <c r="BU714" s="222"/>
      <c r="BV714" s="222"/>
      <c r="BW714" s="222"/>
      <c r="BX714" s="222"/>
      <c r="BY714" s="222"/>
      <c r="BZ714" s="222"/>
      <c r="CA714" s="222"/>
      <c r="CB714" s="222"/>
      <c r="CC714" s="222"/>
      <c r="CD714" s="222"/>
      <c r="CE714" s="222"/>
      <c r="CF714" s="222"/>
      <c r="CG714" s="222"/>
      <c r="CH714" s="222"/>
      <c r="CI714" s="222"/>
      <c r="CJ714" s="222"/>
      <c r="CK714" s="222"/>
      <c r="CL714" s="222"/>
      <c r="CM714" s="222"/>
      <c r="CN714" s="222"/>
      <c r="CO714" s="222"/>
      <c r="CP714" s="222"/>
      <c r="CQ714" s="222"/>
      <c r="CR714" s="222"/>
      <c r="CS714" s="222"/>
    </row>
    <row r="715">
      <c r="A715" s="43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  <c r="AC715" s="222"/>
      <c r="AD715" s="222"/>
      <c r="AE715" s="222"/>
      <c r="AF715" s="222"/>
      <c r="AG715" s="222"/>
      <c r="AH715" s="222"/>
      <c r="AI715" s="222"/>
      <c r="AJ715" s="222"/>
      <c r="AK715" s="222"/>
      <c r="AL715" s="222"/>
      <c r="AM715" s="222"/>
      <c r="AN715" s="222"/>
      <c r="AO715" s="222"/>
      <c r="AP715" s="222"/>
      <c r="AQ715" s="222"/>
      <c r="AR715" s="222"/>
      <c r="AS715" s="222"/>
      <c r="AT715" s="222"/>
      <c r="AU715" s="222"/>
      <c r="AV715" s="222"/>
      <c r="AW715" s="222"/>
      <c r="AX715" s="222"/>
      <c r="AY715" s="222"/>
      <c r="AZ715" s="222"/>
      <c r="BA715" s="222"/>
      <c r="BB715" s="222"/>
      <c r="BC715" s="222"/>
      <c r="BD715" s="222"/>
      <c r="BE715" s="222"/>
      <c r="BF715" s="222"/>
      <c r="BG715" s="222"/>
      <c r="BH715" s="222"/>
      <c r="BI715" s="222"/>
      <c r="BJ715" s="222"/>
      <c r="BK715" s="222"/>
      <c r="BL715" s="222"/>
      <c r="BM715" s="222"/>
      <c r="BN715" s="222"/>
      <c r="BO715" s="222"/>
      <c r="BP715" s="222"/>
      <c r="BQ715" s="222"/>
      <c r="BR715" s="222"/>
      <c r="BS715" s="222"/>
      <c r="BT715" s="222"/>
      <c r="BU715" s="222"/>
      <c r="BV715" s="222"/>
      <c r="BW715" s="222"/>
      <c r="BX715" s="222"/>
      <c r="BY715" s="222"/>
      <c r="BZ715" s="222"/>
      <c r="CA715" s="222"/>
      <c r="CB715" s="222"/>
      <c r="CC715" s="222"/>
      <c r="CD715" s="222"/>
      <c r="CE715" s="222"/>
      <c r="CF715" s="222"/>
      <c r="CG715" s="222"/>
      <c r="CH715" s="222"/>
      <c r="CI715" s="222"/>
      <c r="CJ715" s="222"/>
      <c r="CK715" s="222"/>
      <c r="CL715" s="222"/>
      <c r="CM715" s="222"/>
      <c r="CN715" s="222"/>
      <c r="CO715" s="222"/>
      <c r="CP715" s="222"/>
      <c r="CQ715" s="222"/>
      <c r="CR715" s="222"/>
      <c r="CS715" s="222"/>
    </row>
    <row r="716">
      <c r="A716" s="43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  <c r="AC716" s="222"/>
      <c r="AD716" s="222"/>
      <c r="AE716" s="222"/>
      <c r="AF716" s="222"/>
      <c r="AG716" s="222"/>
      <c r="AH716" s="222"/>
      <c r="AI716" s="222"/>
      <c r="AJ716" s="222"/>
      <c r="AK716" s="222"/>
      <c r="AL716" s="222"/>
      <c r="AM716" s="222"/>
      <c r="AN716" s="222"/>
      <c r="AO716" s="222"/>
      <c r="AP716" s="222"/>
      <c r="AQ716" s="222"/>
      <c r="AR716" s="222"/>
      <c r="AS716" s="222"/>
      <c r="AT716" s="222"/>
      <c r="AU716" s="222"/>
      <c r="AV716" s="222"/>
      <c r="AW716" s="222"/>
      <c r="AX716" s="222"/>
      <c r="AY716" s="222"/>
      <c r="AZ716" s="222"/>
      <c r="BA716" s="222"/>
      <c r="BB716" s="222"/>
      <c r="BC716" s="222"/>
      <c r="BD716" s="222"/>
      <c r="BE716" s="222"/>
      <c r="BF716" s="222"/>
      <c r="BG716" s="222"/>
      <c r="BH716" s="222"/>
      <c r="BI716" s="222"/>
      <c r="BJ716" s="222"/>
      <c r="BK716" s="222"/>
      <c r="BL716" s="222"/>
      <c r="BM716" s="222"/>
      <c r="BN716" s="222"/>
      <c r="BO716" s="222"/>
      <c r="BP716" s="222"/>
      <c r="BQ716" s="222"/>
      <c r="BR716" s="222"/>
      <c r="BS716" s="222"/>
      <c r="BT716" s="222"/>
      <c r="BU716" s="222"/>
      <c r="BV716" s="222"/>
      <c r="BW716" s="222"/>
      <c r="BX716" s="222"/>
      <c r="BY716" s="222"/>
      <c r="BZ716" s="222"/>
      <c r="CA716" s="222"/>
      <c r="CB716" s="222"/>
      <c r="CC716" s="222"/>
      <c r="CD716" s="222"/>
      <c r="CE716" s="222"/>
      <c r="CF716" s="222"/>
      <c r="CG716" s="222"/>
      <c r="CH716" s="222"/>
      <c r="CI716" s="222"/>
      <c r="CJ716" s="222"/>
      <c r="CK716" s="222"/>
      <c r="CL716" s="222"/>
      <c r="CM716" s="222"/>
      <c r="CN716" s="222"/>
      <c r="CO716" s="222"/>
      <c r="CP716" s="222"/>
      <c r="CQ716" s="222"/>
      <c r="CR716" s="222"/>
      <c r="CS716" s="222"/>
    </row>
    <row r="717">
      <c r="A717" s="43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  <c r="AC717" s="222"/>
      <c r="AD717" s="222"/>
      <c r="AE717" s="222"/>
      <c r="AF717" s="222"/>
      <c r="AG717" s="222"/>
      <c r="AH717" s="222"/>
      <c r="AI717" s="222"/>
      <c r="AJ717" s="222"/>
      <c r="AK717" s="222"/>
      <c r="AL717" s="222"/>
      <c r="AM717" s="222"/>
      <c r="AN717" s="222"/>
      <c r="AO717" s="222"/>
      <c r="AP717" s="222"/>
      <c r="AQ717" s="222"/>
      <c r="AR717" s="222"/>
      <c r="AS717" s="222"/>
      <c r="AT717" s="222"/>
      <c r="AU717" s="222"/>
      <c r="AV717" s="222"/>
      <c r="AW717" s="222"/>
      <c r="AX717" s="222"/>
      <c r="AY717" s="222"/>
      <c r="AZ717" s="222"/>
      <c r="BA717" s="222"/>
      <c r="BB717" s="222"/>
      <c r="BC717" s="222"/>
      <c r="BD717" s="222"/>
      <c r="BE717" s="222"/>
      <c r="BF717" s="222"/>
      <c r="BG717" s="222"/>
      <c r="BH717" s="222"/>
      <c r="BI717" s="222"/>
      <c r="BJ717" s="222"/>
      <c r="BK717" s="222"/>
      <c r="BL717" s="222"/>
      <c r="BM717" s="222"/>
      <c r="BN717" s="222"/>
      <c r="BO717" s="222"/>
      <c r="BP717" s="222"/>
      <c r="BQ717" s="222"/>
      <c r="BR717" s="222"/>
      <c r="BS717" s="222"/>
      <c r="BT717" s="222"/>
      <c r="BU717" s="222"/>
      <c r="BV717" s="222"/>
      <c r="BW717" s="222"/>
      <c r="BX717" s="222"/>
      <c r="BY717" s="222"/>
      <c r="BZ717" s="222"/>
      <c r="CA717" s="222"/>
      <c r="CB717" s="222"/>
      <c r="CC717" s="222"/>
      <c r="CD717" s="222"/>
      <c r="CE717" s="222"/>
      <c r="CF717" s="222"/>
      <c r="CG717" s="222"/>
      <c r="CH717" s="222"/>
      <c r="CI717" s="222"/>
      <c r="CJ717" s="222"/>
      <c r="CK717" s="222"/>
      <c r="CL717" s="222"/>
      <c r="CM717" s="222"/>
      <c r="CN717" s="222"/>
      <c r="CO717" s="222"/>
      <c r="CP717" s="222"/>
      <c r="CQ717" s="222"/>
      <c r="CR717" s="222"/>
      <c r="CS717" s="222"/>
    </row>
    <row r="718">
      <c r="A718" s="43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  <c r="AC718" s="222"/>
      <c r="AD718" s="222"/>
      <c r="AE718" s="222"/>
      <c r="AF718" s="222"/>
      <c r="AG718" s="222"/>
      <c r="AH718" s="222"/>
      <c r="AI718" s="222"/>
      <c r="AJ718" s="222"/>
      <c r="AK718" s="222"/>
      <c r="AL718" s="222"/>
      <c r="AM718" s="222"/>
      <c r="AN718" s="222"/>
      <c r="AO718" s="222"/>
      <c r="AP718" s="222"/>
      <c r="AQ718" s="222"/>
      <c r="AR718" s="222"/>
      <c r="AS718" s="222"/>
      <c r="AT718" s="222"/>
      <c r="AU718" s="222"/>
      <c r="AV718" s="222"/>
      <c r="AW718" s="222"/>
      <c r="AX718" s="222"/>
      <c r="AY718" s="222"/>
      <c r="AZ718" s="222"/>
      <c r="BA718" s="222"/>
      <c r="BB718" s="222"/>
      <c r="BC718" s="222"/>
      <c r="BD718" s="222"/>
      <c r="BE718" s="222"/>
      <c r="BF718" s="222"/>
      <c r="BG718" s="222"/>
      <c r="BH718" s="222"/>
      <c r="BI718" s="222"/>
      <c r="BJ718" s="222"/>
      <c r="BK718" s="222"/>
      <c r="BL718" s="222"/>
      <c r="BM718" s="222"/>
      <c r="BN718" s="222"/>
      <c r="BO718" s="222"/>
      <c r="BP718" s="222"/>
      <c r="BQ718" s="222"/>
      <c r="BR718" s="222"/>
      <c r="BS718" s="222"/>
      <c r="BT718" s="222"/>
      <c r="BU718" s="222"/>
      <c r="BV718" s="222"/>
      <c r="BW718" s="222"/>
      <c r="BX718" s="222"/>
      <c r="BY718" s="222"/>
      <c r="BZ718" s="222"/>
      <c r="CA718" s="222"/>
      <c r="CB718" s="222"/>
      <c r="CC718" s="222"/>
      <c r="CD718" s="222"/>
      <c r="CE718" s="222"/>
      <c r="CF718" s="222"/>
      <c r="CG718" s="222"/>
      <c r="CH718" s="222"/>
      <c r="CI718" s="222"/>
      <c r="CJ718" s="222"/>
      <c r="CK718" s="222"/>
      <c r="CL718" s="222"/>
      <c r="CM718" s="222"/>
      <c r="CN718" s="222"/>
      <c r="CO718" s="222"/>
      <c r="CP718" s="222"/>
      <c r="CQ718" s="222"/>
      <c r="CR718" s="222"/>
      <c r="CS718" s="222"/>
    </row>
    <row r="719">
      <c r="A719" s="43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  <c r="AC719" s="222"/>
      <c r="AD719" s="222"/>
      <c r="AE719" s="222"/>
      <c r="AF719" s="222"/>
      <c r="AG719" s="222"/>
      <c r="AH719" s="222"/>
      <c r="AI719" s="222"/>
      <c r="AJ719" s="222"/>
      <c r="AK719" s="222"/>
      <c r="AL719" s="222"/>
      <c r="AM719" s="222"/>
      <c r="AN719" s="222"/>
      <c r="AO719" s="222"/>
      <c r="AP719" s="222"/>
      <c r="AQ719" s="222"/>
      <c r="AR719" s="222"/>
      <c r="AS719" s="222"/>
      <c r="AT719" s="222"/>
      <c r="AU719" s="222"/>
      <c r="AV719" s="222"/>
      <c r="AW719" s="222"/>
      <c r="AX719" s="222"/>
      <c r="AY719" s="222"/>
      <c r="AZ719" s="222"/>
      <c r="BA719" s="222"/>
      <c r="BB719" s="222"/>
      <c r="BC719" s="222"/>
      <c r="BD719" s="222"/>
      <c r="BE719" s="222"/>
      <c r="BF719" s="222"/>
      <c r="BG719" s="222"/>
      <c r="BH719" s="222"/>
      <c r="BI719" s="222"/>
      <c r="BJ719" s="222"/>
      <c r="BK719" s="222"/>
      <c r="BL719" s="222"/>
      <c r="BM719" s="222"/>
      <c r="BN719" s="222"/>
      <c r="BO719" s="222"/>
      <c r="BP719" s="222"/>
      <c r="BQ719" s="222"/>
      <c r="BR719" s="222"/>
      <c r="BS719" s="222"/>
      <c r="BT719" s="222"/>
      <c r="BU719" s="222"/>
      <c r="BV719" s="222"/>
      <c r="BW719" s="222"/>
      <c r="BX719" s="222"/>
      <c r="BY719" s="222"/>
      <c r="BZ719" s="222"/>
      <c r="CA719" s="222"/>
      <c r="CB719" s="222"/>
      <c r="CC719" s="222"/>
      <c r="CD719" s="222"/>
      <c r="CE719" s="222"/>
      <c r="CF719" s="222"/>
      <c r="CG719" s="222"/>
      <c r="CH719" s="222"/>
      <c r="CI719" s="222"/>
      <c r="CJ719" s="222"/>
      <c r="CK719" s="222"/>
      <c r="CL719" s="222"/>
      <c r="CM719" s="222"/>
      <c r="CN719" s="222"/>
      <c r="CO719" s="222"/>
      <c r="CP719" s="222"/>
      <c r="CQ719" s="222"/>
      <c r="CR719" s="222"/>
      <c r="CS719" s="222"/>
    </row>
    <row r="720">
      <c r="A720" s="43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  <c r="AC720" s="222"/>
      <c r="AD720" s="222"/>
      <c r="AE720" s="222"/>
      <c r="AF720" s="222"/>
      <c r="AG720" s="222"/>
      <c r="AH720" s="222"/>
      <c r="AI720" s="222"/>
      <c r="AJ720" s="222"/>
      <c r="AK720" s="222"/>
      <c r="AL720" s="222"/>
      <c r="AM720" s="222"/>
      <c r="AN720" s="222"/>
      <c r="AO720" s="222"/>
      <c r="AP720" s="222"/>
      <c r="AQ720" s="222"/>
      <c r="AR720" s="222"/>
      <c r="AS720" s="222"/>
      <c r="AT720" s="222"/>
      <c r="AU720" s="222"/>
      <c r="AV720" s="222"/>
      <c r="AW720" s="222"/>
      <c r="AX720" s="222"/>
      <c r="AY720" s="222"/>
      <c r="AZ720" s="222"/>
      <c r="BA720" s="222"/>
      <c r="BB720" s="222"/>
      <c r="BC720" s="222"/>
      <c r="BD720" s="222"/>
      <c r="BE720" s="222"/>
      <c r="BF720" s="222"/>
      <c r="BG720" s="222"/>
      <c r="BH720" s="222"/>
      <c r="BI720" s="222"/>
      <c r="BJ720" s="222"/>
      <c r="BK720" s="222"/>
      <c r="BL720" s="222"/>
      <c r="BM720" s="222"/>
      <c r="BN720" s="222"/>
      <c r="BO720" s="222"/>
      <c r="BP720" s="222"/>
      <c r="BQ720" s="222"/>
      <c r="BR720" s="222"/>
      <c r="BS720" s="222"/>
      <c r="BT720" s="222"/>
      <c r="BU720" s="222"/>
      <c r="BV720" s="222"/>
      <c r="BW720" s="222"/>
      <c r="BX720" s="222"/>
      <c r="BY720" s="222"/>
      <c r="BZ720" s="222"/>
      <c r="CA720" s="222"/>
      <c r="CB720" s="222"/>
      <c r="CC720" s="222"/>
      <c r="CD720" s="222"/>
      <c r="CE720" s="222"/>
      <c r="CF720" s="222"/>
      <c r="CG720" s="222"/>
      <c r="CH720" s="222"/>
      <c r="CI720" s="222"/>
      <c r="CJ720" s="222"/>
      <c r="CK720" s="222"/>
      <c r="CL720" s="222"/>
      <c r="CM720" s="222"/>
      <c r="CN720" s="222"/>
      <c r="CO720" s="222"/>
      <c r="CP720" s="222"/>
      <c r="CQ720" s="222"/>
      <c r="CR720" s="222"/>
      <c r="CS720" s="222"/>
    </row>
    <row r="721">
      <c r="A721" s="43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  <c r="AC721" s="222"/>
      <c r="AD721" s="222"/>
      <c r="AE721" s="222"/>
      <c r="AF721" s="222"/>
      <c r="AG721" s="222"/>
      <c r="AH721" s="222"/>
      <c r="AI721" s="222"/>
      <c r="AJ721" s="222"/>
      <c r="AK721" s="222"/>
      <c r="AL721" s="222"/>
      <c r="AM721" s="222"/>
      <c r="AN721" s="222"/>
      <c r="AO721" s="222"/>
      <c r="AP721" s="222"/>
      <c r="AQ721" s="222"/>
      <c r="AR721" s="222"/>
      <c r="AS721" s="222"/>
      <c r="AT721" s="222"/>
      <c r="AU721" s="222"/>
      <c r="AV721" s="222"/>
      <c r="AW721" s="222"/>
      <c r="AX721" s="222"/>
      <c r="AY721" s="222"/>
      <c r="AZ721" s="222"/>
      <c r="BA721" s="222"/>
      <c r="BB721" s="222"/>
      <c r="BC721" s="222"/>
      <c r="BD721" s="222"/>
      <c r="BE721" s="222"/>
      <c r="BF721" s="222"/>
      <c r="BG721" s="222"/>
      <c r="BH721" s="222"/>
      <c r="BI721" s="222"/>
      <c r="BJ721" s="222"/>
      <c r="BK721" s="222"/>
      <c r="BL721" s="222"/>
      <c r="BM721" s="222"/>
      <c r="BN721" s="222"/>
      <c r="BO721" s="222"/>
      <c r="BP721" s="222"/>
      <c r="BQ721" s="222"/>
      <c r="BR721" s="222"/>
      <c r="BS721" s="222"/>
      <c r="BT721" s="222"/>
      <c r="BU721" s="222"/>
      <c r="BV721" s="222"/>
      <c r="BW721" s="222"/>
      <c r="BX721" s="222"/>
      <c r="BY721" s="222"/>
      <c r="BZ721" s="222"/>
      <c r="CA721" s="222"/>
      <c r="CB721" s="222"/>
      <c r="CC721" s="222"/>
      <c r="CD721" s="222"/>
      <c r="CE721" s="222"/>
      <c r="CF721" s="222"/>
      <c r="CG721" s="222"/>
      <c r="CH721" s="222"/>
      <c r="CI721" s="222"/>
      <c r="CJ721" s="222"/>
      <c r="CK721" s="222"/>
      <c r="CL721" s="222"/>
      <c r="CM721" s="222"/>
      <c r="CN721" s="222"/>
      <c r="CO721" s="222"/>
      <c r="CP721" s="222"/>
      <c r="CQ721" s="222"/>
      <c r="CR721" s="222"/>
      <c r="CS721" s="222"/>
    </row>
    <row r="722">
      <c r="A722" s="43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  <c r="AC722" s="222"/>
      <c r="AD722" s="222"/>
      <c r="AE722" s="222"/>
      <c r="AF722" s="222"/>
      <c r="AG722" s="222"/>
      <c r="AH722" s="222"/>
      <c r="AI722" s="222"/>
      <c r="AJ722" s="222"/>
      <c r="AK722" s="222"/>
      <c r="AL722" s="222"/>
      <c r="AM722" s="222"/>
      <c r="AN722" s="222"/>
      <c r="AO722" s="222"/>
      <c r="AP722" s="222"/>
      <c r="AQ722" s="222"/>
      <c r="AR722" s="222"/>
      <c r="AS722" s="222"/>
      <c r="AT722" s="222"/>
      <c r="AU722" s="222"/>
      <c r="AV722" s="222"/>
      <c r="AW722" s="222"/>
      <c r="AX722" s="222"/>
      <c r="AY722" s="222"/>
      <c r="AZ722" s="222"/>
      <c r="BA722" s="222"/>
      <c r="BB722" s="222"/>
      <c r="BC722" s="222"/>
      <c r="BD722" s="222"/>
      <c r="BE722" s="222"/>
      <c r="BF722" s="222"/>
      <c r="BG722" s="222"/>
      <c r="BH722" s="222"/>
      <c r="BI722" s="222"/>
      <c r="BJ722" s="222"/>
      <c r="BK722" s="222"/>
      <c r="BL722" s="222"/>
      <c r="BM722" s="222"/>
      <c r="BN722" s="222"/>
      <c r="BO722" s="222"/>
      <c r="BP722" s="222"/>
      <c r="BQ722" s="222"/>
      <c r="BR722" s="222"/>
      <c r="BS722" s="222"/>
      <c r="BT722" s="222"/>
      <c r="BU722" s="222"/>
      <c r="BV722" s="222"/>
      <c r="BW722" s="222"/>
      <c r="BX722" s="222"/>
      <c r="BY722" s="222"/>
      <c r="BZ722" s="222"/>
      <c r="CA722" s="222"/>
      <c r="CB722" s="222"/>
      <c r="CC722" s="222"/>
      <c r="CD722" s="222"/>
      <c r="CE722" s="222"/>
      <c r="CF722" s="222"/>
      <c r="CG722" s="222"/>
      <c r="CH722" s="222"/>
      <c r="CI722" s="222"/>
      <c r="CJ722" s="222"/>
      <c r="CK722" s="222"/>
      <c r="CL722" s="222"/>
      <c r="CM722" s="222"/>
      <c r="CN722" s="222"/>
      <c r="CO722" s="222"/>
      <c r="CP722" s="222"/>
      <c r="CQ722" s="222"/>
      <c r="CR722" s="222"/>
      <c r="CS722" s="222"/>
    </row>
    <row r="723">
      <c r="A723" s="43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  <c r="AC723" s="222"/>
      <c r="AD723" s="222"/>
      <c r="AE723" s="222"/>
      <c r="AF723" s="222"/>
      <c r="AG723" s="222"/>
      <c r="AH723" s="222"/>
      <c r="AI723" s="222"/>
      <c r="AJ723" s="222"/>
      <c r="AK723" s="222"/>
      <c r="AL723" s="222"/>
      <c r="AM723" s="222"/>
      <c r="AN723" s="222"/>
      <c r="AO723" s="222"/>
      <c r="AP723" s="222"/>
      <c r="AQ723" s="222"/>
      <c r="AR723" s="222"/>
      <c r="AS723" s="222"/>
      <c r="AT723" s="222"/>
      <c r="AU723" s="222"/>
      <c r="AV723" s="222"/>
      <c r="AW723" s="222"/>
      <c r="AX723" s="222"/>
      <c r="AY723" s="222"/>
      <c r="AZ723" s="222"/>
      <c r="BA723" s="222"/>
      <c r="BB723" s="222"/>
      <c r="BC723" s="222"/>
      <c r="BD723" s="222"/>
      <c r="BE723" s="222"/>
      <c r="BF723" s="222"/>
      <c r="BG723" s="222"/>
      <c r="BH723" s="222"/>
      <c r="BI723" s="222"/>
      <c r="BJ723" s="222"/>
      <c r="BK723" s="222"/>
      <c r="BL723" s="222"/>
      <c r="BM723" s="222"/>
      <c r="BN723" s="222"/>
      <c r="BO723" s="222"/>
      <c r="BP723" s="222"/>
      <c r="BQ723" s="222"/>
      <c r="BR723" s="222"/>
      <c r="BS723" s="222"/>
      <c r="BT723" s="222"/>
      <c r="BU723" s="222"/>
      <c r="BV723" s="222"/>
      <c r="BW723" s="222"/>
      <c r="BX723" s="222"/>
      <c r="BY723" s="222"/>
      <c r="BZ723" s="222"/>
      <c r="CA723" s="222"/>
      <c r="CB723" s="222"/>
      <c r="CC723" s="222"/>
      <c r="CD723" s="222"/>
      <c r="CE723" s="222"/>
      <c r="CF723" s="222"/>
      <c r="CG723" s="222"/>
      <c r="CH723" s="222"/>
      <c r="CI723" s="222"/>
      <c r="CJ723" s="222"/>
      <c r="CK723" s="222"/>
      <c r="CL723" s="222"/>
      <c r="CM723" s="222"/>
      <c r="CN723" s="222"/>
      <c r="CO723" s="222"/>
      <c r="CP723" s="222"/>
      <c r="CQ723" s="222"/>
      <c r="CR723" s="222"/>
      <c r="CS723" s="222"/>
    </row>
    <row r="724">
      <c r="A724" s="43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  <c r="AC724" s="222"/>
      <c r="AD724" s="222"/>
      <c r="AE724" s="222"/>
      <c r="AF724" s="222"/>
      <c r="AG724" s="222"/>
      <c r="AH724" s="222"/>
      <c r="AI724" s="222"/>
      <c r="AJ724" s="222"/>
      <c r="AK724" s="222"/>
      <c r="AL724" s="222"/>
      <c r="AM724" s="222"/>
      <c r="AN724" s="222"/>
      <c r="AO724" s="222"/>
      <c r="AP724" s="222"/>
      <c r="AQ724" s="222"/>
      <c r="AR724" s="222"/>
      <c r="AS724" s="222"/>
      <c r="AT724" s="222"/>
      <c r="AU724" s="222"/>
      <c r="AV724" s="222"/>
      <c r="AW724" s="222"/>
      <c r="AX724" s="222"/>
      <c r="AY724" s="222"/>
      <c r="AZ724" s="222"/>
      <c r="BA724" s="222"/>
      <c r="BB724" s="222"/>
      <c r="BC724" s="222"/>
      <c r="BD724" s="222"/>
      <c r="BE724" s="222"/>
      <c r="BF724" s="222"/>
      <c r="BG724" s="222"/>
      <c r="BH724" s="222"/>
      <c r="BI724" s="222"/>
      <c r="BJ724" s="222"/>
      <c r="BK724" s="222"/>
      <c r="BL724" s="222"/>
      <c r="BM724" s="222"/>
      <c r="BN724" s="222"/>
      <c r="BO724" s="222"/>
      <c r="BP724" s="222"/>
      <c r="BQ724" s="222"/>
      <c r="BR724" s="222"/>
      <c r="BS724" s="222"/>
      <c r="BT724" s="222"/>
      <c r="BU724" s="222"/>
      <c r="BV724" s="222"/>
      <c r="BW724" s="222"/>
      <c r="BX724" s="222"/>
      <c r="BY724" s="222"/>
      <c r="BZ724" s="222"/>
      <c r="CA724" s="222"/>
      <c r="CB724" s="222"/>
      <c r="CC724" s="222"/>
      <c r="CD724" s="222"/>
      <c r="CE724" s="222"/>
      <c r="CF724" s="222"/>
      <c r="CG724" s="222"/>
      <c r="CH724" s="222"/>
      <c r="CI724" s="222"/>
      <c r="CJ724" s="222"/>
      <c r="CK724" s="222"/>
      <c r="CL724" s="222"/>
      <c r="CM724" s="222"/>
      <c r="CN724" s="222"/>
      <c r="CO724" s="222"/>
      <c r="CP724" s="222"/>
      <c r="CQ724" s="222"/>
      <c r="CR724" s="222"/>
      <c r="CS724" s="222"/>
    </row>
    <row r="725">
      <c r="A725" s="43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  <c r="AC725" s="222"/>
      <c r="AD725" s="222"/>
      <c r="AE725" s="222"/>
      <c r="AF725" s="222"/>
      <c r="AG725" s="222"/>
      <c r="AH725" s="222"/>
      <c r="AI725" s="222"/>
      <c r="AJ725" s="222"/>
      <c r="AK725" s="222"/>
      <c r="AL725" s="222"/>
      <c r="AM725" s="222"/>
      <c r="AN725" s="222"/>
      <c r="AO725" s="222"/>
      <c r="AP725" s="222"/>
      <c r="AQ725" s="222"/>
      <c r="AR725" s="222"/>
      <c r="AS725" s="222"/>
      <c r="AT725" s="222"/>
      <c r="AU725" s="222"/>
      <c r="AV725" s="222"/>
      <c r="AW725" s="222"/>
      <c r="AX725" s="222"/>
      <c r="AY725" s="222"/>
      <c r="AZ725" s="222"/>
      <c r="BA725" s="222"/>
      <c r="BB725" s="222"/>
      <c r="BC725" s="222"/>
      <c r="BD725" s="222"/>
      <c r="BE725" s="222"/>
      <c r="BF725" s="222"/>
      <c r="BG725" s="222"/>
      <c r="BH725" s="222"/>
      <c r="BI725" s="222"/>
      <c r="BJ725" s="222"/>
      <c r="BK725" s="222"/>
      <c r="BL725" s="222"/>
      <c r="BM725" s="222"/>
      <c r="BN725" s="222"/>
      <c r="BO725" s="222"/>
      <c r="BP725" s="222"/>
      <c r="BQ725" s="222"/>
      <c r="BR725" s="222"/>
      <c r="BS725" s="222"/>
      <c r="BT725" s="222"/>
      <c r="BU725" s="222"/>
      <c r="BV725" s="222"/>
      <c r="BW725" s="222"/>
      <c r="BX725" s="222"/>
      <c r="BY725" s="222"/>
      <c r="BZ725" s="222"/>
      <c r="CA725" s="222"/>
      <c r="CB725" s="222"/>
      <c r="CC725" s="222"/>
      <c r="CD725" s="222"/>
      <c r="CE725" s="222"/>
      <c r="CF725" s="222"/>
      <c r="CG725" s="222"/>
      <c r="CH725" s="222"/>
      <c r="CI725" s="222"/>
      <c r="CJ725" s="222"/>
      <c r="CK725" s="222"/>
      <c r="CL725" s="222"/>
      <c r="CM725" s="222"/>
      <c r="CN725" s="222"/>
      <c r="CO725" s="222"/>
      <c r="CP725" s="222"/>
      <c r="CQ725" s="222"/>
      <c r="CR725" s="222"/>
      <c r="CS725" s="222"/>
    </row>
    <row r="726">
      <c r="A726" s="43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  <c r="AC726" s="222"/>
      <c r="AD726" s="222"/>
      <c r="AE726" s="222"/>
      <c r="AF726" s="222"/>
      <c r="AG726" s="222"/>
      <c r="AH726" s="222"/>
      <c r="AI726" s="222"/>
      <c r="AJ726" s="222"/>
      <c r="AK726" s="222"/>
      <c r="AL726" s="222"/>
      <c r="AM726" s="222"/>
      <c r="AN726" s="222"/>
      <c r="AO726" s="222"/>
      <c r="AP726" s="222"/>
      <c r="AQ726" s="222"/>
      <c r="AR726" s="222"/>
      <c r="AS726" s="222"/>
      <c r="AT726" s="222"/>
      <c r="AU726" s="222"/>
      <c r="AV726" s="222"/>
      <c r="AW726" s="222"/>
      <c r="AX726" s="222"/>
      <c r="AY726" s="222"/>
      <c r="AZ726" s="222"/>
      <c r="BA726" s="222"/>
      <c r="BB726" s="222"/>
      <c r="BC726" s="222"/>
      <c r="BD726" s="222"/>
      <c r="BE726" s="222"/>
      <c r="BF726" s="222"/>
      <c r="BG726" s="222"/>
      <c r="BH726" s="222"/>
      <c r="BI726" s="222"/>
      <c r="BJ726" s="222"/>
      <c r="BK726" s="222"/>
      <c r="BL726" s="222"/>
      <c r="BM726" s="222"/>
      <c r="BN726" s="222"/>
      <c r="BO726" s="222"/>
      <c r="BP726" s="222"/>
      <c r="BQ726" s="222"/>
      <c r="BR726" s="222"/>
      <c r="BS726" s="222"/>
      <c r="BT726" s="222"/>
      <c r="BU726" s="222"/>
      <c r="BV726" s="222"/>
      <c r="BW726" s="222"/>
      <c r="BX726" s="222"/>
      <c r="BY726" s="222"/>
      <c r="BZ726" s="222"/>
      <c r="CA726" s="222"/>
      <c r="CB726" s="222"/>
      <c r="CC726" s="222"/>
      <c r="CD726" s="222"/>
      <c r="CE726" s="222"/>
      <c r="CF726" s="222"/>
      <c r="CG726" s="222"/>
      <c r="CH726" s="222"/>
      <c r="CI726" s="222"/>
      <c r="CJ726" s="222"/>
      <c r="CK726" s="222"/>
      <c r="CL726" s="222"/>
      <c r="CM726" s="222"/>
      <c r="CN726" s="222"/>
      <c r="CO726" s="222"/>
      <c r="CP726" s="222"/>
      <c r="CQ726" s="222"/>
      <c r="CR726" s="222"/>
      <c r="CS726" s="222"/>
    </row>
    <row r="727">
      <c r="A727" s="43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  <c r="AC727" s="222"/>
      <c r="AD727" s="222"/>
      <c r="AE727" s="222"/>
      <c r="AF727" s="222"/>
      <c r="AG727" s="222"/>
      <c r="AH727" s="222"/>
      <c r="AI727" s="222"/>
      <c r="AJ727" s="222"/>
      <c r="AK727" s="222"/>
      <c r="AL727" s="222"/>
      <c r="AM727" s="222"/>
      <c r="AN727" s="222"/>
      <c r="AO727" s="222"/>
      <c r="AP727" s="222"/>
      <c r="AQ727" s="222"/>
      <c r="AR727" s="222"/>
      <c r="AS727" s="222"/>
      <c r="AT727" s="222"/>
      <c r="AU727" s="222"/>
      <c r="AV727" s="222"/>
      <c r="AW727" s="222"/>
      <c r="AX727" s="222"/>
      <c r="AY727" s="222"/>
      <c r="AZ727" s="222"/>
      <c r="BA727" s="222"/>
      <c r="BB727" s="222"/>
      <c r="BC727" s="222"/>
      <c r="BD727" s="222"/>
      <c r="BE727" s="222"/>
      <c r="BF727" s="222"/>
      <c r="BG727" s="222"/>
      <c r="BH727" s="222"/>
      <c r="BI727" s="222"/>
      <c r="BJ727" s="222"/>
      <c r="BK727" s="222"/>
      <c r="BL727" s="222"/>
      <c r="BM727" s="222"/>
      <c r="BN727" s="222"/>
      <c r="BO727" s="222"/>
      <c r="BP727" s="222"/>
      <c r="BQ727" s="222"/>
      <c r="BR727" s="222"/>
      <c r="BS727" s="222"/>
      <c r="BT727" s="222"/>
      <c r="BU727" s="222"/>
      <c r="BV727" s="222"/>
      <c r="BW727" s="222"/>
      <c r="BX727" s="222"/>
      <c r="BY727" s="222"/>
      <c r="BZ727" s="222"/>
      <c r="CA727" s="222"/>
      <c r="CB727" s="222"/>
      <c r="CC727" s="222"/>
      <c r="CD727" s="222"/>
      <c r="CE727" s="222"/>
      <c r="CF727" s="222"/>
      <c r="CG727" s="222"/>
      <c r="CH727" s="222"/>
      <c r="CI727" s="222"/>
      <c r="CJ727" s="222"/>
      <c r="CK727" s="222"/>
      <c r="CL727" s="222"/>
      <c r="CM727" s="222"/>
      <c r="CN727" s="222"/>
      <c r="CO727" s="222"/>
      <c r="CP727" s="222"/>
      <c r="CQ727" s="222"/>
      <c r="CR727" s="222"/>
      <c r="CS727" s="222"/>
    </row>
    <row r="728">
      <c r="A728" s="43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  <c r="AC728" s="222"/>
      <c r="AD728" s="222"/>
      <c r="AE728" s="222"/>
      <c r="AF728" s="222"/>
      <c r="AG728" s="222"/>
      <c r="AH728" s="222"/>
      <c r="AI728" s="222"/>
      <c r="AJ728" s="222"/>
      <c r="AK728" s="222"/>
      <c r="AL728" s="222"/>
      <c r="AM728" s="222"/>
      <c r="AN728" s="222"/>
      <c r="AO728" s="222"/>
      <c r="AP728" s="222"/>
      <c r="AQ728" s="222"/>
      <c r="AR728" s="222"/>
      <c r="AS728" s="222"/>
      <c r="AT728" s="222"/>
      <c r="AU728" s="222"/>
      <c r="AV728" s="222"/>
      <c r="AW728" s="222"/>
      <c r="AX728" s="222"/>
      <c r="AY728" s="222"/>
      <c r="AZ728" s="222"/>
      <c r="BA728" s="222"/>
      <c r="BB728" s="222"/>
      <c r="BC728" s="222"/>
      <c r="BD728" s="222"/>
      <c r="BE728" s="222"/>
      <c r="BF728" s="222"/>
      <c r="BG728" s="222"/>
      <c r="BH728" s="222"/>
      <c r="BI728" s="222"/>
      <c r="BJ728" s="222"/>
      <c r="BK728" s="222"/>
      <c r="BL728" s="222"/>
      <c r="BM728" s="222"/>
      <c r="BN728" s="222"/>
      <c r="BO728" s="222"/>
      <c r="BP728" s="222"/>
      <c r="BQ728" s="222"/>
      <c r="BR728" s="222"/>
      <c r="BS728" s="222"/>
      <c r="BT728" s="222"/>
      <c r="BU728" s="222"/>
      <c r="BV728" s="222"/>
      <c r="BW728" s="222"/>
      <c r="BX728" s="222"/>
      <c r="BY728" s="222"/>
      <c r="BZ728" s="222"/>
      <c r="CA728" s="222"/>
      <c r="CB728" s="222"/>
      <c r="CC728" s="222"/>
      <c r="CD728" s="222"/>
      <c r="CE728" s="222"/>
      <c r="CF728" s="222"/>
      <c r="CG728" s="222"/>
      <c r="CH728" s="222"/>
      <c r="CI728" s="222"/>
      <c r="CJ728" s="222"/>
      <c r="CK728" s="222"/>
      <c r="CL728" s="222"/>
      <c r="CM728" s="222"/>
      <c r="CN728" s="222"/>
      <c r="CO728" s="222"/>
      <c r="CP728" s="222"/>
      <c r="CQ728" s="222"/>
      <c r="CR728" s="222"/>
      <c r="CS728" s="222"/>
    </row>
    <row r="729">
      <c r="A729" s="43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  <c r="AC729" s="222"/>
      <c r="AD729" s="222"/>
      <c r="AE729" s="222"/>
      <c r="AF729" s="222"/>
      <c r="AG729" s="222"/>
      <c r="AH729" s="222"/>
      <c r="AI729" s="222"/>
      <c r="AJ729" s="222"/>
      <c r="AK729" s="222"/>
      <c r="AL729" s="222"/>
      <c r="AM729" s="222"/>
      <c r="AN729" s="222"/>
      <c r="AO729" s="222"/>
      <c r="AP729" s="222"/>
      <c r="AQ729" s="222"/>
      <c r="AR729" s="222"/>
      <c r="AS729" s="222"/>
      <c r="AT729" s="222"/>
      <c r="AU729" s="222"/>
      <c r="AV729" s="222"/>
      <c r="AW729" s="222"/>
      <c r="AX729" s="222"/>
      <c r="AY729" s="222"/>
      <c r="AZ729" s="222"/>
      <c r="BA729" s="222"/>
      <c r="BB729" s="222"/>
      <c r="BC729" s="222"/>
      <c r="BD729" s="222"/>
      <c r="BE729" s="222"/>
      <c r="BF729" s="222"/>
      <c r="BG729" s="222"/>
      <c r="BH729" s="222"/>
      <c r="BI729" s="222"/>
      <c r="BJ729" s="222"/>
      <c r="BK729" s="222"/>
      <c r="BL729" s="222"/>
      <c r="BM729" s="222"/>
      <c r="BN729" s="222"/>
      <c r="BO729" s="222"/>
      <c r="BP729" s="222"/>
      <c r="BQ729" s="222"/>
      <c r="BR729" s="222"/>
      <c r="BS729" s="222"/>
      <c r="BT729" s="222"/>
      <c r="BU729" s="222"/>
      <c r="BV729" s="222"/>
      <c r="BW729" s="222"/>
      <c r="BX729" s="222"/>
      <c r="BY729" s="222"/>
      <c r="BZ729" s="222"/>
      <c r="CA729" s="222"/>
      <c r="CB729" s="222"/>
      <c r="CC729" s="222"/>
      <c r="CD729" s="222"/>
      <c r="CE729" s="222"/>
      <c r="CF729" s="222"/>
      <c r="CG729" s="222"/>
      <c r="CH729" s="222"/>
      <c r="CI729" s="222"/>
      <c r="CJ729" s="222"/>
      <c r="CK729" s="222"/>
      <c r="CL729" s="222"/>
      <c r="CM729" s="222"/>
      <c r="CN729" s="222"/>
      <c r="CO729" s="222"/>
      <c r="CP729" s="222"/>
      <c r="CQ729" s="222"/>
      <c r="CR729" s="222"/>
      <c r="CS729" s="222"/>
    </row>
    <row r="730">
      <c r="A730" s="43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2"/>
      <c r="AE730" s="222"/>
      <c r="AF730" s="222"/>
      <c r="AG730" s="222"/>
      <c r="AH730" s="222"/>
      <c r="AI730" s="222"/>
      <c r="AJ730" s="222"/>
      <c r="AK730" s="222"/>
      <c r="AL730" s="222"/>
      <c r="AM730" s="222"/>
      <c r="AN730" s="222"/>
      <c r="AO730" s="222"/>
      <c r="AP730" s="222"/>
      <c r="AQ730" s="222"/>
      <c r="AR730" s="222"/>
      <c r="AS730" s="222"/>
      <c r="AT730" s="222"/>
      <c r="AU730" s="222"/>
      <c r="AV730" s="222"/>
      <c r="AW730" s="222"/>
      <c r="AX730" s="222"/>
      <c r="AY730" s="222"/>
      <c r="AZ730" s="222"/>
      <c r="BA730" s="222"/>
      <c r="BB730" s="222"/>
      <c r="BC730" s="222"/>
      <c r="BD730" s="222"/>
      <c r="BE730" s="222"/>
      <c r="BF730" s="222"/>
      <c r="BG730" s="222"/>
      <c r="BH730" s="222"/>
      <c r="BI730" s="222"/>
      <c r="BJ730" s="222"/>
      <c r="BK730" s="222"/>
      <c r="BL730" s="222"/>
      <c r="BM730" s="222"/>
      <c r="BN730" s="222"/>
      <c r="BO730" s="222"/>
      <c r="BP730" s="222"/>
      <c r="BQ730" s="222"/>
      <c r="BR730" s="222"/>
      <c r="BS730" s="222"/>
      <c r="BT730" s="222"/>
      <c r="BU730" s="222"/>
      <c r="BV730" s="222"/>
      <c r="BW730" s="222"/>
      <c r="BX730" s="222"/>
      <c r="BY730" s="222"/>
      <c r="BZ730" s="222"/>
      <c r="CA730" s="222"/>
      <c r="CB730" s="222"/>
      <c r="CC730" s="222"/>
      <c r="CD730" s="222"/>
      <c r="CE730" s="222"/>
      <c r="CF730" s="222"/>
      <c r="CG730" s="222"/>
      <c r="CH730" s="222"/>
      <c r="CI730" s="222"/>
      <c r="CJ730" s="222"/>
      <c r="CK730" s="222"/>
      <c r="CL730" s="222"/>
      <c r="CM730" s="222"/>
      <c r="CN730" s="222"/>
      <c r="CO730" s="222"/>
      <c r="CP730" s="222"/>
      <c r="CQ730" s="222"/>
      <c r="CR730" s="222"/>
      <c r="CS730" s="222"/>
    </row>
    <row r="731">
      <c r="A731" s="43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  <c r="AC731" s="222"/>
      <c r="AD731" s="222"/>
      <c r="AE731" s="222"/>
      <c r="AF731" s="222"/>
      <c r="AG731" s="222"/>
      <c r="AH731" s="222"/>
      <c r="AI731" s="222"/>
      <c r="AJ731" s="222"/>
      <c r="AK731" s="222"/>
      <c r="AL731" s="222"/>
      <c r="AM731" s="222"/>
      <c r="AN731" s="222"/>
      <c r="AO731" s="222"/>
      <c r="AP731" s="222"/>
      <c r="AQ731" s="222"/>
      <c r="AR731" s="222"/>
      <c r="AS731" s="222"/>
      <c r="AT731" s="222"/>
      <c r="AU731" s="222"/>
      <c r="AV731" s="222"/>
      <c r="AW731" s="222"/>
      <c r="AX731" s="222"/>
      <c r="AY731" s="222"/>
      <c r="AZ731" s="222"/>
      <c r="BA731" s="222"/>
      <c r="BB731" s="222"/>
      <c r="BC731" s="222"/>
      <c r="BD731" s="222"/>
      <c r="BE731" s="222"/>
      <c r="BF731" s="222"/>
      <c r="BG731" s="222"/>
      <c r="BH731" s="222"/>
      <c r="BI731" s="222"/>
      <c r="BJ731" s="222"/>
      <c r="BK731" s="222"/>
      <c r="BL731" s="222"/>
      <c r="BM731" s="222"/>
      <c r="BN731" s="222"/>
      <c r="BO731" s="222"/>
      <c r="BP731" s="222"/>
      <c r="BQ731" s="222"/>
      <c r="BR731" s="222"/>
      <c r="BS731" s="222"/>
      <c r="BT731" s="222"/>
      <c r="BU731" s="222"/>
      <c r="BV731" s="222"/>
      <c r="BW731" s="222"/>
      <c r="BX731" s="222"/>
      <c r="BY731" s="222"/>
      <c r="BZ731" s="222"/>
      <c r="CA731" s="222"/>
      <c r="CB731" s="222"/>
      <c r="CC731" s="222"/>
      <c r="CD731" s="222"/>
      <c r="CE731" s="222"/>
      <c r="CF731" s="222"/>
      <c r="CG731" s="222"/>
      <c r="CH731" s="222"/>
      <c r="CI731" s="222"/>
      <c r="CJ731" s="222"/>
      <c r="CK731" s="222"/>
      <c r="CL731" s="222"/>
      <c r="CM731" s="222"/>
      <c r="CN731" s="222"/>
      <c r="CO731" s="222"/>
      <c r="CP731" s="222"/>
      <c r="CQ731" s="222"/>
      <c r="CR731" s="222"/>
      <c r="CS731" s="222"/>
    </row>
    <row r="732">
      <c r="A732" s="43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  <c r="AC732" s="222"/>
      <c r="AD732" s="222"/>
      <c r="AE732" s="222"/>
      <c r="AF732" s="222"/>
      <c r="AG732" s="222"/>
      <c r="AH732" s="222"/>
      <c r="AI732" s="222"/>
      <c r="AJ732" s="222"/>
      <c r="AK732" s="222"/>
      <c r="AL732" s="222"/>
      <c r="AM732" s="222"/>
      <c r="AN732" s="222"/>
      <c r="AO732" s="222"/>
      <c r="AP732" s="222"/>
      <c r="AQ732" s="222"/>
      <c r="AR732" s="222"/>
      <c r="AS732" s="222"/>
      <c r="AT732" s="222"/>
      <c r="AU732" s="222"/>
      <c r="AV732" s="222"/>
      <c r="AW732" s="222"/>
      <c r="AX732" s="222"/>
      <c r="AY732" s="222"/>
      <c r="AZ732" s="222"/>
      <c r="BA732" s="222"/>
      <c r="BB732" s="222"/>
      <c r="BC732" s="222"/>
      <c r="BD732" s="222"/>
      <c r="BE732" s="222"/>
      <c r="BF732" s="222"/>
      <c r="BG732" s="222"/>
      <c r="BH732" s="222"/>
      <c r="BI732" s="222"/>
      <c r="BJ732" s="222"/>
      <c r="BK732" s="222"/>
      <c r="BL732" s="222"/>
      <c r="BM732" s="222"/>
      <c r="BN732" s="222"/>
      <c r="BO732" s="222"/>
      <c r="BP732" s="222"/>
      <c r="BQ732" s="222"/>
      <c r="BR732" s="222"/>
      <c r="BS732" s="222"/>
      <c r="BT732" s="222"/>
      <c r="BU732" s="222"/>
      <c r="BV732" s="222"/>
      <c r="BW732" s="222"/>
      <c r="BX732" s="222"/>
      <c r="BY732" s="222"/>
      <c r="BZ732" s="222"/>
      <c r="CA732" s="222"/>
      <c r="CB732" s="222"/>
      <c r="CC732" s="222"/>
      <c r="CD732" s="222"/>
      <c r="CE732" s="222"/>
      <c r="CF732" s="222"/>
      <c r="CG732" s="222"/>
      <c r="CH732" s="222"/>
      <c r="CI732" s="222"/>
      <c r="CJ732" s="222"/>
      <c r="CK732" s="222"/>
      <c r="CL732" s="222"/>
      <c r="CM732" s="222"/>
      <c r="CN732" s="222"/>
      <c r="CO732" s="222"/>
      <c r="CP732" s="222"/>
      <c r="CQ732" s="222"/>
      <c r="CR732" s="222"/>
      <c r="CS732" s="222"/>
    </row>
    <row r="733">
      <c r="A733" s="43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  <c r="AC733" s="222"/>
      <c r="AD733" s="222"/>
      <c r="AE733" s="222"/>
      <c r="AF733" s="222"/>
      <c r="AG733" s="222"/>
      <c r="AH733" s="222"/>
      <c r="AI733" s="222"/>
      <c r="AJ733" s="222"/>
      <c r="AK733" s="222"/>
      <c r="AL733" s="222"/>
      <c r="AM733" s="222"/>
      <c r="AN733" s="222"/>
      <c r="AO733" s="222"/>
      <c r="AP733" s="222"/>
      <c r="AQ733" s="222"/>
      <c r="AR733" s="222"/>
      <c r="AS733" s="222"/>
      <c r="AT733" s="222"/>
      <c r="AU733" s="222"/>
      <c r="AV733" s="222"/>
      <c r="AW733" s="222"/>
      <c r="AX733" s="222"/>
      <c r="AY733" s="222"/>
      <c r="AZ733" s="222"/>
      <c r="BA733" s="222"/>
      <c r="BB733" s="222"/>
      <c r="BC733" s="222"/>
      <c r="BD733" s="222"/>
      <c r="BE733" s="222"/>
      <c r="BF733" s="222"/>
      <c r="BG733" s="222"/>
      <c r="BH733" s="222"/>
      <c r="BI733" s="222"/>
      <c r="BJ733" s="222"/>
      <c r="BK733" s="222"/>
      <c r="BL733" s="222"/>
      <c r="BM733" s="222"/>
      <c r="BN733" s="222"/>
      <c r="BO733" s="222"/>
      <c r="BP733" s="222"/>
      <c r="BQ733" s="222"/>
      <c r="BR733" s="222"/>
      <c r="BS733" s="222"/>
      <c r="BT733" s="222"/>
      <c r="BU733" s="222"/>
      <c r="BV733" s="222"/>
      <c r="BW733" s="222"/>
      <c r="BX733" s="222"/>
      <c r="BY733" s="222"/>
      <c r="BZ733" s="222"/>
      <c r="CA733" s="222"/>
      <c r="CB733" s="222"/>
      <c r="CC733" s="222"/>
      <c r="CD733" s="222"/>
      <c r="CE733" s="222"/>
      <c r="CF733" s="222"/>
      <c r="CG733" s="222"/>
      <c r="CH733" s="222"/>
      <c r="CI733" s="222"/>
      <c r="CJ733" s="222"/>
      <c r="CK733" s="222"/>
      <c r="CL733" s="222"/>
      <c r="CM733" s="222"/>
      <c r="CN733" s="222"/>
      <c r="CO733" s="222"/>
      <c r="CP733" s="222"/>
      <c r="CQ733" s="222"/>
      <c r="CR733" s="222"/>
      <c r="CS733" s="222"/>
    </row>
    <row r="734">
      <c r="A734" s="43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  <c r="AC734" s="222"/>
      <c r="AD734" s="222"/>
      <c r="AE734" s="222"/>
      <c r="AF734" s="222"/>
      <c r="AG734" s="222"/>
      <c r="AH734" s="222"/>
      <c r="AI734" s="222"/>
      <c r="AJ734" s="222"/>
      <c r="AK734" s="222"/>
      <c r="AL734" s="222"/>
      <c r="AM734" s="222"/>
      <c r="AN734" s="222"/>
      <c r="AO734" s="222"/>
      <c r="AP734" s="222"/>
      <c r="AQ734" s="222"/>
      <c r="AR734" s="222"/>
      <c r="AS734" s="222"/>
      <c r="AT734" s="222"/>
      <c r="AU734" s="222"/>
      <c r="AV734" s="222"/>
      <c r="AW734" s="222"/>
      <c r="AX734" s="222"/>
      <c r="AY734" s="222"/>
      <c r="AZ734" s="222"/>
      <c r="BA734" s="222"/>
      <c r="BB734" s="222"/>
      <c r="BC734" s="222"/>
      <c r="BD734" s="222"/>
      <c r="BE734" s="222"/>
      <c r="BF734" s="222"/>
      <c r="BG734" s="222"/>
      <c r="BH734" s="222"/>
      <c r="BI734" s="222"/>
      <c r="BJ734" s="222"/>
      <c r="BK734" s="222"/>
      <c r="BL734" s="222"/>
      <c r="BM734" s="222"/>
      <c r="BN734" s="222"/>
      <c r="BO734" s="222"/>
      <c r="BP734" s="222"/>
      <c r="BQ734" s="222"/>
      <c r="BR734" s="222"/>
      <c r="BS734" s="222"/>
      <c r="BT734" s="222"/>
      <c r="BU734" s="222"/>
      <c r="BV734" s="222"/>
      <c r="BW734" s="222"/>
      <c r="BX734" s="222"/>
      <c r="BY734" s="222"/>
      <c r="BZ734" s="222"/>
      <c r="CA734" s="222"/>
      <c r="CB734" s="222"/>
      <c r="CC734" s="222"/>
      <c r="CD734" s="222"/>
      <c r="CE734" s="222"/>
      <c r="CF734" s="222"/>
      <c r="CG734" s="222"/>
      <c r="CH734" s="222"/>
      <c r="CI734" s="222"/>
      <c r="CJ734" s="222"/>
      <c r="CK734" s="222"/>
      <c r="CL734" s="222"/>
      <c r="CM734" s="222"/>
      <c r="CN734" s="222"/>
      <c r="CO734" s="222"/>
      <c r="CP734" s="222"/>
      <c r="CQ734" s="222"/>
      <c r="CR734" s="222"/>
      <c r="CS734" s="222"/>
    </row>
    <row r="735">
      <c r="A735" s="43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  <c r="AC735" s="222"/>
      <c r="AD735" s="222"/>
      <c r="AE735" s="222"/>
      <c r="AF735" s="222"/>
      <c r="AG735" s="222"/>
      <c r="AH735" s="222"/>
      <c r="AI735" s="222"/>
      <c r="AJ735" s="222"/>
      <c r="AK735" s="222"/>
      <c r="AL735" s="222"/>
      <c r="AM735" s="222"/>
      <c r="AN735" s="222"/>
      <c r="AO735" s="222"/>
      <c r="AP735" s="222"/>
      <c r="AQ735" s="222"/>
      <c r="AR735" s="222"/>
      <c r="AS735" s="222"/>
      <c r="AT735" s="222"/>
      <c r="AU735" s="222"/>
      <c r="AV735" s="222"/>
      <c r="AW735" s="222"/>
      <c r="AX735" s="222"/>
      <c r="AY735" s="222"/>
      <c r="AZ735" s="222"/>
      <c r="BA735" s="222"/>
      <c r="BB735" s="222"/>
      <c r="BC735" s="222"/>
      <c r="BD735" s="222"/>
      <c r="BE735" s="222"/>
      <c r="BF735" s="222"/>
      <c r="BG735" s="222"/>
      <c r="BH735" s="222"/>
      <c r="BI735" s="222"/>
      <c r="BJ735" s="222"/>
      <c r="BK735" s="222"/>
      <c r="BL735" s="222"/>
      <c r="BM735" s="222"/>
      <c r="BN735" s="222"/>
      <c r="BO735" s="222"/>
      <c r="BP735" s="222"/>
      <c r="BQ735" s="222"/>
      <c r="BR735" s="222"/>
      <c r="BS735" s="222"/>
      <c r="BT735" s="222"/>
      <c r="BU735" s="222"/>
      <c r="BV735" s="222"/>
      <c r="BW735" s="222"/>
      <c r="BX735" s="222"/>
      <c r="BY735" s="222"/>
      <c r="BZ735" s="222"/>
      <c r="CA735" s="222"/>
      <c r="CB735" s="222"/>
      <c r="CC735" s="222"/>
      <c r="CD735" s="222"/>
      <c r="CE735" s="222"/>
      <c r="CF735" s="222"/>
      <c r="CG735" s="222"/>
      <c r="CH735" s="222"/>
      <c r="CI735" s="222"/>
      <c r="CJ735" s="222"/>
      <c r="CK735" s="222"/>
      <c r="CL735" s="222"/>
      <c r="CM735" s="222"/>
      <c r="CN735" s="222"/>
      <c r="CO735" s="222"/>
      <c r="CP735" s="222"/>
      <c r="CQ735" s="222"/>
      <c r="CR735" s="222"/>
      <c r="CS735" s="222"/>
    </row>
    <row r="736">
      <c r="A736" s="43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  <c r="AC736" s="222"/>
      <c r="AD736" s="222"/>
      <c r="AE736" s="222"/>
      <c r="AF736" s="222"/>
      <c r="AG736" s="222"/>
      <c r="AH736" s="222"/>
      <c r="AI736" s="222"/>
      <c r="AJ736" s="222"/>
      <c r="AK736" s="222"/>
      <c r="AL736" s="222"/>
      <c r="AM736" s="222"/>
      <c r="AN736" s="222"/>
      <c r="AO736" s="222"/>
      <c r="AP736" s="222"/>
      <c r="AQ736" s="222"/>
      <c r="AR736" s="222"/>
      <c r="AS736" s="222"/>
      <c r="AT736" s="222"/>
      <c r="AU736" s="222"/>
      <c r="AV736" s="222"/>
      <c r="AW736" s="222"/>
      <c r="AX736" s="222"/>
      <c r="AY736" s="222"/>
      <c r="AZ736" s="222"/>
      <c r="BA736" s="222"/>
      <c r="BB736" s="222"/>
      <c r="BC736" s="222"/>
      <c r="BD736" s="222"/>
      <c r="BE736" s="222"/>
      <c r="BF736" s="222"/>
      <c r="BG736" s="222"/>
      <c r="BH736" s="222"/>
      <c r="BI736" s="222"/>
      <c r="BJ736" s="222"/>
      <c r="BK736" s="222"/>
      <c r="BL736" s="222"/>
      <c r="BM736" s="222"/>
      <c r="BN736" s="222"/>
      <c r="BO736" s="222"/>
      <c r="BP736" s="222"/>
      <c r="BQ736" s="222"/>
      <c r="BR736" s="222"/>
      <c r="BS736" s="222"/>
      <c r="BT736" s="222"/>
      <c r="BU736" s="222"/>
      <c r="BV736" s="222"/>
      <c r="BW736" s="222"/>
      <c r="BX736" s="222"/>
      <c r="BY736" s="222"/>
      <c r="BZ736" s="222"/>
      <c r="CA736" s="222"/>
      <c r="CB736" s="222"/>
      <c r="CC736" s="222"/>
      <c r="CD736" s="222"/>
      <c r="CE736" s="222"/>
      <c r="CF736" s="222"/>
      <c r="CG736" s="222"/>
      <c r="CH736" s="222"/>
      <c r="CI736" s="222"/>
      <c r="CJ736" s="222"/>
      <c r="CK736" s="222"/>
      <c r="CL736" s="222"/>
      <c r="CM736" s="222"/>
      <c r="CN736" s="222"/>
      <c r="CO736" s="222"/>
      <c r="CP736" s="222"/>
      <c r="CQ736" s="222"/>
      <c r="CR736" s="222"/>
      <c r="CS736" s="222"/>
    </row>
    <row r="737">
      <c r="A737" s="43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  <c r="AF737" s="222"/>
      <c r="AG737" s="222"/>
      <c r="AH737" s="222"/>
      <c r="AI737" s="222"/>
      <c r="AJ737" s="222"/>
      <c r="AK737" s="222"/>
      <c r="AL737" s="222"/>
      <c r="AM737" s="222"/>
      <c r="AN737" s="222"/>
      <c r="AO737" s="222"/>
      <c r="AP737" s="222"/>
      <c r="AQ737" s="222"/>
      <c r="AR737" s="222"/>
      <c r="AS737" s="222"/>
      <c r="AT737" s="222"/>
      <c r="AU737" s="222"/>
      <c r="AV737" s="222"/>
      <c r="AW737" s="222"/>
      <c r="AX737" s="222"/>
      <c r="AY737" s="222"/>
      <c r="AZ737" s="222"/>
      <c r="BA737" s="222"/>
      <c r="BB737" s="222"/>
      <c r="BC737" s="222"/>
      <c r="BD737" s="222"/>
      <c r="BE737" s="222"/>
      <c r="BF737" s="222"/>
      <c r="BG737" s="222"/>
      <c r="BH737" s="222"/>
      <c r="BI737" s="222"/>
      <c r="BJ737" s="222"/>
      <c r="BK737" s="222"/>
      <c r="BL737" s="222"/>
      <c r="BM737" s="222"/>
      <c r="BN737" s="222"/>
      <c r="BO737" s="222"/>
      <c r="BP737" s="222"/>
      <c r="BQ737" s="222"/>
      <c r="BR737" s="222"/>
      <c r="BS737" s="222"/>
      <c r="BT737" s="222"/>
      <c r="BU737" s="222"/>
      <c r="BV737" s="222"/>
      <c r="BW737" s="222"/>
      <c r="BX737" s="222"/>
      <c r="BY737" s="222"/>
      <c r="BZ737" s="222"/>
      <c r="CA737" s="222"/>
      <c r="CB737" s="222"/>
      <c r="CC737" s="222"/>
      <c r="CD737" s="222"/>
      <c r="CE737" s="222"/>
      <c r="CF737" s="222"/>
      <c r="CG737" s="222"/>
      <c r="CH737" s="222"/>
      <c r="CI737" s="222"/>
      <c r="CJ737" s="222"/>
      <c r="CK737" s="222"/>
      <c r="CL737" s="222"/>
      <c r="CM737" s="222"/>
      <c r="CN737" s="222"/>
      <c r="CO737" s="222"/>
      <c r="CP737" s="222"/>
      <c r="CQ737" s="222"/>
      <c r="CR737" s="222"/>
      <c r="CS737" s="222"/>
    </row>
    <row r="738">
      <c r="A738" s="43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  <c r="AC738" s="222"/>
      <c r="AD738" s="222"/>
      <c r="AE738" s="222"/>
      <c r="AF738" s="222"/>
      <c r="AG738" s="222"/>
      <c r="AH738" s="222"/>
      <c r="AI738" s="222"/>
      <c r="AJ738" s="222"/>
      <c r="AK738" s="222"/>
      <c r="AL738" s="222"/>
      <c r="AM738" s="222"/>
      <c r="AN738" s="222"/>
      <c r="AO738" s="222"/>
      <c r="AP738" s="222"/>
      <c r="AQ738" s="222"/>
      <c r="AR738" s="222"/>
      <c r="AS738" s="222"/>
      <c r="AT738" s="222"/>
      <c r="AU738" s="222"/>
      <c r="AV738" s="222"/>
      <c r="AW738" s="222"/>
      <c r="AX738" s="222"/>
      <c r="AY738" s="222"/>
      <c r="AZ738" s="222"/>
      <c r="BA738" s="222"/>
      <c r="BB738" s="222"/>
      <c r="BC738" s="222"/>
      <c r="BD738" s="222"/>
      <c r="BE738" s="222"/>
      <c r="BF738" s="222"/>
      <c r="BG738" s="222"/>
      <c r="BH738" s="222"/>
      <c r="BI738" s="222"/>
      <c r="BJ738" s="222"/>
      <c r="BK738" s="222"/>
      <c r="BL738" s="222"/>
      <c r="BM738" s="222"/>
      <c r="BN738" s="222"/>
      <c r="BO738" s="222"/>
      <c r="BP738" s="222"/>
      <c r="BQ738" s="222"/>
      <c r="BR738" s="222"/>
      <c r="BS738" s="222"/>
      <c r="BT738" s="222"/>
      <c r="BU738" s="222"/>
      <c r="BV738" s="222"/>
      <c r="BW738" s="222"/>
      <c r="BX738" s="222"/>
      <c r="BY738" s="222"/>
      <c r="BZ738" s="222"/>
      <c r="CA738" s="222"/>
      <c r="CB738" s="222"/>
      <c r="CC738" s="222"/>
      <c r="CD738" s="222"/>
      <c r="CE738" s="222"/>
      <c r="CF738" s="222"/>
      <c r="CG738" s="222"/>
      <c r="CH738" s="222"/>
      <c r="CI738" s="222"/>
      <c r="CJ738" s="222"/>
      <c r="CK738" s="222"/>
      <c r="CL738" s="222"/>
      <c r="CM738" s="222"/>
      <c r="CN738" s="222"/>
      <c r="CO738" s="222"/>
      <c r="CP738" s="222"/>
      <c r="CQ738" s="222"/>
      <c r="CR738" s="222"/>
      <c r="CS738" s="222"/>
    </row>
    <row r="739">
      <c r="A739" s="43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  <c r="AC739" s="222"/>
      <c r="AD739" s="222"/>
      <c r="AE739" s="222"/>
      <c r="AF739" s="222"/>
      <c r="AG739" s="222"/>
      <c r="AH739" s="222"/>
      <c r="AI739" s="222"/>
      <c r="AJ739" s="222"/>
      <c r="AK739" s="222"/>
      <c r="AL739" s="222"/>
      <c r="AM739" s="222"/>
      <c r="AN739" s="222"/>
      <c r="AO739" s="222"/>
      <c r="AP739" s="222"/>
      <c r="AQ739" s="222"/>
      <c r="AR739" s="222"/>
      <c r="AS739" s="222"/>
      <c r="AT739" s="222"/>
      <c r="AU739" s="222"/>
      <c r="AV739" s="222"/>
      <c r="AW739" s="222"/>
      <c r="AX739" s="222"/>
      <c r="AY739" s="222"/>
      <c r="AZ739" s="222"/>
      <c r="BA739" s="222"/>
      <c r="BB739" s="222"/>
      <c r="BC739" s="222"/>
      <c r="BD739" s="222"/>
      <c r="BE739" s="222"/>
      <c r="BF739" s="222"/>
      <c r="BG739" s="222"/>
      <c r="BH739" s="222"/>
      <c r="BI739" s="222"/>
      <c r="BJ739" s="222"/>
      <c r="BK739" s="222"/>
      <c r="BL739" s="222"/>
      <c r="BM739" s="222"/>
      <c r="BN739" s="222"/>
      <c r="BO739" s="222"/>
      <c r="BP739" s="222"/>
      <c r="BQ739" s="222"/>
      <c r="BR739" s="222"/>
      <c r="BS739" s="222"/>
      <c r="BT739" s="222"/>
      <c r="BU739" s="222"/>
      <c r="BV739" s="222"/>
      <c r="BW739" s="222"/>
      <c r="BX739" s="222"/>
      <c r="BY739" s="222"/>
      <c r="BZ739" s="222"/>
      <c r="CA739" s="222"/>
      <c r="CB739" s="222"/>
      <c r="CC739" s="222"/>
      <c r="CD739" s="222"/>
      <c r="CE739" s="222"/>
      <c r="CF739" s="222"/>
      <c r="CG739" s="222"/>
      <c r="CH739" s="222"/>
      <c r="CI739" s="222"/>
      <c r="CJ739" s="222"/>
      <c r="CK739" s="222"/>
      <c r="CL739" s="222"/>
      <c r="CM739" s="222"/>
      <c r="CN739" s="222"/>
      <c r="CO739" s="222"/>
      <c r="CP739" s="222"/>
      <c r="CQ739" s="222"/>
      <c r="CR739" s="222"/>
      <c r="CS739" s="222"/>
    </row>
    <row r="740">
      <c r="A740" s="43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  <c r="AC740" s="222"/>
      <c r="AD740" s="222"/>
      <c r="AE740" s="222"/>
      <c r="AF740" s="222"/>
      <c r="AG740" s="222"/>
      <c r="AH740" s="222"/>
      <c r="AI740" s="222"/>
      <c r="AJ740" s="222"/>
      <c r="AK740" s="222"/>
      <c r="AL740" s="222"/>
      <c r="AM740" s="222"/>
      <c r="AN740" s="222"/>
      <c r="AO740" s="222"/>
      <c r="AP740" s="222"/>
      <c r="AQ740" s="222"/>
      <c r="AR740" s="222"/>
      <c r="AS740" s="222"/>
      <c r="AT740" s="222"/>
      <c r="AU740" s="222"/>
      <c r="AV740" s="222"/>
      <c r="AW740" s="222"/>
      <c r="AX740" s="222"/>
      <c r="AY740" s="222"/>
      <c r="AZ740" s="222"/>
      <c r="BA740" s="222"/>
      <c r="BB740" s="222"/>
      <c r="BC740" s="222"/>
      <c r="BD740" s="222"/>
      <c r="BE740" s="222"/>
      <c r="BF740" s="222"/>
      <c r="BG740" s="222"/>
      <c r="BH740" s="222"/>
      <c r="BI740" s="222"/>
      <c r="BJ740" s="222"/>
      <c r="BK740" s="222"/>
      <c r="BL740" s="222"/>
      <c r="BM740" s="222"/>
      <c r="BN740" s="222"/>
      <c r="BO740" s="222"/>
      <c r="BP740" s="222"/>
      <c r="BQ740" s="222"/>
      <c r="BR740" s="222"/>
      <c r="BS740" s="222"/>
      <c r="BT740" s="222"/>
      <c r="BU740" s="222"/>
      <c r="BV740" s="222"/>
      <c r="BW740" s="222"/>
      <c r="BX740" s="222"/>
      <c r="BY740" s="222"/>
      <c r="BZ740" s="222"/>
      <c r="CA740" s="222"/>
      <c r="CB740" s="222"/>
      <c r="CC740" s="222"/>
      <c r="CD740" s="222"/>
      <c r="CE740" s="222"/>
      <c r="CF740" s="222"/>
      <c r="CG740" s="222"/>
      <c r="CH740" s="222"/>
      <c r="CI740" s="222"/>
      <c r="CJ740" s="222"/>
      <c r="CK740" s="222"/>
      <c r="CL740" s="222"/>
      <c r="CM740" s="222"/>
      <c r="CN740" s="222"/>
      <c r="CO740" s="222"/>
      <c r="CP740" s="222"/>
      <c r="CQ740" s="222"/>
      <c r="CR740" s="222"/>
      <c r="CS740" s="222"/>
    </row>
    <row r="741">
      <c r="A741" s="43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  <c r="AE741" s="222"/>
      <c r="AF741" s="222"/>
      <c r="AG741" s="222"/>
      <c r="AH741" s="222"/>
      <c r="AI741" s="222"/>
      <c r="AJ741" s="222"/>
      <c r="AK741" s="222"/>
      <c r="AL741" s="222"/>
      <c r="AM741" s="222"/>
      <c r="AN741" s="222"/>
      <c r="AO741" s="222"/>
      <c r="AP741" s="222"/>
      <c r="AQ741" s="222"/>
      <c r="AR741" s="222"/>
      <c r="AS741" s="222"/>
      <c r="AT741" s="222"/>
      <c r="AU741" s="222"/>
      <c r="AV741" s="222"/>
      <c r="AW741" s="222"/>
      <c r="AX741" s="222"/>
      <c r="AY741" s="222"/>
      <c r="AZ741" s="222"/>
      <c r="BA741" s="222"/>
      <c r="BB741" s="222"/>
      <c r="BC741" s="222"/>
      <c r="BD741" s="222"/>
      <c r="BE741" s="222"/>
      <c r="BF741" s="222"/>
      <c r="BG741" s="222"/>
      <c r="BH741" s="222"/>
      <c r="BI741" s="222"/>
      <c r="BJ741" s="222"/>
      <c r="BK741" s="222"/>
      <c r="BL741" s="222"/>
      <c r="BM741" s="222"/>
      <c r="BN741" s="222"/>
      <c r="BO741" s="222"/>
      <c r="BP741" s="222"/>
      <c r="BQ741" s="222"/>
      <c r="BR741" s="222"/>
      <c r="BS741" s="222"/>
      <c r="BT741" s="222"/>
      <c r="BU741" s="222"/>
      <c r="BV741" s="222"/>
      <c r="BW741" s="222"/>
      <c r="BX741" s="222"/>
      <c r="BY741" s="222"/>
      <c r="BZ741" s="222"/>
      <c r="CA741" s="222"/>
      <c r="CB741" s="222"/>
      <c r="CC741" s="222"/>
      <c r="CD741" s="222"/>
      <c r="CE741" s="222"/>
      <c r="CF741" s="222"/>
      <c r="CG741" s="222"/>
      <c r="CH741" s="222"/>
      <c r="CI741" s="222"/>
      <c r="CJ741" s="222"/>
      <c r="CK741" s="222"/>
      <c r="CL741" s="222"/>
      <c r="CM741" s="222"/>
      <c r="CN741" s="222"/>
      <c r="CO741" s="222"/>
      <c r="CP741" s="222"/>
      <c r="CQ741" s="222"/>
      <c r="CR741" s="222"/>
      <c r="CS741" s="222"/>
    </row>
    <row r="742">
      <c r="A742" s="43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  <c r="AC742" s="222"/>
      <c r="AD742" s="222"/>
      <c r="AE742" s="222"/>
      <c r="AF742" s="222"/>
      <c r="AG742" s="222"/>
      <c r="AH742" s="222"/>
      <c r="AI742" s="222"/>
      <c r="AJ742" s="222"/>
      <c r="AK742" s="222"/>
      <c r="AL742" s="222"/>
      <c r="AM742" s="222"/>
      <c r="AN742" s="222"/>
      <c r="AO742" s="222"/>
      <c r="AP742" s="222"/>
      <c r="AQ742" s="222"/>
      <c r="AR742" s="222"/>
      <c r="AS742" s="222"/>
      <c r="AT742" s="222"/>
      <c r="AU742" s="222"/>
      <c r="AV742" s="222"/>
      <c r="AW742" s="222"/>
      <c r="AX742" s="222"/>
      <c r="AY742" s="222"/>
      <c r="AZ742" s="222"/>
      <c r="BA742" s="222"/>
      <c r="BB742" s="222"/>
      <c r="BC742" s="222"/>
      <c r="BD742" s="222"/>
      <c r="BE742" s="222"/>
      <c r="BF742" s="222"/>
      <c r="BG742" s="222"/>
      <c r="BH742" s="222"/>
      <c r="BI742" s="222"/>
      <c r="BJ742" s="222"/>
      <c r="BK742" s="222"/>
      <c r="BL742" s="222"/>
      <c r="BM742" s="222"/>
      <c r="BN742" s="222"/>
      <c r="BO742" s="222"/>
      <c r="BP742" s="222"/>
      <c r="BQ742" s="222"/>
      <c r="BR742" s="222"/>
      <c r="BS742" s="222"/>
      <c r="BT742" s="222"/>
      <c r="BU742" s="222"/>
      <c r="BV742" s="222"/>
      <c r="BW742" s="222"/>
      <c r="BX742" s="222"/>
      <c r="BY742" s="222"/>
      <c r="BZ742" s="222"/>
      <c r="CA742" s="222"/>
      <c r="CB742" s="222"/>
      <c r="CC742" s="222"/>
      <c r="CD742" s="222"/>
      <c r="CE742" s="222"/>
      <c r="CF742" s="222"/>
      <c r="CG742" s="222"/>
      <c r="CH742" s="222"/>
      <c r="CI742" s="222"/>
      <c r="CJ742" s="222"/>
      <c r="CK742" s="222"/>
      <c r="CL742" s="222"/>
      <c r="CM742" s="222"/>
      <c r="CN742" s="222"/>
      <c r="CO742" s="222"/>
      <c r="CP742" s="222"/>
      <c r="CQ742" s="222"/>
      <c r="CR742" s="222"/>
      <c r="CS742" s="222"/>
    </row>
    <row r="743">
      <c r="A743" s="43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  <c r="AC743" s="222"/>
      <c r="AD743" s="222"/>
      <c r="AE743" s="222"/>
      <c r="AF743" s="222"/>
      <c r="AG743" s="222"/>
      <c r="AH743" s="222"/>
      <c r="AI743" s="222"/>
      <c r="AJ743" s="222"/>
      <c r="AK743" s="222"/>
      <c r="AL743" s="222"/>
      <c r="AM743" s="222"/>
      <c r="AN743" s="222"/>
      <c r="AO743" s="222"/>
      <c r="AP743" s="222"/>
      <c r="AQ743" s="222"/>
      <c r="AR743" s="222"/>
      <c r="AS743" s="222"/>
      <c r="AT743" s="222"/>
      <c r="AU743" s="222"/>
      <c r="AV743" s="222"/>
      <c r="AW743" s="222"/>
      <c r="AX743" s="222"/>
      <c r="AY743" s="222"/>
      <c r="AZ743" s="222"/>
      <c r="BA743" s="222"/>
      <c r="BB743" s="222"/>
      <c r="BC743" s="222"/>
      <c r="BD743" s="222"/>
      <c r="BE743" s="222"/>
      <c r="BF743" s="222"/>
      <c r="BG743" s="222"/>
      <c r="BH743" s="222"/>
      <c r="BI743" s="222"/>
      <c r="BJ743" s="222"/>
      <c r="BK743" s="222"/>
      <c r="BL743" s="222"/>
      <c r="BM743" s="222"/>
      <c r="BN743" s="222"/>
      <c r="BO743" s="222"/>
      <c r="BP743" s="222"/>
      <c r="BQ743" s="222"/>
      <c r="BR743" s="222"/>
      <c r="BS743" s="222"/>
      <c r="BT743" s="222"/>
      <c r="BU743" s="222"/>
      <c r="BV743" s="222"/>
      <c r="BW743" s="222"/>
      <c r="BX743" s="222"/>
      <c r="BY743" s="222"/>
      <c r="BZ743" s="222"/>
      <c r="CA743" s="222"/>
      <c r="CB743" s="222"/>
      <c r="CC743" s="222"/>
      <c r="CD743" s="222"/>
      <c r="CE743" s="222"/>
      <c r="CF743" s="222"/>
      <c r="CG743" s="222"/>
      <c r="CH743" s="222"/>
      <c r="CI743" s="222"/>
      <c r="CJ743" s="222"/>
      <c r="CK743" s="222"/>
      <c r="CL743" s="222"/>
      <c r="CM743" s="222"/>
      <c r="CN743" s="222"/>
      <c r="CO743" s="222"/>
      <c r="CP743" s="222"/>
      <c r="CQ743" s="222"/>
      <c r="CR743" s="222"/>
      <c r="CS743" s="222"/>
    </row>
    <row r="744">
      <c r="A744" s="43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  <c r="AC744" s="222"/>
      <c r="AD744" s="222"/>
      <c r="AE744" s="222"/>
      <c r="AF744" s="222"/>
      <c r="AG744" s="222"/>
      <c r="AH744" s="222"/>
      <c r="AI744" s="222"/>
      <c r="AJ744" s="222"/>
      <c r="AK744" s="222"/>
      <c r="AL744" s="222"/>
      <c r="AM744" s="222"/>
      <c r="AN744" s="222"/>
      <c r="AO744" s="222"/>
      <c r="AP744" s="222"/>
      <c r="AQ744" s="222"/>
      <c r="AR744" s="222"/>
      <c r="AS744" s="222"/>
      <c r="AT744" s="222"/>
      <c r="AU744" s="222"/>
      <c r="AV744" s="222"/>
      <c r="AW744" s="222"/>
      <c r="AX744" s="222"/>
      <c r="AY744" s="222"/>
      <c r="AZ744" s="222"/>
      <c r="BA744" s="222"/>
      <c r="BB744" s="222"/>
      <c r="BC744" s="222"/>
      <c r="BD744" s="222"/>
      <c r="BE744" s="222"/>
      <c r="BF744" s="222"/>
      <c r="BG744" s="222"/>
      <c r="BH744" s="222"/>
      <c r="BI744" s="222"/>
      <c r="BJ744" s="222"/>
      <c r="BK744" s="222"/>
      <c r="BL744" s="222"/>
      <c r="BM744" s="222"/>
      <c r="BN744" s="222"/>
      <c r="BO744" s="222"/>
      <c r="BP744" s="222"/>
      <c r="BQ744" s="222"/>
      <c r="BR744" s="222"/>
      <c r="BS744" s="222"/>
      <c r="BT744" s="222"/>
      <c r="BU744" s="222"/>
      <c r="BV744" s="222"/>
      <c r="BW744" s="222"/>
      <c r="BX744" s="222"/>
      <c r="BY744" s="222"/>
      <c r="BZ744" s="222"/>
      <c r="CA744" s="222"/>
      <c r="CB744" s="222"/>
      <c r="CC744" s="222"/>
      <c r="CD744" s="222"/>
      <c r="CE744" s="222"/>
      <c r="CF744" s="222"/>
      <c r="CG744" s="222"/>
      <c r="CH744" s="222"/>
      <c r="CI744" s="222"/>
      <c r="CJ744" s="222"/>
      <c r="CK744" s="222"/>
      <c r="CL744" s="222"/>
      <c r="CM744" s="222"/>
      <c r="CN744" s="222"/>
      <c r="CO744" s="222"/>
      <c r="CP744" s="222"/>
      <c r="CQ744" s="222"/>
      <c r="CR744" s="222"/>
      <c r="CS744" s="222"/>
    </row>
    <row r="745">
      <c r="A745" s="43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  <c r="AC745" s="222"/>
      <c r="AD745" s="222"/>
      <c r="AE745" s="222"/>
      <c r="AF745" s="222"/>
      <c r="AG745" s="222"/>
      <c r="AH745" s="222"/>
      <c r="AI745" s="222"/>
      <c r="AJ745" s="222"/>
      <c r="AK745" s="222"/>
      <c r="AL745" s="222"/>
      <c r="AM745" s="222"/>
      <c r="AN745" s="222"/>
      <c r="AO745" s="222"/>
      <c r="AP745" s="222"/>
      <c r="AQ745" s="222"/>
      <c r="AR745" s="222"/>
      <c r="AS745" s="222"/>
      <c r="AT745" s="222"/>
      <c r="AU745" s="222"/>
      <c r="AV745" s="222"/>
      <c r="AW745" s="222"/>
      <c r="AX745" s="222"/>
      <c r="AY745" s="222"/>
      <c r="AZ745" s="222"/>
      <c r="BA745" s="222"/>
      <c r="BB745" s="222"/>
      <c r="BC745" s="222"/>
      <c r="BD745" s="222"/>
      <c r="BE745" s="222"/>
      <c r="BF745" s="222"/>
      <c r="BG745" s="222"/>
      <c r="BH745" s="222"/>
      <c r="BI745" s="222"/>
      <c r="BJ745" s="222"/>
      <c r="BK745" s="222"/>
      <c r="BL745" s="222"/>
      <c r="BM745" s="222"/>
      <c r="BN745" s="222"/>
      <c r="BO745" s="222"/>
      <c r="BP745" s="222"/>
      <c r="BQ745" s="222"/>
      <c r="BR745" s="222"/>
      <c r="BS745" s="222"/>
      <c r="BT745" s="222"/>
      <c r="BU745" s="222"/>
      <c r="BV745" s="222"/>
      <c r="BW745" s="222"/>
      <c r="BX745" s="222"/>
      <c r="BY745" s="222"/>
      <c r="BZ745" s="222"/>
      <c r="CA745" s="222"/>
      <c r="CB745" s="222"/>
      <c r="CC745" s="222"/>
      <c r="CD745" s="222"/>
      <c r="CE745" s="222"/>
      <c r="CF745" s="222"/>
      <c r="CG745" s="222"/>
      <c r="CH745" s="222"/>
      <c r="CI745" s="222"/>
      <c r="CJ745" s="222"/>
      <c r="CK745" s="222"/>
      <c r="CL745" s="222"/>
      <c r="CM745" s="222"/>
      <c r="CN745" s="222"/>
      <c r="CO745" s="222"/>
      <c r="CP745" s="222"/>
      <c r="CQ745" s="222"/>
      <c r="CR745" s="222"/>
      <c r="CS745" s="222"/>
    </row>
    <row r="746">
      <c r="A746" s="43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  <c r="AF746" s="222"/>
      <c r="AG746" s="222"/>
      <c r="AH746" s="222"/>
      <c r="AI746" s="222"/>
      <c r="AJ746" s="222"/>
      <c r="AK746" s="222"/>
      <c r="AL746" s="222"/>
      <c r="AM746" s="222"/>
      <c r="AN746" s="222"/>
      <c r="AO746" s="222"/>
      <c r="AP746" s="222"/>
      <c r="AQ746" s="222"/>
      <c r="AR746" s="222"/>
      <c r="AS746" s="222"/>
      <c r="AT746" s="222"/>
      <c r="AU746" s="222"/>
      <c r="AV746" s="222"/>
      <c r="AW746" s="222"/>
      <c r="AX746" s="222"/>
      <c r="AY746" s="222"/>
      <c r="AZ746" s="222"/>
      <c r="BA746" s="222"/>
      <c r="BB746" s="222"/>
      <c r="BC746" s="222"/>
      <c r="BD746" s="222"/>
      <c r="BE746" s="222"/>
      <c r="BF746" s="222"/>
      <c r="BG746" s="222"/>
      <c r="BH746" s="222"/>
      <c r="BI746" s="222"/>
      <c r="BJ746" s="222"/>
      <c r="BK746" s="222"/>
      <c r="BL746" s="222"/>
      <c r="BM746" s="222"/>
      <c r="BN746" s="222"/>
      <c r="BO746" s="222"/>
      <c r="BP746" s="222"/>
      <c r="BQ746" s="222"/>
      <c r="BR746" s="222"/>
      <c r="BS746" s="222"/>
      <c r="BT746" s="222"/>
      <c r="BU746" s="222"/>
      <c r="BV746" s="222"/>
      <c r="BW746" s="222"/>
      <c r="BX746" s="222"/>
      <c r="BY746" s="222"/>
      <c r="BZ746" s="222"/>
      <c r="CA746" s="222"/>
      <c r="CB746" s="222"/>
      <c r="CC746" s="222"/>
      <c r="CD746" s="222"/>
      <c r="CE746" s="222"/>
      <c r="CF746" s="222"/>
      <c r="CG746" s="222"/>
      <c r="CH746" s="222"/>
      <c r="CI746" s="222"/>
      <c r="CJ746" s="222"/>
      <c r="CK746" s="222"/>
      <c r="CL746" s="222"/>
      <c r="CM746" s="222"/>
      <c r="CN746" s="222"/>
      <c r="CO746" s="222"/>
      <c r="CP746" s="222"/>
      <c r="CQ746" s="222"/>
      <c r="CR746" s="222"/>
      <c r="CS746" s="222"/>
    </row>
    <row r="747">
      <c r="A747" s="43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  <c r="AC747" s="222"/>
      <c r="AD747" s="222"/>
      <c r="AE747" s="222"/>
      <c r="AF747" s="222"/>
      <c r="AG747" s="222"/>
      <c r="AH747" s="222"/>
      <c r="AI747" s="222"/>
      <c r="AJ747" s="222"/>
      <c r="AK747" s="222"/>
      <c r="AL747" s="222"/>
      <c r="AM747" s="222"/>
      <c r="AN747" s="222"/>
      <c r="AO747" s="222"/>
      <c r="AP747" s="222"/>
      <c r="AQ747" s="222"/>
      <c r="AR747" s="222"/>
      <c r="AS747" s="222"/>
      <c r="AT747" s="222"/>
      <c r="AU747" s="222"/>
      <c r="AV747" s="222"/>
      <c r="AW747" s="222"/>
      <c r="AX747" s="222"/>
      <c r="AY747" s="222"/>
      <c r="AZ747" s="222"/>
      <c r="BA747" s="222"/>
      <c r="BB747" s="222"/>
      <c r="BC747" s="222"/>
      <c r="BD747" s="222"/>
      <c r="BE747" s="222"/>
      <c r="BF747" s="222"/>
      <c r="BG747" s="222"/>
      <c r="BH747" s="222"/>
      <c r="BI747" s="222"/>
      <c r="BJ747" s="222"/>
      <c r="BK747" s="222"/>
      <c r="BL747" s="222"/>
      <c r="BM747" s="222"/>
      <c r="BN747" s="222"/>
      <c r="BO747" s="222"/>
      <c r="BP747" s="222"/>
      <c r="BQ747" s="222"/>
      <c r="BR747" s="222"/>
      <c r="BS747" s="222"/>
      <c r="BT747" s="222"/>
      <c r="BU747" s="222"/>
      <c r="BV747" s="222"/>
      <c r="BW747" s="222"/>
      <c r="BX747" s="222"/>
      <c r="BY747" s="222"/>
      <c r="BZ747" s="222"/>
      <c r="CA747" s="222"/>
      <c r="CB747" s="222"/>
      <c r="CC747" s="222"/>
      <c r="CD747" s="222"/>
      <c r="CE747" s="222"/>
      <c r="CF747" s="222"/>
      <c r="CG747" s="222"/>
      <c r="CH747" s="222"/>
      <c r="CI747" s="222"/>
      <c r="CJ747" s="222"/>
      <c r="CK747" s="222"/>
      <c r="CL747" s="222"/>
      <c r="CM747" s="222"/>
      <c r="CN747" s="222"/>
      <c r="CO747" s="222"/>
      <c r="CP747" s="222"/>
      <c r="CQ747" s="222"/>
      <c r="CR747" s="222"/>
      <c r="CS747" s="222"/>
    </row>
    <row r="748">
      <c r="A748" s="43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  <c r="AC748" s="222"/>
      <c r="AD748" s="222"/>
      <c r="AE748" s="222"/>
      <c r="AF748" s="222"/>
      <c r="AG748" s="222"/>
      <c r="AH748" s="222"/>
      <c r="AI748" s="222"/>
      <c r="AJ748" s="222"/>
      <c r="AK748" s="222"/>
      <c r="AL748" s="222"/>
      <c r="AM748" s="222"/>
      <c r="AN748" s="222"/>
      <c r="AO748" s="222"/>
      <c r="AP748" s="222"/>
      <c r="AQ748" s="222"/>
      <c r="AR748" s="222"/>
      <c r="AS748" s="222"/>
      <c r="AT748" s="222"/>
      <c r="AU748" s="222"/>
      <c r="AV748" s="222"/>
      <c r="AW748" s="222"/>
      <c r="AX748" s="222"/>
      <c r="AY748" s="222"/>
      <c r="AZ748" s="222"/>
      <c r="BA748" s="222"/>
      <c r="BB748" s="222"/>
      <c r="BC748" s="222"/>
      <c r="BD748" s="222"/>
      <c r="BE748" s="222"/>
      <c r="BF748" s="222"/>
      <c r="BG748" s="222"/>
      <c r="BH748" s="222"/>
      <c r="BI748" s="222"/>
      <c r="BJ748" s="222"/>
      <c r="BK748" s="222"/>
      <c r="BL748" s="222"/>
      <c r="BM748" s="222"/>
      <c r="BN748" s="222"/>
      <c r="BO748" s="222"/>
      <c r="BP748" s="222"/>
      <c r="BQ748" s="222"/>
      <c r="BR748" s="222"/>
      <c r="BS748" s="222"/>
      <c r="BT748" s="222"/>
      <c r="BU748" s="222"/>
      <c r="BV748" s="222"/>
      <c r="BW748" s="222"/>
      <c r="BX748" s="222"/>
      <c r="BY748" s="222"/>
      <c r="BZ748" s="222"/>
      <c r="CA748" s="222"/>
      <c r="CB748" s="222"/>
      <c r="CC748" s="222"/>
      <c r="CD748" s="222"/>
      <c r="CE748" s="222"/>
      <c r="CF748" s="222"/>
      <c r="CG748" s="222"/>
      <c r="CH748" s="222"/>
      <c r="CI748" s="222"/>
      <c r="CJ748" s="222"/>
      <c r="CK748" s="222"/>
      <c r="CL748" s="222"/>
      <c r="CM748" s="222"/>
      <c r="CN748" s="222"/>
      <c r="CO748" s="222"/>
      <c r="CP748" s="222"/>
      <c r="CQ748" s="222"/>
      <c r="CR748" s="222"/>
      <c r="CS748" s="222"/>
    </row>
    <row r="749">
      <c r="A749" s="43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  <c r="AC749" s="222"/>
      <c r="AD749" s="222"/>
      <c r="AE749" s="222"/>
      <c r="AF749" s="222"/>
      <c r="AG749" s="222"/>
      <c r="AH749" s="222"/>
      <c r="AI749" s="222"/>
      <c r="AJ749" s="222"/>
      <c r="AK749" s="222"/>
      <c r="AL749" s="222"/>
      <c r="AM749" s="222"/>
      <c r="AN749" s="222"/>
      <c r="AO749" s="222"/>
      <c r="AP749" s="222"/>
      <c r="AQ749" s="222"/>
      <c r="AR749" s="222"/>
      <c r="AS749" s="222"/>
      <c r="AT749" s="222"/>
      <c r="AU749" s="222"/>
      <c r="AV749" s="222"/>
      <c r="AW749" s="222"/>
      <c r="AX749" s="222"/>
      <c r="AY749" s="222"/>
      <c r="AZ749" s="222"/>
      <c r="BA749" s="222"/>
      <c r="BB749" s="222"/>
      <c r="BC749" s="222"/>
      <c r="BD749" s="222"/>
      <c r="BE749" s="222"/>
      <c r="BF749" s="222"/>
      <c r="BG749" s="222"/>
      <c r="BH749" s="222"/>
      <c r="BI749" s="222"/>
      <c r="BJ749" s="222"/>
      <c r="BK749" s="222"/>
      <c r="BL749" s="222"/>
      <c r="BM749" s="222"/>
      <c r="BN749" s="222"/>
      <c r="BO749" s="222"/>
      <c r="BP749" s="222"/>
      <c r="BQ749" s="222"/>
      <c r="BR749" s="222"/>
      <c r="BS749" s="222"/>
      <c r="BT749" s="222"/>
      <c r="BU749" s="222"/>
      <c r="BV749" s="222"/>
      <c r="BW749" s="222"/>
      <c r="BX749" s="222"/>
      <c r="BY749" s="222"/>
      <c r="BZ749" s="222"/>
      <c r="CA749" s="222"/>
      <c r="CB749" s="222"/>
      <c r="CC749" s="222"/>
      <c r="CD749" s="222"/>
      <c r="CE749" s="222"/>
      <c r="CF749" s="222"/>
      <c r="CG749" s="222"/>
      <c r="CH749" s="222"/>
      <c r="CI749" s="222"/>
      <c r="CJ749" s="222"/>
      <c r="CK749" s="222"/>
      <c r="CL749" s="222"/>
      <c r="CM749" s="222"/>
      <c r="CN749" s="222"/>
      <c r="CO749" s="222"/>
      <c r="CP749" s="222"/>
      <c r="CQ749" s="222"/>
      <c r="CR749" s="222"/>
      <c r="CS749" s="222"/>
    </row>
    <row r="750">
      <c r="A750" s="43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  <c r="AC750" s="222"/>
      <c r="AD750" s="222"/>
      <c r="AE750" s="222"/>
      <c r="AF750" s="222"/>
      <c r="AG750" s="222"/>
      <c r="AH750" s="222"/>
      <c r="AI750" s="222"/>
      <c r="AJ750" s="222"/>
      <c r="AK750" s="222"/>
      <c r="AL750" s="222"/>
      <c r="AM750" s="222"/>
      <c r="AN750" s="222"/>
      <c r="AO750" s="222"/>
      <c r="AP750" s="222"/>
      <c r="AQ750" s="222"/>
      <c r="AR750" s="222"/>
      <c r="AS750" s="222"/>
      <c r="AT750" s="222"/>
      <c r="AU750" s="222"/>
      <c r="AV750" s="222"/>
      <c r="AW750" s="222"/>
      <c r="AX750" s="222"/>
      <c r="AY750" s="222"/>
      <c r="AZ750" s="222"/>
      <c r="BA750" s="222"/>
      <c r="BB750" s="222"/>
      <c r="BC750" s="222"/>
      <c r="BD750" s="222"/>
      <c r="BE750" s="222"/>
      <c r="BF750" s="222"/>
      <c r="BG750" s="222"/>
      <c r="BH750" s="222"/>
      <c r="BI750" s="222"/>
      <c r="BJ750" s="222"/>
      <c r="BK750" s="222"/>
      <c r="BL750" s="222"/>
      <c r="BM750" s="222"/>
      <c r="BN750" s="222"/>
      <c r="BO750" s="222"/>
      <c r="BP750" s="222"/>
      <c r="BQ750" s="222"/>
      <c r="BR750" s="222"/>
      <c r="BS750" s="222"/>
      <c r="BT750" s="222"/>
      <c r="BU750" s="222"/>
      <c r="BV750" s="222"/>
      <c r="BW750" s="222"/>
      <c r="BX750" s="222"/>
      <c r="BY750" s="222"/>
      <c r="BZ750" s="222"/>
      <c r="CA750" s="222"/>
      <c r="CB750" s="222"/>
      <c r="CC750" s="222"/>
      <c r="CD750" s="222"/>
      <c r="CE750" s="222"/>
      <c r="CF750" s="222"/>
      <c r="CG750" s="222"/>
      <c r="CH750" s="222"/>
      <c r="CI750" s="222"/>
      <c r="CJ750" s="222"/>
      <c r="CK750" s="222"/>
      <c r="CL750" s="222"/>
      <c r="CM750" s="222"/>
      <c r="CN750" s="222"/>
      <c r="CO750" s="222"/>
      <c r="CP750" s="222"/>
      <c r="CQ750" s="222"/>
      <c r="CR750" s="222"/>
      <c r="CS750" s="222"/>
    </row>
    <row r="751">
      <c r="A751" s="43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  <c r="AC751" s="222"/>
      <c r="AD751" s="222"/>
      <c r="AE751" s="222"/>
      <c r="AF751" s="222"/>
      <c r="AG751" s="222"/>
      <c r="AH751" s="222"/>
      <c r="AI751" s="222"/>
      <c r="AJ751" s="222"/>
      <c r="AK751" s="222"/>
      <c r="AL751" s="222"/>
      <c r="AM751" s="222"/>
      <c r="AN751" s="222"/>
      <c r="AO751" s="222"/>
      <c r="AP751" s="222"/>
      <c r="AQ751" s="222"/>
      <c r="AR751" s="222"/>
      <c r="AS751" s="222"/>
      <c r="AT751" s="222"/>
      <c r="AU751" s="222"/>
      <c r="AV751" s="222"/>
      <c r="AW751" s="222"/>
      <c r="AX751" s="222"/>
      <c r="AY751" s="222"/>
      <c r="AZ751" s="222"/>
      <c r="BA751" s="222"/>
      <c r="BB751" s="222"/>
      <c r="BC751" s="222"/>
      <c r="BD751" s="222"/>
      <c r="BE751" s="222"/>
      <c r="BF751" s="222"/>
      <c r="BG751" s="222"/>
      <c r="BH751" s="222"/>
      <c r="BI751" s="222"/>
      <c r="BJ751" s="222"/>
      <c r="BK751" s="222"/>
      <c r="BL751" s="222"/>
      <c r="BM751" s="222"/>
      <c r="BN751" s="222"/>
      <c r="BO751" s="222"/>
      <c r="BP751" s="222"/>
      <c r="BQ751" s="222"/>
      <c r="BR751" s="222"/>
      <c r="BS751" s="222"/>
      <c r="BT751" s="222"/>
      <c r="BU751" s="222"/>
      <c r="BV751" s="222"/>
      <c r="BW751" s="222"/>
      <c r="BX751" s="222"/>
      <c r="BY751" s="222"/>
      <c r="BZ751" s="222"/>
      <c r="CA751" s="222"/>
      <c r="CB751" s="222"/>
      <c r="CC751" s="222"/>
      <c r="CD751" s="222"/>
      <c r="CE751" s="222"/>
      <c r="CF751" s="222"/>
      <c r="CG751" s="222"/>
      <c r="CH751" s="222"/>
      <c r="CI751" s="222"/>
      <c r="CJ751" s="222"/>
      <c r="CK751" s="222"/>
      <c r="CL751" s="222"/>
      <c r="CM751" s="222"/>
      <c r="CN751" s="222"/>
      <c r="CO751" s="222"/>
      <c r="CP751" s="222"/>
      <c r="CQ751" s="222"/>
      <c r="CR751" s="222"/>
      <c r="CS751" s="222"/>
    </row>
    <row r="752">
      <c r="A752" s="43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  <c r="AC752" s="222"/>
      <c r="AD752" s="222"/>
      <c r="AE752" s="222"/>
      <c r="AF752" s="222"/>
      <c r="AG752" s="222"/>
      <c r="AH752" s="222"/>
      <c r="AI752" s="222"/>
      <c r="AJ752" s="222"/>
      <c r="AK752" s="222"/>
      <c r="AL752" s="222"/>
      <c r="AM752" s="222"/>
      <c r="AN752" s="222"/>
      <c r="AO752" s="222"/>
      <c r="AP752" s="222"/>
      <c r="AQ752" s="222"/>
      <c r="AR752" s="222"/>
      <c r="AS752" s="222"/>
      <c r="AT752" s="222"/>
      <c r="AU752" s="222"/>
      <c r="AV752" s="222"/>
      <c r="AW752" s="222"/>
      <c r="AX752" s="222"/>
      <c r="AY752" s="222"/>
      <c r="AZ752" s="222"/>
      <c r="BA752" s="222"/>
      <c r="BB752" s="222"/>
      <c r="BC752" s="222"/>
      <c r="BD752" s="222"/>
      <c r="BE752" s="222"/>
      <c r="BF752" s="222"/>
      <c r="BG752" s="222"/>
      <c r="BH752" s="222"/>
      <c r="BI752" s="222"/>
      <c r="BJ752" s="222"/>
      <c r="BK752" s="222"/>
      <c r="BL752" s="222"/>
      <c r="BM752" s="222"/>
      <c r="BN752" s="222"/>
      <c r="BO752" s="222"/>
      <c r="BP752" s="222"/>
      <c r="BQ752" s="222"/>
      <c r="BR752" s="222"/>
      <c r="BS752" s="222"/>
      <c r="BT752" s="222"/>
      <c r="BU752" s="222"/>
      <c r="BV752" s="222"/>
      <c r="BW752" s="222"/>
      <c r="BX752" s="222"/>
      <c r="BY752" s="222"/>
      <c r="BZ752" s="222"/>
      <c r="CA752" s="222"/>
      <c r="CB752" s="222"/>
      <c r="CC752" s="222"/>
      <c r="CD752" s="222"/>
      <c r="CE752" s="222"/>
      <c r="CF752" s="222"/>
      <c r="CG752" s="222"/>
      <c r="CH752" s="222"/>
      <c r="CI752" s="222"/>
      <c r="CJ752" s="222"/>
      <c r="CK752" s="222"/>
      <c r="CL752" s="222"/>
      <c r="CM752" s="222"/>
      <c r="CN752" s="222"/>
      <c r="CO752" s="222"/>
      <c r="CP752" s="222"/>
      <c r="CQ752" s="222"/>
      <c r="CR752" s="222"/>
      <c r="CS752" s="222"/>
    </row>
    <row r="753">
      <c r="A753" s="43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  <c r="AC753" s="222"/>
      <c r="AD753" s="222"/>
      <c r="AE753" s="222"/>
      <c r="AF753" s="222"/>
      <c r="AG753" s="222"/>
      <c r="AH753" s="222"/>
      <c r="AI753" s="222"/>
      <c r="AJ753" s="222"/>
      <c r="AK753" s="222"/>
      <c r="AL753" s="222"/>
      <c r="AM753" s="222"/>
      <c r="AN753" s="222"/>
      <c r="AO753" s="222"/>
      <c r="AP753" s="222"/>
      <c r="AQ753" s="222"/>
      <c r="AR753" s="222"/>
      <c r="AS753" s="222"/>
      <c r="AT753" s="222"/>
      <c r="AU753" s="222"/>
      <c r="AV753" s="222"/>
      <c r="AW753" s="222"/>
      <c r="AX753" s="222"/>
      <c r="AY753" s="222"/>
      <c r="AZ753" s="222"/>
      <c r="BA753" s="222"/>
      <c r="BB753" s="222"/>
      <c r="BC753" s="222"/>
      <c r="BD753" s="222"/>
      <c r="BE753" s="222"/>
      <c r="BF753" s="222"/>
      <c r="BG753" s="222"/>
      <c r="BH753" s="222"/>
      <c r="BI753" s="222"/>
      <c r="BJ753" s="222"/>
      <c r="BK753" s="222"/>
      <c r="BL753" s="222"/>
      <c r="BM753" s="222"/>
      <c r="BN753" s="222"/>
      <c r="BO753" s="222"/>
      <c r="BP753" s="222"/>
      <c r="BQ753" s="222"/>
      <c r="BR753" s="222"/>
      <c r="BS753" s="222"/>
      <c r="BT753" s="222"/>
      <c r="BU753" s="222"/>
      <c r="BV753" s="222"/>
      <c r="BW753" s="222"/>
      <c r="BX753" s="222"/>
      <c r="BY753" s="222"/>
      <c r="BZ753" s="222"/>
      <c r="CA753" s="222"/>
      <c r="CB753" s="222"/>
      <c r="CC753" s="222"/>
      <c r="CD753" s="222"/>
      <c r="CE753" s="222"/>
      <c r="CF753" s="222"/>
      <c r="CG753" s="222"/>
      <c r="CH753" s="222"/>
      <c r="CI753" s="222"/>
      <c r="CJ753" s="222"/>
      <c r="CK753" s="222"/>
      <c r="CL753" s="222"/>
      <c r="CM753" s="222"/>
      <c r="CN753" s="222"/>
      <c r="CO753" s="222"/>
      <c r="CP753" s="222"/>
      <c r="CQ753" s="222"/>
      <c r="CR753" s="222"/>
      <c r="CS753" s="222"/>
    </row>
    <row r="754">
      <c r="A754" s="43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  <c r="AC754" s="222"/>
      <c r="AD754" s="222"/>
      <c r="AE754" s="222"/>
      <c r="AF754" s="222"/>
      <c r="AG754" s="222"/>
      <c r="AH754" s="222"/>
      <c r="AI754" s="222"/>
      <c r="AJ754" s="222"/>
      <c r="AK754" s="222"/>
      <c r="AL754" s="222"/>
      <c r="AM754" s="222"/>
      <c r="AN754" s="222"/>
      <c r="AO754" s="222"/>
      <c r="AP754" s="222"/>
      <c r="AQ754" s="222"/>
      <c r="AR754" s="222"/>
      <c r="AS754" s="222"/>
      <c r="AT754" s="222"/>
      <c r="AU754" s="222"/>
      <c r="AV754" s="222"/>
      <c r="AW754" s="222"/>
      <c r="AX754" s="222"/>
      <c r="AY754" s="222"/>
      <c r="AZ754" s="222"/>
      <c r="BA754" s="222"/>
      <c r="BB754" s="222"/>
      <c r="BC754" s="222"/>
      <c r="BD754" s="222"/>
      <c r="BE754" s="222"/>
      <c r="BF754" s="222"/>
      <c r="BG754" s="222"/>
      <c r="BH754" s="222"/>
      <c r="BI754" s="222"/>
      <c r="BJ754" s="222"/>
      <c r="BK754" s="222"/>
      <c r="BL754" s="222"/>
      <c r="BM754" s="222"/>
      <c r="BN754" s="222"/>
      <c r="BO754" s="222"/>
      <c r="BP754" s="222"/>
      <c r="BQ754" s="222"/>
      <c r="BR754" s="222"/>
      <c r="BS754" s="222"/>
      <c r="BT754" s="222"/>
      <c r="BU754" s="222"/>
      <c r="BV754" s="222"/>
      <c r="BW754" s="222"/>
      <c r="BX754" s="222"/>
      <c r="BY754" s="222"/>
      <c r="BZ754" s="222"/>
      <c r="CA754" s="222"/>
      <c r="CB754" s="222"/>
      <c r="CC754" s="222"/>
      <c r="CD754" s="222"/>
      <c r="CE754" s="222"/>
      <c r="CF754" s="222"/>
      <c r="CG754" s="222"/>
      <c r="CH754" s="222"/>
      <c r="CI754" s="222"/>
      <c r="CJ754" s="222"/>
      <c r="CK754" s="222"/>
      <c r="CL754" s="222"/>
      <c r="CM754" s="222"/>
      <c r="CN754" s="222"/>
      <c r="CO754" s="222"/>
      <c r="CP754" s="222"/>
      <c r="CQ754" s="222"/>
      <c r="CR754" s="222"/>
      <c r="CS754" s="222"/>
    </row>
    <row r="755">
      <c r="A755" s="43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  <c r="AC755" s="222"/>
      <c r="AD755" s="222"/>
      <c r="AE755" s="222"/>
      <c r="AF755" s="222"/>
      <c r="AG755" s="222"/>
      <c r="AH755" s="222"/>
      <c r="AI755" s="222"/>
      <c r="AJ755" s="222"/>
      <c r="AK755" s="222"/>
      <c r="AL755" s="222"/>
      <c r="AM755" s="222"/>
      <c r="AN755" s="222"/>
      <c r="AO755" s="222"/>
      <c r="AP755" s="222"/>
      <c r="AQ755" s="222"/>
      <c r="AR755" s="222"/>
      <c r="AS755" s="222"/>
      <c r="AT755" s="222"/>
      <c r="AU755" s="222"/>
      <c r="AV755" s="222"/>
      <c r="AW755" s="222"/>
      <c r="AX755" s="222"/>
      <c r="AY755" s="222"/>
      <c r="AZ755" s="222"/>
      <c r="BA755" s="222"/>
      <c r="BB755" s="222"/>
      <c r="BC755" s="222"/>
      <c r="BD755" s="222"/>
      <c r="BE755" s="222"/>
      <c r="BF755" s="222"/>
      <c r="BG755" s="222"/>
      <c r="BH755" s="222"/>
      <c r="BI755" s="222"/>
      <c r="BJ755" s="222"/>
      <c r="BK755" s="222"/>
      <c r="BL755" s="222"/>
      <c r="BM755" s="222"/>
      <c r="BN755" s="222"/>
      <c r="BO755" s="222"/>
      <c r="BP755" s="222"/>
      <c r="BQ755" s="222"/>
      <c r="BR755" s="222"/>
      <c r="BS755" s="222"/>
      <c r="BT755" s="222"/>
      <c r="BU755" s="222"/>
      <c r="BV755" s="222"/>
      <c r="BW755" s="222"/>
      <c r="BX755" s="222"/>
      <c r="BY755" s="222"/>
      <c r="BZ755" s="222"/>
      <c r="CA755" s="222"/>
      <c r="CB755" s="222"/>
      <c r="CC755" s="222"/>
      <c r="CD755" s="222"/>
      <c r="CE755" s="222"/>
      <c r="CF755" s="222"/>
      <c r="CG755" s="222"/>
      <c r="CH755" s="222"/>
      <c r="CI755" s="222"/>
      <c r="CJ755" s="222"/>
      <c r="CK755" s="222"/>
      <c r="CL755" s="222"/>
      <c r="CM755" s="222"/>
      <c r="CN755" s="222"/>
      <c r="CO755" s="222"/>
      <c r="CP755" s="222"/>
      <c r="CQ755" s="222"/>
      <c r="CR755" s="222"/>
      <c r="CS755" s="222"/>
    </row>
    <row r="756">
      <c r="A756" s="43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  <c r="AC756" s="222"/>
      <c r="AD756" s="222"/>
      <c r="AE756" s="222"/>
      <c r="AF756" s="222"/>
      <c r="AG756" s="222"/>
      <c r="AH756" s="222"/>
      <c r="AI756" s="222"/>
      <c r="AJ756" s="222"/>
      <c r="AK756" s="222"/>
      <c r="AL756" s="222"/>
      <c r="AM756" s="222"/>
      <c r="AN756" s="222"/>
      <c r="AO756" s="222"/>
      <c r="AP756" s="222"/>
      <c r="AQ756" s="222"/>
      <c r="AR756" s="222"/>
      <c r="AS756" s="222"/>
      <c r="AT756" s="222"/>
      <c r="AU756" s="222"/>
      <c r="AV756" s="222"/>
      <c r="AW756" s="222"/>
      <c r="AX756" s="222"/>
      <c r="AY756" s="222"/>
      <c r="AZ756" s="222"/>
      <c r="BA756" s="222"/>
      <c r="BB756" s="222"/>
      <c r="BC756" s="222"/>
      <c r="BD756" s="222"/>
      <c r="BE756" s="222"/>
      <c r="BF756" s="222"/>
      <c r="BG756" s="222"/>
      <c r="BH756" s="222"/>
      <c r="BI756" s="222"/>
      <c r="BJ756" s="222"/>
      <c r="BK756" s="222"/>
      <c r="BL756" s="222"/>
      <c r="BM756" s="222"/>
      <c r="BN756" s="222"/>
      <c r="BO756" s="222"/>
      <c r="BP756" s="222"/>
      <c r="BQ756" s="222"/>
      <c r="BR756" s="222"/>
      <c r="BS756" s="222"/>
      <c r="BT756" s="222"/>
      <c r="BU756" s="222"/>
      <c r="BV756" s="222"/>
      <c r="BW756" s="222"/>
      <c r="BX756" s="222"/>
      <c r="BY756" s="222"/>
      <c r="BZ756" s="222"/>
      <c r="CA756" s="222"/>
      <c r="CB756" s="222"/>
      <c r="CC756" s="222"/>
      <c r="CD756" s="222"/>
      <c r="CE756" s="222"/>
      <c r="CF756" s="222"/>
      <c r="CG756" s="222"/>
      <c r="CH756" s="222"/>
      <c r="CI756" s="222"/>
      <c r="CJ756" s="222"/>
      <c r="CK756" s="222"/>
      <c r="CL756" s="222"/>
      <c r="CM756" s="222"/>
      <c r="CN756" s="222"/>
      <c r="CO756" s="222"/>
      <c r="CP756" s="222"/>
      <c r="CQ756" s="222"/>
      <c r="CR756" s="222"/>
      <c r="CS756" s="222"/>
    </row>
    <row r="757">
      <c r="A757" s="43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  <c r="AC757" s="222"/>
      <c r="AD757" s="222"/>
      <c r="AE757" s="222"/>
      <c r="AF757" s="222"/>
      <c r="AG757" s="222"/>
      <c r="AH757" s="222"/>
      <c r="AI757" s="222"/>
      <c r="AJ757" s="222"/>
      <c r="AK757" s="222"/>
      <c r="AL757" s="222"/>
      <c r="AM757" s="222"/>
      <c r="AN757" s="222"/>
      <c r="AO757" s="222"/>
      <c r="AP757" s="222"/>
      <c r="AQ757" s="222"/>
      <c r="AR757" s="222"/>
      <c r="AS757" s="222"/>
      <c r="AT757" s="222"/>
      <c r="AU757" s="222"/>
      <c r="AV757" s="222"/>
      <c r="AW757" s="222"/>
      <c r="AX757" s="222"/>
      <c r="AY757" s="222"/>
      <c r="AZ757" s="222"/>
      <c r="BA757" s="222"/>
      <c r="BB757" s="222"/>
      <c r="BC757" s="222"/>
      <c r="BD757" s="222"/>
      <c r="BE757" s="222"/>
      <c r="BF757" s="222"/>
      <c r="BG757" s="222"/>
      <c r="BH757" s="222"/>
      <c r="BI757" s="222"/>
      <c r="BJ757" s="222"/>
      <c r="BK757" s="222"/>
      <c r="BL757" s="222"/>
      <c r="BM757" s="222"/>
      <c r="BN757" s="222"/>
      <c r="BO757" s="222"/>
      <c r="BP757" s="222"/>
      <c r="BQ757" s="222"/>
      <c r="BR757" s="222"/>
      <c r="BS757" s="222"/>
      <c r="BT757" s="222"/>
      <c r="BU757" s="222"/>
      <c r="BV757" s="222"/>
      <c r="BW757" s="222"/>
      <c r="BX757" s="222"/>
      <c r="BY757" s="222"/>
      <c r="BZ757" s="222"/>
      <c r="CA757" s="222"/>
      <c r="CB757" s="222"/>
      <c r="CC757" s="222"/>
      <c r="CD757" s="222"/>
      <c r="CE757" s="222"/>
      <c r="CF757" s="222"/>
      <c r="CG757" s="222"/>
      <c r="CH757" s="222"/>
      <c r="CI757" s="222"/>
      <c r="CJ757" s="222"/>
      <c r="CK757" s="222"/>
      <c r="CL757" s="222"/>
      <c r="CM757" s="222"/>
      <c r="CN757" s="222"/>
      <c r="CO757" s="222"/>
      <c r="CP757" s="222"/>
      <c r="CQ757" s="222"/>
      <c r="CR757" s="222"/>
      <c r="CS757" s="222"/>
    </row>
    <row r="758">
      <c r="A758" s="43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  <c r="AC758" s="222"/>
      <c r="AD758" s="222"/>
      <c r="AE758" s="222"/>
      <c r="AF758" s="222"/>
      <c r="AG758" s="222"/>
      <c r="AH758" s="222"/>
      <c r="AI758" s="222"/>
      <c r="AJ758" s="222"/>
      <c r="AK758" s="222"/>
      <c r="AL758" s="222"/>
      <c r="AM758" s="222"/>
      <c r="AN758" s="222"/>
      <c r="AO758" s="222"/>
      <c r="AP758" s="222"/>
      <c r="AQ758" s="222"/>
      <c r="AR758" s="222"/>
      <c r="AS758" s="222"/>
      <c r="AT758" s="222"/>
      <c r="AU758" s="222"/>
      <c r="AV758" s="222"/>
      <c r="AW758" s="222"/>
      <c r="AX758" s="222"/>
      <c r="AY758" s="222"/>
      <c r="AZ758" s="222"/>
      <c r="BA758" s="222"/>
      <c r="BB758" s="222"/>
      <c r="BC758" s="222"/>
      <c r="BD758" s="222"/>
      <c r="BE758" s="222"/>
      <c r="BF758" s="222"/>
      <c r="BG758" s="222"/>
      <c r="BH758" s="222"/>
      <c r="BI758" s="222"/>
      <c r="BJ758" s="222"/>
      <c r="BK758" s="222"/>
      <c r="BL758" s="222"/>
      <c r="BM758" s="222"/>
      <c r="BN758" s="222"/>
      <c r="BO758" s="222"/>
      <c r="BP758" s="222"/>
      <c r="BQ758" s="222"/>
      <c r="BR758" s="222"/>
      <c r="BS758" s="222"/>
      <c r="BT758" s="222"/>
      <c r="BU758" s="222"/>
      <c r="BV758" s="222"/>
      <c r="BW758" s="222"/>
      <c r="BX758" s="222"/>
      <c r="BY758" s="222"/>
      <c r="BZ758" s="222"/>
      <c r="CA758" s="222"/>
      <c r="CB758" s="222"/>
      <c r="CC758" s="222"/>
      <c r="CD758" s="222"/>
      <c r="CE758" s="222"/>
      <c r="CF758" s="222"/>
      <c r="CG758" s="222"/>
      <c r="CH758" s="222"/>
      <c r="CI758" s="222"/>
      <c r="CJ758" s="222"/>
      <c r="CK758" s="222"/>
      <c r="CL758" s="222"/>
      <c r="CM758" s="222"/>
      <c r="CN758" s="222"/>
      <c r="CO758" s="222"/>
      <c r="CP758" s="222"/>
      <c r="CQ758" s="222"/>
      <c r="CR758" s="222"/>
      <c r="CS758" s="222"/>
    </row>
    <row r="759">
      <c r="A759" s="43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  <c r="AC759" s="222"/>
      <c r="AD759" s="222"/>
      <c r="AE759" s="222"/>
      <c r="AF759" s="222"/>
      <c r="AG759" s="222"/>
      <c r="AH759" s="222"/>
      <c r="AI759" s="222"/>
      <c r="AJ759" s="222"/>
      <c r="AK759" s="222"/>
      <c r="AL759" s="222"/>
      <c r="AM759" s="222"/>
      <c r="AN759" s="222"/>
      <c r="AO759" s="222"/>
      <c r="AP759" s="222"/>
      <c r="AQ759" s="222"/>
      <c r="AR759" s="222"/>
      <c r="AS759" s="222"/>
      <c r="AT759" s="222"/>
      <c r="AU759" s="222"/>
      <c r="AV759" s="222"/>
      <c r="AW759" s="222"/>
      <c r="AX759" s="222"/>
      <c r="AY759" s="222"/>
      <c r="AZ759" s="222"/>
      <c r="BA759" s="222"/>
      <c r="BB759" s="222"/>
      <c r="BC759" s="222"/>
      <c r="BD759" s="222"/>
      <c r="BE759" s="222"/>
      <c r="BF759" s="222"/>
      <c r="BG759" s="222"/>
      <c r="BH759" s="222"/>
      <c r="BI759" s="222"/>
      <c r="BJ759" s="222"/>
      <c r="BK759" s="222"/>
      <c r="BL759" s="222"/>
      <c r="BM759" s="222"/>
      <c r="BN759" s="222"/>
      <c r="BO759" s="222"/>
      <c r="BP759" s="222"/>
      <c r="BQ759" s="222"/>
      <c r="BR759" s="222"/>
      <c r="BS759" s="222"/>
      <c r="BT759" s="222"/>
      <c r="BU759" s="222"/>
      <c r="BV759" s="222"/>
      <c r="BW759" s="222"/>
      <c r="BX759" s="222"/>
      <c r="BY759" s="222"/>
      <c r="BZ759" s="222"/>
      <c r="CA759" s="222"/>
      <c r="CB759" s="222"/>
      <c r="CC759" s="222"/>
      <c r="CD759" s="222"/>
      <c r="CE759" s="222"/>
      <c r="CF759" s="222"/>
      <c r="CG759" s="222"/>
      <c r="CH759" s="222"/>
      <c r="CI759" s="222"/>
      <c r="CJ759" s="222"/>
      <c r="CK759" s="222"/>
      <c r="CL759" s="222"/>
      <c r="CM759" s="222"/>
      <c r="CN759" s="222"/>
      <c r="CO759" s="222"/>
      <c r="CP759" s="222"/>
      <c r="CQ759" s="222"/>
      <c r="CR759" s="222"/>
      <c r="CS759" s="222"/>
    </row>
    <row r="760">
      <c r="A760" s="43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  <c r="AC760" s="222"/>
      <c r="AD760" s="222"/>
      <c r="AE760" s="222"/>
      <c r="AF760" s="222"/>
      <c r="AG760" s="222"/>
      <c r="AH760" s="222"/>
      <c r="AI760" s="222"/>
      <c r="AJ760" s="222"/>
      <c r="AK760" s="222"/>
      <c r="AL760" s="222"/>
      <c r="AM760" s="222"/>
      <c r="AN760" s="222"/>
      <c r="AO760" s="222"/>
      <c r="AP760" s="222"/>
      <c r="AQ760" s="222"/>
      <c r="AR760" s="222"/>
      <c r="AS760" s="222"/>
      <c r="AT760" s="222"/>
      <c r="AU760" s="222"/>
      <c r="AV760" s="222"/>
      <c r="AW760" s="222"/>
      <c r="AX760" s="222"/>
      <c r="AY760" s="222"/>
      <c r="AZ760" s="222"/>
      <c r="BA760" s="222"/>
      <c r="BB760" s="222"/>
      <c r="BC760" s="222"/>
      <c r="BD760" s="222"/>
      <c r="BE760" s="222"/>
      <c r="BF760" s="222"/>
      <c r="BG760" s="222"/>
      <c r="BH760" s="222"/>
      <c r="BI760" s="222"/>
      <c r="BJ760" s="222"/>
      <c r="BK760" s="222"/>
      <c r="BL760" s="222"/>
      <c r="BM760" s="222"/>
      <c r="BN760" s="222"/>
      <c r="BO760" s="222"/>
      <c r="BP760" s="222"/>
      <c r="BQ760" s="222"/>
      <c r="BR760" s="222"/>
      <c r="BS760" s="222"/>
      <c r="BT760" s="222"/>
      <c r="BU760" s="222"/>
      <c r="BV760" s="222"/>
      <c r="BW760" s="222"/>
      <c r="BX760" s="222"/>
      <c r="BY760" s="222"/>
      <c r="BZ760" s="222"/>
      <c r="CA760" s="222"/>
      <c r="CB760" s="222"/>
      <c r="CC760" s="222"/>
      <c r="CD760" s="222"/>
      <c r="CE760" s="222"/>
      <c r="CF760" s="222"/>
      <c r="CG760" s="222"/>
      <c r="CH760" s="222"/>
      <c r="CI760" s="222"/>
      <c r="CJ760" s="222"/>
      <c r="CK760" s="222"/>
      <c r="CL760" s="222"/>
      <c r="CM760" s="222"/>
      <c r="CN760" s="222"/>
      <c r="CO760" s="222"/>
      <c r="CP760" s="222"/>
      <c r="CQ760" s="222"/>
      <c r="CR760" s="222"/>
      <c r="CS760" s="222"/>
    </row>
    <row r="761">
      <c r="A761" s="43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  <c r="AC761" s="222"/>
      <c r="AD761" s="222"/>
      <c r="AE761" s="222"/>
      <c r="AF761" s="222"/>
      <c r="AG761" s="222"/>
      <c r="AH761" s="222"/>
      <c r="AI761" s="222"/>
      <c r="AJ761" s="222"/>
      <c r="AK761" s="222"/>
      <c r="AL761" s="222"/>
      <c r="AM761" s="222"/>
      <c r="AN761" s="222"/>
      <c r="AO761" s="222"/>
      <c r="AP761" s="222"/>
      <c r="AQ761" s="222"/>
      <c r="AR761" s="222"/>
      <c r="AS761" s="222"/>
      <c r="AT761" s="222"/>
      <c r="AU761" s="222"/>
      <c r="AV761" s="222"/>
      <c r="AW761" s="222"/>
      <c r="AX761" s="222"/>
      <c r="AY761" s="222"/>
      <c r="AZ761" s="222"/>
      <c r="BA761" s="222"/>
      <c r="BB761" s="222"/>
      <c r="BC761" s="222"/>
      <c r="BD761" s="222"/>
      <c r="BE761" s="222"/>
      <c r="BF761" s="222"/>
      <c r="BG761" s="222"/>
      <c r="BH761" s="222"/>
      <c r="BI761" s="222"/>
      <c r="BJ761" s="222"/>
      <c r="BK761" s="222"/>
      <c r="BL761" s="222"/>
      <c r="BM761" s="222"/>
      <c r="BN761" s="222"/>
      <c r="BO761" s="222"/>
      <c r="BP761" s="222"/>
      <c r="BQ761" s="222"/>
      <c r="BR761" s="222"/>
      <c r="BS761" s="222"/>
      <c r="BT761" s="222"/>
      <c r="BU761" s="222"/>
      <c r="BV761" s="222"/>
      <c r="BW761" s="222"/>
      <c r="BX761" s="222"/>
      <c r="BY761" s="222"/>
      <c r="BZ761" s="222"/>
      <c r="CA761" s="222"/>
      <c r="CB761" s="222"/>
      <c r="CC761" s="222"/>
      <c r="CD761" s="222"/>
      <c r="CE761" s="222"/>
      <c r="CF761" s="222"/>
      <c r="CG761" s="222"/>
      <c r="CH761" s="222"/>
      <c r="CI761" s="222"/>
      <c r="CJ761" s="222"/>
      <c r="CK761" s="222"/>
      <c r="CL761" s="222"/>
      <c r="CM761" s="222"/>
      <c r="CN761" s="222"/>
      <c r="CO761" s="222"/>
      <c r="CP761" s="222"/>
      <c r="CQ761" s="222"/>
      <c r="CR761" s="222"/>
      <c r="CS761" s="222"/>
    </row>
    <row r="762">
      <c r="A762" s="43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  <c r="AC762" s="222"/>
      <c r="AD762" s="222"/>
      <c r="AE762" s="222"/>
      <c r="AF762" s="222"/>
      <c r="AG762" s="222"/>
      <c r="AH762" s="222"/>
      <c r="AI762" s="222"/>
      <c r="AJ762" s="222"/>
      <c r="AK762" s="222"/>
      <c r="AL762" s="222"/>
      <c r="AM762" s="222"/>
      <c r="AN762" s="222"/>
      <c r="AO762" s="222"/>
      <c r="AP762" s="222"/>
      <c r="AQ762" s="222"/>
      <c r="AR762" s="222"/>
      <c r="AS762" s="222"/>
      <c r="AT762" s="222"/>
      <c r="AU762" s="222"/>
      <c r="AV762" s="222"/>
      <c r="AW762" s="222"/>
      <c r="AX762" s="222"/>
      <c r="AY762" s="222"/>
      <c r="AZ762" s="222"/>
      <c r="BA762" s="222"/>
      <c r="BB762" s="222"/>
      <c r="BC762" s="222"/>
      <c r="BD762" s="222"/>
      <c r="BE762" s="222"/>
      <c r="BF762" s="222"/>
      <c r="BG762" s="222"/>
      <c r="BH762" s="222"/>
      <c r="BI762" s="222"/>
      <c r="BJ762" s="222"/>
      <c r="BK762" s="222"/>
      <c r="BL762" s="222"/>
      <c r="BM762" s="222"/>
      <c r="BN762" s="222"/>
      <c r="BO762" s="222"/>
      <c r="BP762" s="222"/>
      <c r="BQ762" s="222"/>
      <c r="BR762" s="222"/>
      <c r="BS762" s="222"/>
      <c r="BT762" s="222"/>
      <c r="BU762" s="222"/>
      <c r="BV762" s="222"/>
      <c r="BW762" s="222"/>
      <c r="BX762" s="222"/>
      <c r="BY762" s="222"/>
      <c r="BZ762" s="222"/>
      <c r="CA762" s="222"/>
      <c r="CB762" s="222"/>
      <c r="CC762" s="222"/>
      <c r="CD762" s="222"/>
      <c r="CE762" s="222"/>
      <c r="CF762" s="222"/>
      <c r="CG762" s="222"/>
      <c r="CH762" s="222"/>
      <c r="CI762" s="222"/>
      <c r="CJ762" s="222"/>
      <c r="CK762" s="222"/>
      <c r="CL762" s="222"/>
      <c r="CM762" s="222"/>
      <c r="CN762" s="222"/>
      <c r="CO762" s="222"/>
      <c r="CP762" s="222"/>
      <c r="CQ762" s="222"/>
      <c r="CR762" s="222"/>
      <c r="CS762" s="222"/>
    </row>
    <row r="763">
      <c r="A763" s="43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  <c r="AC763" s="222"/>
      <c r="AD763" s="222"/>
      <c r="AE763" s="222"/>
      <c r="AF763" s="222"/>
      <c r="AG763" s="222"/>
      <c r="AH763" s="222"/>
      <c r="AI763" s="222"/>
      <c r="AJ763" s="222"/>
      <c r="AK763" s="222"/>
      <c r="AL763" s="222"/>
      <c r="AM763" s="222"/>
      <c r="AN763" s="222"/>
      <c r="AO763" s="222"/>
      <c r="AP763" s="222"/>
      <c r="AQ763" s="222"/>
      <c r="AR763" s="222"/>
      <c r="AS763" s="222"/>
      <c r="AT763" s="222"/>
      <c r="AU763" s="222"/>
      <c r="AV763" s="222"/>
      <c r="AW763" s="222"/>
      <c r="AX763" s="222"/>
      <c r="AY763" s="222"/>
      <c r="AZ763" s="222"/>
      <c r="BA763" s="222"/>
      <c r="BB763" s="222"/>
      <c r="BC763" s="222"/>
      <c r="BD763" s="222"/>
      <c r="BE763" s="222"/>
      <c r="BF763" s="222"/>
      <c r="BG763" s="222"/>
      <c r="BH763" s="222"/>
      <c r="BI763" s="222"/>
      <c r="BJ763" s="222"/>
      <c r="BK763" s="222"/>
      <c r="BL763" s="222"/>
      <c r="BM763" s="222"/>
      <c r="BN763" s="222"/>
      <c r="BO763" s="222"/>
      <c r="BP763" s="222"/>
      <c r="BQ763" s="222"/>
      <c r="BR763" s="222"/>
      <c r="BS763" s="222"/>
      <c r="BT763" s="222"/>
      <c r="BU763" s="222"/>
      <c r="BV763" s="222"/>
      <c r="BW763" s="222"/>
      <c r="BX763" s="222"/>
      <c r="BY763" s="222"/>
      <c r="BZ763" s="222"/>
      <c r="CA763" s="222"/>
      <c r="CB763" s="222"/>
      <c r="CC763" s="222"/>
      <c r="CD763" s="222"/>
      <c r="CE763" s="222"/>
      <c r="CF763" s="222"/>
      <c r="CG763" s="222"/>
      <c r="CH763" s="222"/>
      <c r="CI763" s="222"/>
      <c r="CJ763" s="222"/>
      <c r="CK763" s="222"/>
      <c r="CL763" s="222"/>
      <c r="CM763" s="222"/>
      <c r="CN763" s="222"/>
      <c r="CO763" s="222"/>
      <c r="CP763" s="222"/>
      <c r="CQ763" s="222"/>
      <c r="CR763" s="222"/>
      <c r="CS763" s="222"/>
    </row>
    <row r="764">
      <c r="A764" s="43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  <c r="AC764" s="222"/>
      <c r="AD764" s="222"/>
      <c r="AE764" s="222"/>
      <c r="AF764" s="222"/>
      <c r="AG764" s="222"/>
      <c r="AH764" s="222"/>
      <c r="AI764" s="222"/>
      <c r="AJ764" s="222"/>
      <c r="AK764" s="222"/>
      <c r="AL764" s="222"/>
      <c r="AM764" s="222"/>
      <c r="AN764" s="222"/>
      <c r="AO764" s="222"/>
      <c r="AP764" s="222"/>
      <c r="AQ764" s="222"/>
      <c r="AR764" s="222"/>
      <c r="AS764" s="222"/>
      <c r="AT764" s="222"/>
      <c r="AU764" s="222"/>
      <c r="AV764" s="222"/>
      <c r="AW764" s="222"/>
      <c r="AX764" s="222"/>
      <c r="AY764" s="222"/>
      <c r="AZ764" s="222"/>
      <c r="BA764" s="222"/>
      <c r="BB764" s="222"/>
      <c r="BC764" s="222"/>
      <c r="BD764" s="222"/>
      <c r="BE764" s="222"/>
      <c r="BF764" s="222"/>
      <c r="BG764" s="222"/>
      <c r="BH764" s="222"/>
      <c r="BI764" s="222"/>
      <c r="BJ764" s="222"/>
      <c r="BK764" s="222"/>
      <c r="BL764" s="222"/>
      <c r="BM764" s="222"/>
      <c r="BN764" s="222"/>
      <c r="BO764" s="222"/>
      <c r="BP764" s="222"/>
      <c r="BQ764" s="222"/>
      <c r="BR764" s="222"/>
      <c r="BS764" s="222"/>
      <c r="BT764" s="222"/>
      <c r="BU764" s="222"/>
      <c r="BV764" s="222"/>
      <c r="BW764" s="222"/>
      <c r="BX764" s="222"/>
      <c r="BY764" s="222"/>
      <c r="BZ764" s="222"/>
      <c r="CA764" s="222"/>
      <c r="CB764" s="222"/>
      <c r="CC764" s="222"/>
      <c r="CD764" s="222"/>
      <c r="CE764" s="222"/>
      <c r="CF764" s="222"/>
      <c r="CG764" s="222"/>
      <c r="CH764" s="222"/>
      <c r="CI764" s="222"/>
      <c r="CJ764" s="222"/>
      <c r="CK764" s="222"/>
      <c r="CL764" s="222"/>
      <c r="CM764" s="222"/>
      <c r="CN764" s="222"/>
      <c r="CO764" s="222"/>
      <c r="CP764" s="222"/>
      <c r="CQ764" s="222"/>
      <c r="CR764" s="222"/>
      <c r="CS764" s="222"/>
    </row>
    <row r="765">
      <c r="A765" s="43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  <c r="AC765" s="222"/>
      <c r="AD765" s="222"/>
      <c r="AE765" s="222"/>
      <c r="AF765" s="222"/>
      <c r="AG765" s="222"/>
      <c r="AH765" s="222"/>
      <c r="AI765" s="222"/>
      <c r="AJ765" s="222"/>
      <c r="AK765" s="222"/>
      <c r="AL765" s="222"/>
      <c r="AM765" s="222"/>
      <c r="AN765" s="222"/>
      <c r="AO765" s="222"/>
      <c r="AP765" s="222"/>
      <c r="AQ765" s="222"/>
      <c r="AR765" s="222"/>
      <c r="AS765" s="222"/>
      <c r="AT765" s="222"/>
      <c r="AU765" s="222"/>
      <c r="AV765" s="222"/>
      <c r="AW765" s="222"/>
      <c r="AX765" s="222"/>
      <c r="AY765" s="222"/>
      <c r="AZ765" s="222"/>
      <c r="BA765" s="222"/>
      <c r="BB765" s="222"/>
      <c r="BC765" s="222"/>
      <c r="BD765" s="222"/>
      <c r="BE765" s="222"/>
      <c r="BF765" s="222"/>
      <c r="BG765" s="222"/>
      <c r="BH765" s="222"/>
      <c r="BI765" s="222"/>
      <c r="BJ765" s="222"/>
      <c r="BK765" s="222"/>
      <c r="BL765" s="222"/>
      <c r="BM765" s="222"/>
      <c r="BN765" s="222"/>
      <c r="BO765" s="222"/>
      <c r="BP765" s="222"/>
      <c r="BQ765" s="222"/>
      <c r="BR765" s="222"/>
      <c r="BS765" s="222"/>
      <c r="BT765" s="222"/>
      <c r="BU765" s="222"/>
      <c r="BV765" s="222"/>
      <c r="BW765" s="222"/>
      <c r="BX765" s="222"/>
      <c r="BY765" s="222"/>
      <c r="BZ765" s="222"/>
      <c r="CA765" s="222"/>
      <c r="CB765" s="222"/>
      <c r="CC765" s="222"/>
      <c r="CD765" s="222"/>
      <c r="CE765" s="222"/>
      <c r="CF765" s="222"/>
      <c r="CG765" s="222"/>
      <c r="CH765" s="222"/>
      <c r="CI765" s="222"/>
      <c r="CJ765" s="222"/>
      <c r="CK765" s="222"/>
      <c r="CL765" s="222"/>
      <c r="CM765" s="222"/>
      <c r="CN765" s="222"/>
      <c r="CO765" s="222"/>
      <c r="CP765" s="222"/>
      <c r="CQ765" s="222"/>
      <c r="CR765" s="222"/>
      <c r="CS765" s="222"/>
    </row>
    <row r="766">
      <c r="A766" s="43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  <c r="AC766" s="222"/>
      <c r="AD766" s="222"/>
      <c r="AE766" s="222"/>
      <c r="AF766" s="222"/>
      <c r="AG766" s="222"/>
      <c r="AH766" s="222"/>
      <c r="AI766" s="222"/>
      <c r="AJ766" s="222"/>
      <c r="AK766" s="222"/>
      <c r="AL766" s="222"/>
      <c r="AM766" s="222"/>
      <c r="AN766" s="222"/>
      <c r="AO766" s="222"/>
      <c r="AP766" s="222"/>
      <c r="AQ766" s="222"/>
      <c r="AR766" s="222"/>
      <c r="AS766" s="222"/>
      <c r="AT766" s="222"/>
      <c r="AU766" s="222"/>
      <c r="AV766" s="222"/>
      <c r="AW766" s="222"/>
      <c r="AX766" s="222"/>
      <c r="AY766" s="222"/>
      <c r="AZ766" s="222"/>
      <c r="BA766" s="222"/>
      <c r="BB766" s="222"/>
      <c r="BC766" s="222"/>
      <c r="BD766" s="222"/>
      <c r="BE766" s="222"/>
      <c r="BF766" s="222"/>
      <c r="BG766" s="222"/>
      <c r="BH766" s="222"/>
      <c r="BI766" s="222"/>
      <c r="BJ766" s="222"/>
      <c r="BK766" s="222"/>
      <c r="BL766" s="222"/>
      <c r="BM766" s="222"/>
      <c r="BN766" s="222"/>
      <c r="BO766" s="222"/>
      <c r="BP766" s="222"/>
      <c r="BQ766" s="222"/>
      <c r="BR766" s="222"/>
      <c r="BS766" s="222"/>
      <c r="BT766" s="222"/>
      <c r="BU766" s="222"/>
      <c r="BV766" s="222"/>
      <c r="BW766" s="222"/>
      <c r="BX766" s="222"/>
      <c r="BY766" s="222"/>
      <c r="BZ766" s="222"/>
      <c r="CA766" s="222"/>
      <c r="CB766" s="222"/>
      <c r="CC766" s="222"/>
      <c r="CD766" s="222"/>
      <c r="CE766" s="222"/>
      <c r="CF766" s="222"/>
      <c r="CG766" s="222"/>
      <c r="CH766" s="222"/>
      <c r="CI766" s="222"/>
      <c r="CJ766" s="222"/>
      <c r="CK766" s="222"/>
      <c r="CL766" s="222"/>
      <c r="CM766" s="222"/>
      <c r="CN766" s="222"/>
      <c r="CO766" s="222"/>
      <c r="CP766" s="222"/>
      <c r="CQ766" s="222"/>
      <c r="CR766" s="222"/>
      <c r="CS766" s="222"/>
    </row>
    <row r="767">
      <c r="A767" s="43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  <c r="AC767" s="222"/>
      <c r="AD767" s="222"/>
      <c r="AE767" s="222"/>
      <c r="AF767" s="222"/>
      <c r="AG767" s="222"/>
      <c r="AH767" s="222"/>
      <c r="AI767" s="222"/>
      <c r="AJ767" s="222"/>
      <c r="AK767" s="222"/>
      <c r="AL767" s="222"/>
      <c r="AM767" s="222"/>
      <c r="AN767" s="222"/>
      <c r="AO767" s="222"/>
      <c r="AP767" s="222"/>
      <c r="AQ767" s="222"/>
      <c r="AR767" s="222"/>
      <c r="AS767" s="222"/>
      <c r="AT767" s="222"/>
      <c r="AU767" s="222"/>
      <c r="AV767" s="222"/>
      <c r="AW767" s="222"/>
      <c r="AX767" s="222"/>
      <c r="AY767" s="222"/>
      <c r="AZ767" s="222"/>
      <c r="BA767" s="222"/>
      <c r="BB767" s="222"/>
      <c r="BC767" s="222"/>
      <c r="BD767" s="222"/>
      <c r="BE767" s="222"/>
      <c r="BF767" s="222"/>
      <c r="BG767" s="222"/>
      <c r="BH767" s="222"/>
      <c r="BI767" s="222"/>
      <c r="BJ767" s="222"/>
      <c r="BK767" s="222"/>
      <c r="BL767" s="222"/>
      <c r="BM767" s="222"/>
      <c r="BN767" s="222"/>
      <c r="BO767" s="222"/>
      <c r="BP767" s="222"/>
      <c r="BQ767" s="222"/>
      <c r="BR767" s="222"/>
      <c r="BS767" s="222"/>
      <c r="BT767" s="222"/>
      <c r="BU767" s="222"/>
      <c r="BV767" s="222"/>
      <c r="BW767" s="222"/>
      <c r="BX767" s="222"/>
      <c r="BY767" s="222"/>
      <c r="BZ767" s="222"/>
      <c r="CA767" s="222"/>
      <c r="CB767" s="222"/>
      <c r="CC767" s="222"/>
      <c r="CD767" s="222"/>
      <c r="CE767" s="222"/>
      <c r="CF767" s="222"/>
      <c r="CG767" s="222"/>
      <c r="CH767" s="222"/>
      <c r="CI767" s="222"/>
      <c r="CJ767" s="222"/>
      <c r="CK767" s="222"/>
      <c r="CL767" s="222"/>
      <c r="CM767" s="222"/>
      <c r="CN767" s="222"/>
      <c r="CO767" s="222"/>
      <c r="CP767" s="222"/>
      <c r="CQ767" s="222"/>
      <c r="CR767" s="222"/>
      <c r="CS767" s="222"/>
    </row>
    <row r="768">
      <c r="A768" s="43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  <c r="AF768" s="222"/>
      <c r="AG768" s="222"/>
      <c r="AH768" s="222"/>
      <c r="AI768" s="222"/>
      <c r="AJ768" s="222"/>
      <c r="AK768" s="222"/>
      <c r="AL768" s="222"/>
      <c r="AM768" s="222"/>
      <c r="AN768" s="222"/>
      <c r="AO768" s="222"/>
      <c r="AP768" s="222"/>
      <c r="AQ768" s="222"/>
      <c r="AR768" s="222"/>
      <c r="AS768" s="222"/>
      <c r="AT768" s="222"/>
      <c r="AU768" s="222"/>
      <c r="AV768" s="222"/>
      <c r="AW768" s="222"/>
      <c r="AX768" s="222"/>
      <c r="AY768" s="222"/>
      <c r="AZ768" s="222"/>
      <c r="BA768" s="222"/>
      <c r="BB768" s="222"/>
      <c r="BC768" s="222"/>
      <c r="BD768" s="222"/>
      <c r="BE768" s="222"/>
      <c r="BF768" s="222"/>
      <c r="BG768" s="222"/>
      <c r="BH768" s="222"/>
      <c r="BI768" s="222"/>
      <c r="BJ768" s="222"/>
      <c r="BK768" s="222"/>
      <c r="BL768" s="222"/>
      <c r="BM768" s="222"/>
      <c r="BN768" s="222"/>
      <c r="BO768" s="222"/>
      <c r="BP768" s="222"/>
      <c r="BQ768" s="222"/>
      <c r="BR768" s="222"/>
      <c r="BS768" s="222"/>
      <c r="BT768" s="222"/>
      <c r="BU768" s="222"/>
      <c r="BV768" s="222"/>
      <c r="BW768" s="222"/>
      <c r="BX768" s="222"/>
      <c r="BY768" s="222"/>
      <c r="BZ768" s="222"/>
      <c r="CA768" s="222"/>
      <c r="CB768" s="222"/>
      <c r="CC768" s="222"/>
      <c r="CD768" s="222"/>
      <c r="CE768" s="222"/>
      <c r="CF768" s="222"/>
      <c r="CG768" s="222"/>
      <c r="CH768" s="222"/>
      <c r="CI768" s="222"/>
      <c r="CJ768" s="222"/>
      <c r="CK768" s="222"/>
      <c r="CL768" s="222"/>
      <c r="CM768" s="222"/>
      <c r="CN768" s="222"/>
      <c r="CO768" s="222"/>
      <c r="CP768" s="222"/>
      <c r="CQ768" s="222"/>
      <c r="CR768" s="222"/>
      <c r="CS768" s="222"/>
    </row>
    <row r="769">
      <c r="A769" s="43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  <c r="AC769" s="222"/>
      <c r="AD769" s="222"/>
      <c r="AE769" s="222"/>
      <c r="AF769" s="222"/>
      <c r="AG769" s="222"/>
      <c r="AH769" s="222"/>
      <c r="AI769" s="222"/>
      <c r="AJ769" s="222"/>
      <c r="AK769" s="222"/>
      <c r="AL769" s="222"/>
      <c r="AM769" s="222"/>
      <c r="AN769" s="222"/>
      <c r="AO769" s="222"/>
      <c r="AP769" s="222"/>
      <c r="AQ769" s="222"/>
      <c r="AR769" s="222"/>
      <c r="AS769" s="222"/>
      <c r="AT769" s="222"/>
      <c r="AU769" s="222"/>
      <c r="AV769" s="222"/>
      <c r="AW769" s="222"/>
      <c r="AX769" s="222"/>
      <c r="AY769" s="222"/>
      <c r="AZ769" s="222"/>
      <c r="BA769" s="222"/>
      <c r="BB769" s="222"/>
      <c r="BC769" s="222"/>
      <c r="BD769" s="222"/>
      <c r="BE769" s="222"/>
      <c r="BF769" s="222"/>
      <c r="BG769" s="222"/>
      <c r="BH769" s="222"/>
      <c r="BI769" s="222"/>
      <c r="BJ769" s="222"/>
      <c r="BK769" s="222"/>
      <c r="BL769" s="222"/>
      <c r="BM769" s="222"/>
      <c r="BN769" s="222"/>
      <c r="BO769" s="222"/>
      <c r="BP769" s="222"/>
      <c r="BQ769" s="222"/>
      <c r="BR769" s="222"/>
      <c r="BS769" s="222"/>
      <c r="BT769" s="222"/>
      <c r="BU769" s="222"/>
      <c r="BV769" s="222"/>
      <c r="BW769" s="222"/>
      <c r="BX769" s="222"/>
      <c r="BY769" s="222"/>
      <c r="BZ769" s="222"/>
      <c r="CA769" s="222"/>
      <c r="CB769" s="222"/>
      <c r="CC769" s="222"/>
      <c r="CD769" s="222"/>
      <c r="CE769" s="222"/>
      <c r="CF769" s="222"/>
      <c r="CG769" s="222"/>
      <c r="CH769" s="222"/>
      <c r="CI769" s="222"/>
      <c r="CJ769" s="222"/>
      <c r="CK769" s="222"/>
      <c r="CL769" s="222"/>
      <c r="CM769" s="222"/>
      <c r="CN769" s="222"/>
      <c r="CO769" s="222"/>
      <c r="CP769" s="222"/>
      <c r="CQ769" s="222"/>
      <c r="CR769" s="222"/>
      <c r="CS769" s="222"/>
    </row>
    <row r="770">
      <c r="A770" s="43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  <c r="AC770" s="222"/>
      <c r="AD770" s="222"/>
      <c r="AE770" s="222"/>
      <c r="AF770" s="222"/>
      <c r="AG770" s="222"/>
      <c r="AH770" s="222"/>
      <c r="AI770" s="222"/>
      <c r="AJ770" s="222"/>
      <c r="AK770" s="222"/>
      <c r="AL770" s="222"/>
      <c r="AM770" s="222"/>
      <c r="AN770" s="222"/>
      <c r="AO770" s="222"/>
      <c r="AP770" s="222"/>
      <c r="AQ770" s="222"/>
      <c r="AR770" s="222"/>
      <c r="AS770" s="222"/>
      <c r="AT770" s="222"/>
      <c r="AU770" s="222"/>
      <c r="AV770" s="222"/>
      <c r="AW770" s="222"/>
      <c r="AX770" s="222"/>
      <c r="AY770" s="222"/>
      <c r="AZ770" s="222"/>
      <c r="BA770" s="222"/>
      <c r="BB770" s="222"/>
      <c r="BC770" s="222"/>
      <c r="BD770" s="222"/>
      <c r="BE770" s="222"/>
      <c r="BF770" s="222"/>
      <c r="BG770" s="222"/>
      <c r="BH770" s="222"/>
      <c r="BI770" s="222"/>
      <c r="BJ770" s="222"/>
      <c r="BK770" s="222"/>
      <c r="BL770" s="222"/>
      <c r="BM770" s="222"/>
      <c r="BN770" s="222"/>
      <c r="BO770" s="222"/>
      <c r="BP770" s="222"/>
      <c r="BQ770" s="222"/>
      <c r="BR770" s="222"/>
      <c r="BS770" s="222"/>
      <c r="BT770" s="222"/>
      <c r="BU770" s="222"/>
      <c r="BV770" s="222"/>
      <c r="BW770" s="222"/>
      <c r="BX770" s="222"/>
      <c r="BY770" s="222"/>
      <c r="BZ770" s="222"/>
      <c r="CA770" s="222"/>
      <c r="CB770" s="222"/>
      <c r="CC770" s="222"/>
      <c r="CD770" s="222"/>
      <c r="CE770" s="222"/>
      <c r="CF770" s="222"/>
      <c r="CG770" s="222"/>
      <c r="CH770" s="222"/>
      <c r="CI770" s="222"/>
      <c r="CJ770" s="222"/>
      <c r="CK770" s="222"/>
      <c r="CL770" s="222"/>
      <c r="CM770" s="222"/>
      <c r="CN770" s="222"/>
      <c r="CO770" s="222"/>
      <c r="CP770" s="222"/>
      <c r="CQ770" s="222"/>
      <c r="CR770" s="222"/>
      <c r="CS770" s="222"/>
    </row>
    <row r="771">
      <c r="A771" s="43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  <c r="AC771" s="222"/>
      <c r="AD771" s="222"/>
      <c r="AE771" s="222"/>
      <c r="AF771" s="222"/>
      <c r="AG771" s="222"/>
      <c r="AH771" s="222"/>
      <c r="AI771" s="222"/>
      <c r="AJ771" s="222"/>
      <c r="AK771" s="222"/>
      <c r="AL771" s="222"/>
      <c r="AM771" s="222"/>
      <c r="AN771" s="222"/>
      <c r="AO771" s="222"/>
      <c r="AP771" s="222"/>
      <c r="AQ771" s="222"/>
      <c r="AR771" s="222"/>
      <c r="AS771" s="222"/>
      <c r="AT771" s="222"/>
      <c r="AU771" s="222"/>
      <c r="AV771" s="222"/>
      <c r="AW771" s="222"/>
      <c r="AX771" s="222"/>
      <c r="AY771" s="222"/>
      <c r="AZ771" s="222"/>
      <c r="BA771" s="222"/>
      <c r="BB771" s="222"/>
      <c r="BC771" s="222"/>
      <c r="BD771" s="222"/>
      <c r="BE771" s="222"/>
      <c r="BF771" s="222"/>
      <c r="BG771" s="222"/>
      <c r="BH771" s="222"/>
      <c r="BI771" s="222"/>
      <c r="BJ771" s="222"/>
      <c r="BK771" s="222"/>
      <c r="BL771" s="222"/>
      <c r="BM771" s="222"/>
      <c r="BN771" s="222"/>
      <c r="BO771" s="222"/>
      <c r="BP771" s="222"/>
      <c r="BQ771" s="222"/>
      <c r="BR771" s="222"/>
      <c r="BS771" s="222"/>
      <c r="BT771" s="222"/>
      <c r="BU771" s="222"/>
      <c r="BV771" s="222"/>
      <c r="BW771" s="222"/>
      <c r="BX771" s="222"/>
      <c r="BY771" s="222"/>
      <c r="BZ771" s="222"/>
      <c r="CA771" s="222"/>
      <c r="CB771" s="222"/>
      <c r="CC771" s="222"/>
      <c r="CD771" s="222"/>
      <c r="CE771" s="222"/>
      <c r="CF771" s="222"/>
      <c r="CG771" s="222"/>
      <c r="CH771" s="222"/>
      <c r="CI771" s="222"/>
      <c r="CJ771" s="222"/>
      <c r="CK771" s="222"/>
      <c r="CL771" s="222"/>
      <c r="CM771" s="222"/>
      <c r="CN771" s="222"/>
      <c r="CO771" s="222"/>
      <c r="CP771" s="222"/>
      <c r="CQ771" s="222"/>
      <c r="CR771" s="222"/>
      <c r="CS771" s="222"/>
    </row>
    <row r="772">
      <c r="A772" s="43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  <c r="AC772" s="222"/>
      <c r="AD772" s="222"/>
      <c r="AE772" s="222"/>
      <c r="AF772" s="222"/>
      <c r="AG772" s="222"/>
      <c r="AH772" s="222"/>
      <c r="AI772" s="222"/>
      <c r="AJ772" s="222"/>
      <c r="AK772" s="222"/>
      <c r="AL772" s="222"/>
      <c r="AM772" s="222"/>
      <c r="AN772" s="222"/>
      <c r="AO772" s="222"/>
      <c r="AP772" s="222"/>
      <c r="AQ772" s="222"/>
      <c r="AR772" s="222"/>
      <c r="AS772" s="222"/>
      <c r="AT772" s="222"/>
      <c r="AU772" s="222"/>
      <c r="AV772" s="222"/>
      <c r="AW772" s="222"/>
      <c r="AX772" s="222"/>
      <c r="AY772" s="222"/>
      <c r="AZ772" s="222"/>
      <c r="BA772" s="222"/>
      <c r="BB772" s="222"/>
      <c r="BC772" s="222"/>
      <c r="BD772" s="222"/>
      <c r="BE772" s="222"/>
      <c r="BF772" s="222"/>
      <c r="BG772" s="222"/>
      <c r="BH772" s="222"/>
      <c r="BI772" s="222"/>
      <c r="BJ772" s="222"/>
      <c r="BK772" s="222"/>
      <c r="BL772" s="222"/>
      <c r="BM772" s="222"/>
      <c r="BN772" s="222"/>
      <c r="BO772" s="222"/>
      <c r="BP772" s="222"/>
      <c r="BQ772" s="222"/>
      <c r="BR772" s="222"/>
      <c r="BS772" s="222"/>
      <c r="BT772" s="222"/>
      <c r="BU772" s="222"/>
      <c r="BV772" s="222"/>
      <c r="BW772" s="222"/>
      <c r="BX772" s="222"/>
      <c r="BY772" s="222"/>
      <c r="BZ772" s="222"/>
      <c r="CA772" s="222"/>
      <c r="CB772" s="222"/>
      <c r="CC772" s="222"/>
      <c r="CD772" s="222"/>
      <c r="CE772" s="222"/>
      <c r="CF772" s="222"/>
      <c r="CG772" s="222"/>
      <c r="CH772" s="222"/>
      <c r="CI772" s="222"/>
      <c r="CJ772" s="222"/>
      <c r="CK772" s="222"/>
      <c r="CL772" s="222"/>
      <c r="CM772" s="222"/>
      <c r="CN772" s="222"/>
      <c r="CO772" s="222"/>
      <c r="CP772" s="222"/>
      <c r="CQ772" s="222"/>
      <c r="CR772" s="222"/>
      <c r="CS772" s="222"/>
    </row>
    <row r="773">
      <c r="A773" s="43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  <c r="AC773" s="222"/>
      <c r="AD773" s="222"/>
      <c r="AE773" s="222"/>
      <c r="AF773" s="222"/>
      <c r="AG773" s="222"/>
      <c r="AH773" s="222"/>
      <c r="AI773" s="222"/>
      <c r="AJ773" s="222"/>
      <c r="AK773" s="222"/>
      <c r="AL773" s="222"/>
      <c r="AM773" s="222"/>
      <c r="AN773" s="222"/>
      <c r="AO773" s="222"/>
      <c r="AP773" s="222"/>
      <c r="AQ773" s="222"/>
      <c r="AR773" s="222"/>
      <c r="AS773" s="222"/>
      <c r="AT773" s="222"/>
      <c r="AU773" s="222"/>
      <c r="AV773" s="222"/>
      <c r="AW773" s="222"/>
      <c r="AX773" s="222"/>
      <c r="AY773" s="222"/>
      <c r="AZ773" s="222"/>
      <c r="BA773" s="222"/>
      <c r="BB773" s="222"/>
      <c r="BC773" s="222"/>
      <c r="BD773" s="222"/>
      <c r="BE773" s="222"/>
      <c r="BF773" s="222"/>
      <c r="BG773" s="222"/>
      <c r="BH773" s="222"/>
      <c r="BI773" s="222"/>
      <c r="BJ773" s="222"/>
      <c r="BK773" s="222"/>
      <c r="BL773" s="222"/>
      <c r="BM773" s="222"/>
      <c r="BN773" s="222"/>
      <c r="BO773" s="222"/>
      <c r="BP773" s="222"/>
      <c r="BQ773" s="222"/>
      <c r="BR773" s="222"/>
      <c r="BS773" s="222"/>
      <c r="BT773" s="222"/>
      <c r="BU773" s="222"/>
      <c r="BV773" s="222"/>
      <c r="BW773" s="222"/>
      <c r="BX773" s="222"/>
      <c r="BY773" s="222"/>
      <c r="BZ773" s="222"/>
      <c r="CA773" s="222"/>
      <c r="CB773" s="222"/>
      <c r="CC773" s="222"/>
      <c r="CD773" s="222"/>
      <c r="CE773" s="222"/>
      <c r="CF773" s="222"/>
      <c r="CG773" s="222"/>
      <c r="CH773" s="222"/>
      <c r="CI773" s="222"/>
      <c r="CJ773" s="222"/>
      <c r="CK773" s="222"/>
      <c r="CL773" s="222"/>
      <c r="CM773" s="222"/>
      <c r="CN773" s="222"/>
      <c r="CO773" s="222"/>
      <c r="CP773" s="222"/>
      <c r="CQ773" s="222"/>
      <c r="CR773" s="222"/>
      <c r="CS773" s="222"/>
    </row>
    <row r="774">
      <c r="A774" s="43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  <c r="AC774" s="222"/>
      <c r="AD774" s="222"/>
      <c r="AE774" s="222"/>
      <c r="AF774" s="222"/>
      <c r="AG774" s="222"/>
      <c r="AH774" s="222"/>
      <c r="AI774" s="222"/>
      <c r="AJ774" s="222"/>
      <c r="AK774" s="222"/>
      <c r="AL774" s="222"/>
      <c r="AM774" s="222"/>
      <c r="AN774" s="222"/>
      <c r="AO774" s="222"/>
      <c r="AP774" s="222"/>
      <c r="AQ774" s="222"/>
      <c r="AR774" s="222"/>
      <c r="AS774" s="222"/>
      <c r="AT774" s="222"/>
      <c r="AU774" s="222"/>
      <c r="AV774" s="222"/>
      <c r="AW774" s="222"/>
      <c r="AX774" s="222"/>
      <c r="AY774" s="222"/>
      <c r="AZ774" s="222"/>
      <c r="BA774" s="222"/>
      <c r="BB774" s="222"/>
      <c r="BC774" s="222"/>
      <c r="BD774" s="222"/>
      <c r="BE774" s="222"/>
      <c r="BF774" s="222"/>
      <c r="BG774" s="222"/>
      <c r="BH774" s="222"/>
      <c r="BI774" s="222"/>
      <c r="BJ774" s="222"/>
      <c r="BK774" s="222"/>
      <c r="BL774" s="222"/>
      <c r="BM774" s="222"/>
      <c r="BN774" s="222"/>
      <c r="BO774" s="222"/>
      <c r="BP774" s="222"/>
      <c r="BQ774" s="222"/>
      <c r="BR774" s="222"/>
      <c r="BS774" s="222"/>
      <c r="BT774" s="222"/>
      <c r="BU774" s="222"/>
      <c r="BV774" s="222"/>
      <c r="BW774" s="222"/>
      <c r="BX774" s="222"/>
      <c r="BY774" s="222"/>
      <c r="BZ774" s="222"/>
      <c r="CA774" s="222"/>
      <c r="CB774" s="222"/>
      <c r="CC774" s="222"/>
      <c r="CD774" s="222"/>
      <c r="CE774" s="222"/>
      <c r="CF774" s="222"/>
      <c r="CG774" s="222"/>
      <c r="CH774" s="222"/>
      <c r="CI774" s="222"/>
      <c r="CJ774" s="222"/>
      <c r="CK774" s="222"/>
      <c r="CL774" s="222"/>
      <c r="CM774" s="222"/>
      <c r="CN774" s="222"/>
      <c r="CO774" s="222"/>
      <c r="CP774" s="222"/>
      <c r="CQ774" s="222"/>
      <c r="CR774" s="222"/>
      <c r="CS774" s="222"/>
    </row>
    <row r="775">
      <c r="A775" s="43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  <c r="AF775" s="222"/>
      <c r="AG775" s="222"/>
      <c r="AH775" s="222"/>
      <c r="AI775" s="222"/>
      <c r="AJ775" s="222"/>
      <c r="AK775" s="222"/>
      <c r="AL775" s="222"/>
      <c r="AM775" s="222"/>
      <c r="AN775" s="222"/>
      <c r="AO775" s="222"/>
      <c r="AP775" s="222"/>
      <c r="AQ775" s="222"/>
      <c r="AR775" s="222"/>
      <c r="AS775" s="222"/>
      <c r="AT775" s="222"/>
      <c r="AU775" s="222"/>
      <c r="AV775" s="222"/>
      <c r="AW775" s="222"/>
      <c r="AX775" s="222"/>
      <c r="AY775" s="222"/>
      <c r="AZ775" s="222"/>
      <c r="BA775" s="222"/>
      <c r="BB775" s="222"/>
      <c r="BC775" s="222"/>
      <c r="BD775" s="222"/>
      <c r="BE775" s="222"/>
      <c r="BF775" s="222"/>
      <c r="BG775" s="222"/>
      <c r="BH775" s="222"/>
      <c r="BI775" s="222"/>
      <c r="BJ775" s="222"/>
      <c r="BK775" s="222"/>
      <c r="BL775" s="222"/>
      <c r="BM775" s="222"/>
      <c r="BN775" s="222"/>
      <c r="BO775" s="222"/>
      <c r="BP775" s="222"/>
      <c r="BQ775" s="222"/>
      <c r="BR775" s="222"/>
      <c r="BS775" s="222"/>
      <c r="BT775" s="222"/>
      <c r="BU775" s="222"/>
      <c r="BV775" s="222"/>
      <c r="BW775" s="222"/>
      <c r="BX775" s="222"/>
      <c r="BY775" s="222"/>
      <c r="BZ775" s="222"/>
      <c r="CA775" s="222"/>
      <c r="CB775" s="222"/>
      <c r="CC775" s="222"/>
      <c r="CD775" s="222"/>
      <c r="CE775" s="222"/>
      <c r="CF775" s="222"/>
      <c r="CG775" s="222"/>
      <c r="CH775" s="222"/>
      <c r="CI775" s="222"/>
      <c r="CJ775" s="222"/>
      <c r="CK775" s="222"/>
      <c r="CL775" s="222"/>
      <c r="CM775" s="222"/>
      <c r="CN775" s="222"/>
      <c r="CO775" s="222"/>
      <c r="CP775" s="222"/>
      <c r="CQ775" s="222"/>
      <c r="CR775" s="222"/>
      <c r="CS775" s="222"/>
    </row>
    <row r="776">
      <c r="A776" s="43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  <c r="AC776" s="222"/>
      <c r="AD776" s="222"/>
      <c r="AE776" s="222"/>
      <c r="AF776" s="222"/>
      <c r="AG776" s="222"/>
      <c r="AH776" s="222"/>
      <c r="AI776" s="222"/>
      <c r="AJ776" s="222"/>
      <c r="AK776" s="222"/>
      <c r="AL776" s="222"/>
      <c r="AM776" s="222"/>
      <c r="AN776" s="222"/>
      <c r="AO776" s="222"/>
      <c r="AP776" s="222"/>
      <c r="AQ776" s="222"/>
      <c r="AR776" s="222"/>
      <c r="AS776" s="222"/>
      <c r="AT776" s="222"/>
      <c r="AU776" s="222"/>
      <c r="AV776" s="222"/>
      <c r="AW776" s="222"/>
      <c r="AX776" s="222"/>
      <c r="AY776" s="222"/>
      <c r="AZ776" s="222"/>
      <c r="BA776" s="222"/>
      <c r="BB776" s="222"/>
      <c r="BC776" s="222"/>
      <c r="BD776" s="222"/>
      <c r="BE776" s="222"/>
      <c r="BF776" s="222"/>
      <c r="BG776" s="222"/>
      <c r="BH776" s="222"/>
      <c r="BI776" s="222"/>
      <c r="BJ776" s="222"/>
      <c r="BK776" s="222"/>
      <c r="BL776" s="222"/>
      <c r="BM776" s="222"/>
      <c r="BN776" s="222"/>
      <c r="BO776" s="222"/>
      <c r="BP776" s="222"/>
      <c r="BQ776" s="222"/>
      <c r="BR776" s="222"/>
      <c r="BS776" s="222"/>
      <c r="BT776" s="222"/>
      <c r="BU776" s="222"/>
      <c r="BV776" s="222"/>
      <c r="BW776" s="222"/>
      <c r="BX776" s="222"/>
      <c r="BY776" s="222"/>
      <c r="BZ776" s="222"/>
      <c r="CA776" s="222"/>
      <c r="CB776" s="222"/>
      <c r="CC776" s="222"/>
      <c r="CD776" s="222"/>
      <c r="CE776" s="222"/>
      <c r="CF776" s="222"/>
      <c r="CG776" s="222"/>
      <c r="CH776" s="222"/>
      <c r="CI776" s="222"/>
      <c r="CJ776" s="222"/>
      <c r="CK776" s="222"/>
      <c r="CL776" s="222"/>
      <c r="CM776" s="222"/>
      <c r="CN776" s="222"/>
      <c r="CO776" s="222"/>
      <c r="CP776" s="222"/>
      <c r="CQ776" s="222"/>
      <c r="CR776" s="222"/>
      <c r="CS776" s="222"/>
    </row>
    <row r="777">
      <c r="A777" s="43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  <c r="AC777" s="222"/>
      <c r="AD777" s="222"/>
      <c r="AE777" s="222"/>
      <c r="AF777" s="222"/>
      <c r="AG777" s="222"/>
      <c r="AH777" s="222"/>
      <c r="AI777" s="222"/>
      <c r="AJ777" s="222"/>
      <c r="AK777" s="222"/>
      <c r="AL777" s="222"/>
      <c r="AM777" s="222"/>
      <c r="AN777" s="222"/>
      <c r="AO777" s="222"/>
      <c r="AP777" s="222"/>
      <c r="AQ777" s="222"/>
      <c r="AR777" s="222"/>
      <c r="AS777" s="222"/>
      <c r="AT777" s="222"/>
      <c r="AU777" s="222"/>
      <c r="AV777" s="222"/>
      <c r="AW777" s="222"/>
      <c r="AX777" s="222"/>
      <c r="AY777" s="222"/>
      <c r="AZ777" s="222"/>
      <c r="BA777" s="222"/>
      <c r="BB777" s="222"/>
      <c r="BC777" s="222"/>
      <c r="BD777" s="222"/>
      <c r="BE777" s="222"/>
      <c r="BF777" s="222"/>
      <c r="BG777" s="222"/>
      <c r="BH777" s="222"/>
      <c r="BI777" s="222"/>
      <c r="BJ777" s="222"/>
      <c r="BK777" s="222"/>
      <c r="BL777" s="222"/>
      <c r="BM777" s="222"/>
      <c r="BN777" s="222"/>
      <c r="BO777" s="222"/>
      <c r="BP777" s="222"/>
      <c r="BQ777" s="222"/>
      <c r="BR777" s="222"/>
      <c r="BS777" s="222"/>
      <c r="BT777" s="222"/>
      <c r="BU777" s="222"/>
      <c r="BV777" s="222"/>
      <c r="BW777" s="222"/>
      <c r="BX777" s="222"/>
      <c r="BY777" s="222"/>
      <c r="BZ777" s="222"/>
      <c r="CA777" s="222"/>
      <c r="CB777" s="222"/>
      <c r="CC777" s="222"/>
      <c r="CD777" s="222"/>
      <c r="CE777" s="222"/>
      <c r="CF777" s="222"/>
      <c r="CG777" s="222"/>
      <c r="CH777" s="222"/>
      <c r="CI777" s="222"/>
      <c r="CJ777" s="222"/>
      <c r="CK777" s="222"/>
      <c r="CL777" s="222"/>
      <c r="CM777" s="222"/>
      <c r="CN777" s="222"/>
      <c r="CO777" s="222"/>
      <c r="CP777" s="222"/>
      <c r="CQ777" s="222"/>
      <c r="CR777" s="222"/>
      <c r="CS777" s="222"/>
    </row>
    <row r="778">
      <c r="A778" s="43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  <c r="AC778" s="222"/>
      <c r="AD778" s="222"/>
      <c r="AE778" s="222"/>
      <c r="AF778" s="222"/>
      <c r="AG778" s="222"/>
      <c r="AH778" s="222"/>
      <c r="AI778" s="222"/>
      <c r="AJ778" s="222"/>
      <c r="AK778" s="222"/>
      <c r="AL778" s="222"/>
      <c r="AM778" s="222"/>
      <c r="AN778" s="222"/>
      <c r="AO778" s="222"/>
      <c r="AP778" s="222"/>
      <c r="AQ778" s="222"/>
      <c r="AR778" s="222"/>
      <c r="AS778" s="222"/>
      <c r="AT778" s="222"/>
      <c r="AU778" s="222"/>
      <c r="AV778" s="222"/>
      <c r="AW778" s="222"/>
      <c r="AX778" s="222"/>
      <c r="AY778" s="222"/>
      <c r="AZ778" s="222"/>
      <c r="BA778" s="222"/>
      <c r="BB778" s="222"/>
      <c r="BC778" s="222"/>
      <c r="BD778" s="222"/>
      <c r="BE778" s="222"/>
      <c r="BF778" s="222"/>
      <c r="BG778" s="222"/>
      <c r="BH778" s="222"/>
      <c r="BI778" s="222"/>
      <c r="BJ778" s="222"/>
      <c r="BK778" s="222"/>
      <c r="BL778" s="222"/>
      <c r="BM778" s="222"/>
      <c r="BN778" s="222"/>
      <c r="BO778" s="222"/>
      <c r="BP778" s="222"/>
      <c r="BQ778" s="222"/>
      <c r="BR778" s="222"/>
      <c r="BS778" s="222"/>
      <c r="BT778" s="222"/>
      <c r="BU778" s="222"/>
      <c r="BV778" s="222"/>
      <c r="BW778" s="222"/>
      <c r="BX778" s="222"/>
      <c r="BY778" s="222"/>
      <c r="BZ778" s="222"/>
      <c r="CA778" s="222"/>
      <c r="CB778" s="222"/>
      <c r="CC778" s="222"/>
      <c r="CD778" s="222"/>
      <c r="CE778" s="222"/>
      <c r="CF778" s="222"/>
      <c r="CG778" s="222"/>
      <c r="CH778" s="222"/>
      <c r="CI778" s="222"/>
      <c r="CJ778" s="222"/>
      <c r="CK778" s="222"/>
      <c r="CL778" s="222"/>
      <c r="CM778" s="222"/>
      <c r="CN778" s="222"/>
      <c r="CO778" s="222"/>
      <c r="CP778" s="222"/>
      <c r="CQ778" s="222"/>
      <c r="CR778" s="222"/>
      <c r="CS778" s="222"/>
    </row>
    <row r="779">
      <c r="A779" s="43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  <c r="AC779" s="222"/>
      <c r="AD779" s="222"/>
      <c r="AE779" s="222"/>
      <c r="AF779" s="222"/>
      <c r="AG779" s="222"/>
      <c r="AH779" s="222"/>
      <c r="AI779" s="222"/>
      <c r="AJ779" s="222"/>
      <c r="AK779" s="222"/>
      <c r="AL779" s="222"/>
      <c r="AM779" s="222"/>
      <c r="AN779" s="222"/>
      <c r="AO779" s="222"/>
      <c r="AP779" s="222"/>
      <c r="AQ779" s="222"/>
      <c r="AR779" s="222"/>
      <c r="AS779" s="222"/>
      <c r="AT779" s="222"/>
      <c r="AU779" s="222"/>
      <c r="AV779" s="222"/>
      <c r="AW779" s="222"/>
      <c r="AX779" s="222"/>
      <c r="AY779" s="222"/>
      <c r="AZ779" s="222"/>
      <c r="BA779" s="222"/>
      <c r="BB779" s="222"/>
      <c r="BC779" s="222"/>
      <c r="BD779" s="222"/>
      <c r="BE779" s="222"/>
      <c r="BF779" s="222"/>
      <c r="BG779" s="222"/>
      <c r="BH779" s="222"/>
      <c r="BI779" s="222"/>
      <c r="BJ779" s="222"/>
      <c r="BK779" s="222"/>
      <c r="BL779" s="222"/>
      <c r="BM779" s="222"/>
      <c r="BN779" s="222"/>
      <c r="BO779" s="222"/>
      <c r="BP779" s="222"/>
      <c r="BQ779" s="222"/>
      <c r="BR779" s="222"/>
      <c r="BS779" s="222"/>
      <c r="BT779" s="222"/>
      <c r="BU779" s="222"/>
      <c r="BV779" s="222"/>
      <c r="BW779" s="222"/>
      <c r="BX779" s="222"/>
      <c r="BY779" s="222"/>
      <c r="BZ779" s="222"/>
      <c r="CA779" s="222"/>
      <c r="CB779" s="222"/>
      <c r="CC779" s="222"/>
      <c r="CD779" s="222"/>
      <c r="CE779" s="222"/>
      <c r="CF779" s="222"/>
      <c r="CG779" s="222"/>
      <c r="CH779" s="222"/>
      <c r="CI779" s="222"/>
      <c r="CJ779" s="222"/>
      <c r="CK779" s="222"/>
      <c r="CL779" s="222"/>
      <c r="CM779" s="222"/>
      <c r="CN779" s="222"/>
      <c r="CO779" s="222"/>
      <c r="CP779" s="222"/>
      <c r="CQ779" s="222"/>
      <c r="CR779" s="222"/>
      <c r="CS779" s="222"/>
    </row>
    <row r="780">
      <c r="A780" s="43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  <c r="AF780" s="222"/>
      <c r="AG780" s="222"/>
      <c r="AH780" s="222"/>
      <c r="AI780" s="222"/>
      <c r="AJ780" s="222"/>
      <c r="AK780" s="222"/>
      <c r="AL780" s="222"/>
      <c r="AM780" s="222"/>
      <c r="AN780" s="222"/>
      <c r="AO780" s="222"/>
      <c r="AP780" s="222"/>
      <c r="AQ780" s="222"/>
      <c r="AR780" s="222"/>
      <c r="AS780" s="222"/>
      <c r="AT780" s="222"/>
      <c r="AU780" s="222"/>
      <c r="AV780" s="222"/>
      <c r="AW780" s="222"/>
      <c r="AX780" s="222"/>
      <c r="AY780" s="222"/>
      <c r="AZ780" s="222"/>
      <c r="BA780" s="222"/>
      <c r="BB780" s="222"/>
      <c r="BC780" s="222"/>
      <c r="BD780" s="222"/>
      <c r="BE780" s="222"/>
      <c r="BF780" s="222"/>
      <c r="BG780" s="222"/>
      <c r="BH780" s="222"/>
      <c r="BI780" s="222"/>
      <c r="BJ780" s="222"/>
      <c r="BK780" s="222"/>
      <c r="BL780" s="222"/>
      <c r="BM780" s="222"/>
      <c r="BN780" s="222"/>
      <c r="BO780" s="222"/>
      <c r="BP780" s="222"/>
      <c r="BQ780" s="222"/>
      <c r="BR780" s="222"/>
      <c r="BS780" s="222"/>
      <c r="BT780" s="222"/>
      <c r="BU780" s="222"/>
      <c r="BV780" s="222"/>
      <c r="BW780" s="222"/>
      <c r="BX780" s="222"/>
      <c r="BY780" s="222"/>
      <c r="BZ780" s="222"/>
      <c r="CA780" s="222"/>
      <c r="CB780" s="222"/>
      <c r="CC780" s="222"/>
      <c r="CD780" s="222"/>
      <c r="CE780" s="222"/>
      <c r="CF780" s="222"/>
      <c r="CG780" s="222"/>
      <c r="CH780" s="222"/>
      <c r="CI780" s="222"/>
      <c r="CJ780" s="222"/>
      <c r="CK780" s="222"/>
      <c r="CL780" s="222"/>
      <c r="CM780" s="222"/>
      <c r="CN780" s="222"/>
      <c r="CO780" s="222"/>
      <c r="CP780" s="222"/>
      <c r="CQ780" s="222"/>
      <c r="CR780" s="222"/>
      <c r="CS780" s="222"/>
    </row>
    <row r="781">
      <c r="A781" s="43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  <c r="AC781" s="222"/>
      <c r="AD781" s="222"/>
      <c r="AE781" s="222"/>
      <c r="AF781" s="222"/>
      <c r="AG781" s="222"/>
      <c r="AH781" s="222"/>
      <c r="AI781" s="222"/>
      <c r="AJ781" s="222"/>
      <c r="AK781" s="222"/>
      <c r="AL781" s="222"/>
      <c r="AM781" s="222"/>
      <c r="AN781" s="222"/>
      <c r="AO781" s="222"/>
      <c r="AP781" s="222"/>
      <c r="AQ781" s="222"/>
      <c r="AR781" s="222"/>
      <c r="AS781" s="222"/>
      <c r="AT781" s="222"/>
      <c r="AU781" s="222"/>
      <c r="AV781" s="222"/>
      <c r="AW781" s="222"/>
      <c r="AX781" s="222"/>
      <c r="AY781" s="222"/>
      <c r="AZ781" s="222"/>
      <c r="BA781" s="222"/>
      <c r="BB781" s="222"/>
      <c r="BC781" s="222"/>
      <c r="BD781" s="222"/>
      <c r="BE781" s="222"/>
      <c r="BF781" s="222"/>
      <c r="BG781" s="222"/>
      <c r="BH781" s="222"/>
      <c r="BI781" s="222"/>
      <c r="BJ781" s="222"/>
      <c r="BK781" s="222"/>
      <c r="BL781" s="222"/>
      <c r="BM781" s="222"/>
      <c r="BN781" s="222"/>
      <c r="BO781" s="222"/>
      <c r="BP781" s="222"/>
      <c r="BQ781" s="222"/>
      <c r="BR781" s="222"/>
      <c r="BS781" s="222"/>
      <c r="BT781" s="222"/>
      <c r="BU781" s="222"/>
      <c r="BV781" s="222"/>
      <c r="BW781" s="222"/>
      <c r="BX781" s="222"/>
      <c r="BY781" s="222"/>
      <c r="BZ781" s="222"/>
      <c r="CA781" s="222"/>
      <c r="CB781" s="222"/>
      <c r="CC781" s="222"/>
      <c r="CD781" s="222"/>
      <c r="CE781" s="222"/>
      <c r="CF781" s="222"/>
      <c r="CG781" s="222"/>
      <c r="CH781" s="222"/>
      <c r="CI781" s="222"/>
      <c r="CJ781" s="222"/>
      <c r="CK781" s="222"/>
      <c r="CL781" s="222"/>
      <c r="CM781" s="222"/>
      <c r="CN781" s="222"/>
      <c r="CO781" s="222"/>
      <c r="CP781" s="222"/>
      <c r="CQ781" s="222"/>
      <c r="CR781" s="222"/>
      <c r="CS781" s="222"/>
    </row>
    <row r="782">
      <c r="A782" s="43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  <c r="AC782" s="222"/>
      <c r="AD782" s="222"/>
      <c r="AE782" s="222"/>
      <c r="AF782" s="222"/>
      <c r="AG782" s="222"/>
      <c r="AH782" s="222"/>
      <c r="AI782" s="222"/>
      <c r="AJ782" s="222"/>
      <c r="AK782" s="222"/>
      <c r="AL782" s="222"/>
      <c r="AM782" s="222"/>
      <c r="AN782" s="222"/>
      <c r="AO782" s="222"/>
      <c r="AP782" s="222"/>
      <c r="AQ782" s="222"/>
      <c r="AR782" s="222"/>
      <c r="AS782" s="222"/>
      <c r="AT782" s="222"/>
      <c r="AU782" s="222"/>
      <c r="AV782" s="222"/>
      <c r="AW782" s="222"/>
      <c r="AX782" s="222"/>
      <c r="AY782" s="222"/>
      <c r="AZ782" s="222"/>
      <c r="BA782" s="222"/>
      <c r="BB782" s="222"/>
      <c r="BC782" s="222"/>
      <c r="BD782" s="222"/>
      <c r="BE782" s="222"/>
      <c r="BF782" s="222"/>
      <c r="BG782" s="222"/>
      <c r="BH782" s="222"/>
      <c r="BI782" s="222"/>
      <c r="BJ782" s="222"/>
      <c r="BK782" s="222"/>
      <c r="BL782" s="222"/>
      <c r="BM782" s="222"/>
      <c r="BN782" s="222"/>
      <c r="BO782" s="222"/>
      <c r="BP782" s="222"/>
      <c r="BQ782" s="222"/>
      <c r="BR782" s="222"/>
      <c r="BS782" s="222"/>
      <c r="BT782" s="222"/>
      <c r="BU782" s="222"/>
      <c r="BV782" s="222"/>
      <c r="BW782" s="222"/>
      <c r="BX782" s="222"/>
      <c r="BY782" s="222"/>
      <c r="BZ782" s="222"/>
      <c r="CA782" s="222"/>
      <c r="CB782" s="222"/>
      <c r="CC782" s="222"/>
      <c r="CD782" s="222"/>
      <c r="CE782" s="222"/>
      <c r="CF782" s="222"/>
      <c r="CG782" s="222"/>
      <c r="CH782" s="222"/>
      <c r="CI782" s="222"/>
      <c r="CJ782" s="222"/>
      <c r="CK782" s="222"/>
      <c r="CL782" s="222"/>
      <c r="CM782" s="222"/>
      <c r="CN782" s="222"/>
      <c r="CO782" s="222"/>
      <c r="CP782" s="222"/>
      <c r="CQ782" s="222"/>
      <c r="CR782" s="222"/>
      <c r="CS782" s="222"/>
    </row>
    <row r="783">
      <c r="A783" s="43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  <c r="AC783" s="222"/>
      <c r="AD783" s="222"/>
      <c r="AE783" s="222"/>
      <c r="AF783" s="222"/>
      <c r="AG783" s="222"/>
      <c r="AH783" s="222"/>
      <c r="AI783" s="222"/>
      <c r="AJ783" s="222"/>
      <c r="AK783" s="222"/>
      <c r="AL783" s="222"/>
      <c r="AM783" s="222"/>
      <c r="AN783" s="222"/>
      <c r="AO783" s="222"/>
      <c r="AP783" s="222"/>
      <c r="AQ783" s="222"/>
      <c r="AR783" s="222"/>
      <c r="AS783" s="222"/>
      <c r="AT783" s="222"/>
      <c r="AU783" s="222"/>
      <c r="AV783" s="222"/>
      <c r="AW783" s="222"/>
      <c r="AX783" s="222"/>
      <c r="AY783" s="222"/>
      <c r="AZ783" s="222"/>
      <c r="BA783" s="222"/>
      <c r="BB783" s="222"/>
      <c r="BC783" s="222"/>
      <c r="BD783" s="222"/>
      <c r="BE783" s="222"/>
      <c r="BF783" s="222"/>
      <c r="BG783" s="222"/>
      <c r="BH783" s="222"/>
      <c r="BI783" s="222"/>
      <c r="BJ783" s="222"/>
      <c r="BK783" s="222"/>
      <c r="BL783" s="222"/>
      <c r="BM783" s="222"/>
      <c r="BN783" s="222"/>
      <c r="BO783" s="222"/>
      <c r="BP783" s="222"/>
      <c r="BQ783" s="222"/>
      <c r="BR783" s="222"/>
      <c r="BS783" s="222"/>
      <c r="BT783" s="222"/>
      <c r="BU783" s="222"/>
      <c r="BV783" s="222"/>
      <c r="BW783" s="222"/>
      <c r="BX783" s="222"/>
      <c r="BY783" s="222"/>
      <c r="BZ783" s="222"/>
      <c r="CA783" s="222"/>
      <c r="CB783" s="222"/>
      <c r="CC783" s="222"/>
      <c r="CD783" s="222"/>
      <c r="CE783" s="222"/>
      <c r="CF783" s="222"/>
      <c r="CG783" s="222"/>
      <c r="CH783" s="222"/>
      <c r="CI783" s="222"/>
      <c r="CJ783" s="222"/>
      <c r="CK783" s="222"/>
      <c r="CL783" s="222"/>
      <c r="CM783" s="222"/>
      <c r="CN783" s="222"/>
      <c r="CO783" s="222"/>
      <c r="CP783" s="222"/>
      <c r="CQ783" s="222"/>
      <c r="CR783" s="222"/>
      <c r="CS783" s="222"/>
    </row>
    <row r="784">
      <c r="A784" s="43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  <c r="AC784" s="222"/>
      <c r="AD784" s="222"/>
      <c r="AE784" s="222"/>
      <c r="AF784" s="222"/>
      <c r="AG784" s="222"/>
      <c r="AH784" s="222"/>
      <c r="AI784" s="222"/>
      <c r="AJ784" s="222"/>
      <c r="AK784" s="222"/>
      <c r="AL784" s="222"/>
      <c r="AM784" s="222"/>
      <c r="AN784" s="222"/>
      <c r="AO784" s="222"/>
      <c r="AP784" s="222"/>
      <c r="AQ784" s="222"/>
      <c r="AR784" s="222"/>
      <c r="AS784" s="222"/>
      <c r="AT784" s="222"/>
      <c r="AU784" s="222"/>
      <c r="AV784" s="222"/>
      <c r="AW784" s="222"/>
      <c r="AX784" s="222"/>
      <c r="AY784" s="222"/>
      <c r="AZ784" s="222"/>
      <c r="BA784" s="222"/>
      <c r="BB784" s="222"/>
      <c r="BC784" s="222"/>
      <c r="BD784" s="222"/>
      <c r="BE784" s="222"/>
      <c r="BF784" s="222"/>
      <c r="BG784" s="222"/>
      <c r="BH784" s="222"/>
      <c r="BI784" s="222"/>
      <c r="BJ784" s="222"/>
      <c r="BK784" s="222"/>
      <c r="BL784" s="222"/>
      <c r="BM784" s="222"/>
      <c r="BN784" s="222"/>
      <c r="BO784" s="222"/>
      <c r="BP784" s="222"/>
      <c r="BQ784" s="222"/>
      <c r="BR784" s="222"/>
      <c r="BS784" s="222"/>
      <c r="BT784" s="222"/>
      <c r="BU784" s="222"/>
      <c r="BV784" s="222"/>
      <c r="BW784" s="222"/>
      <c r="BX784" s="222"/>
      <c r="BY784" s="222"/>
      <c r="BZ784" s="222"/>
      <c r="CA784" s="222"/>
      <c r="CB784" s="222"/>
      <c r="CC784" s="222"/>
      <c r="CD784" s="222"/>
      <c r="CE784" s="222"/>
      <c r="CF784" s="222"/>
      <c r="CG784" s="222"/>
      <c r="CH784" s="222"/>
      <c r="CI784" s="222"/>
      <c r="CJ784" s="222"/>
      <c r="CK784" s="222"/>
      <c r="CL784" s="222"/>
      <c r="CM784" s="222"/>
      <c r="CN784" s="222"/>
      <c r="CO784" s="222"/>
      <c r="CP784" s="222"/>
      <c r="CQ784" s="222"/>
      <c r="CR784" s="222"/>
      <c r="CS784" s="222"/>
    </row>
    <row r="785">
      <c r="A785" s="43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  <c r="AC785" s="222"/>
      <c r="AD785" s="222"/>
      <c r="AE785" s="222"/>
      <c r="AF785" s="222"/>
      <c r="AG785" s="222"/>
      <c r="AH785" s="222"/>
      <c r="AI785" s="222"/>
      <c r="AJ785" s="222"/>
      <c r="AK785" s="222"/>
      <c r="AL785" s="222"/>
      <c r="AM785" s="222"/>
      <c r="AN785" s="222"/>
      <c r="AO785" s="222"/>
      <c r="AP785" s="222"/>
      <c r="AQ785" s="222"/>
      <c r="AR785" s="222"/>
      <c r="AS785" s="222"/>
      <c r="AT785" s="222"/>
      <c r="AU785" s="222"/>
      <c r="AV785" s="222"/>
      <c r="AW785" s="222"/>
      <c r="AX785" s="222"/>
      <c r="AY785" s="222"/>
      <c r="AZ785" s="222"/>
      <c r="BA785" s="222"/>
      <c r="BB785" s="222"/>
      <c r="BC785" s="222"/>
      <c r="BD785" s="222"/>
      <c r="BE785" s="222"/>
      <c r="BF785" s="222"/>
      <c r="BG785" s="222"/>
      <c r="BH785" s="222"/>
      <c r="BI785" s="222"/>
      <c r="BJ785" s="222"/>
      <c r="BK785" s="222"/>
      <c r="BL785" s="222"/>
      <c r="BM785" s="222"/>
      <c r="BN785" s="222"/>
      <c r="BO785" s="222"/>
      <c r="BP785" s="222"/>
      <c r="BQ785" s="222"/>
      <c r="BR785" s="222"/>
      <c r="BS785" s="222"/>
      <c r="BT785" s="222"/>
      <c r="BU785" s="222"/>
      <c r="BV785" s="222"/>
      <c r="BW785" s="222"/>
      <c r="BX785" s="222"/>
      <c r="BY785" s="222"/>
      <c r="BZ785" s="222"/>
      <c r="CA785" s="222"/>
      <c r="CB785" s="222"/>
      <c r="CC785" s="222"/>
      <c r="CD785" s="222"/>
      <c r="CE785" s="222"/>
      <c r="CF785" s="222"/>
      <c r="CG785" s="222"/>
      <c r="CH785" s="222"/>
      <c r="CI785" s="222"/>
      <c r="CJ785" s="222"/>
      <c r="CK785" s="222"/>
      <c r="CL785" s="222"/>
      <c r="CM785" s="222"/>
      <c r="CN785" s="222"/>
      <c r="CO785" s="222"/>
      <c r="CP785" s="222"/>
      <c r="CQ785" s="222"/>
      <c r="CR785" s="222"/>
      <c r="CS785" s="222"/>
    </row>
    <row r="786">
      <c r="A786" s="43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2"/>
      <c r="AE786" s="222"/>
      <c r="AF786" s="222"/>
      <c r="AG786" s="222"/>
      <c r="AH786" s="222"/>
      <c r="AI786" s="222"/>
      <c r="AJ786" s="222"/>
      <c r="AK786" s="222"/>
      <c r="AL786" s="222"/>
      <c r="AM786" s="222"/>
      <c r="AN786" s="222"/>
      <c r="AO786" s="222"/>
      <c r="AP786" s="222"/>
      <c r="AQ786" s="222"/>
      <c r="AR786" s="222"/>
      <c r="AS786" s="222"/>
      <c r="AT786" s="222"/>
      <c r="AU786" s="222"/>
      <c r="AV786" s="222"/>
      <c r="AW786" s="222"/>
      <c r="AX786" s="222"/>
      <c r="AY786" s="222"/>
      <c r="AZ786" s="222"/>
      <c r="BA786" s="222"/>
      <c r="BB786" s="222"/>
      <c r="BC786" s="222"/>
      <c r="BD786" s="222"/>
      <c r="BE786" s="222"/>
      <c r="BF786" s="222"/>
      <c r="BG786" s="222"/>
      <c r="BH786" s="222"/>
      <c r="BI786" s="222"/>
      <c r="BJ786" s="222"/>
      <c r="BK786" s="222"/>
      <c r="BL786" s="222"/>
      <c r="BM786" s="222"/>
      <c r="BN786" s="222"/>
      <c r="BO786" s="222"/>
      <c r="BP786" s="222"/>
      <c r="BQ786" s="222"/>
      <c r="BR786" s="222"/>
      <c r="BS786" s="222"/>
      <c r="BT786" s="222"/>
      <c r="BU786" s="222"/>
      <c r="BV786" s="222"/>
      <c r="BW786" s="222"/>
      <c r="BX786" s="222"/>
      <c r="BY786" s="222"/>
      <c r="BZ786" s="222"/>
      <c r="CA786" s="222"/>
      <c r="CB786" s="222"/>
      <c r="CC786" s="222"/>
      <c r="CD786" s="222"/>
      <c r="CE786" s="222"/>
      <c r="CF786" s="222"/>
      <c r="CG786" s="222"/>
      <c r="CH786" s="222"/>
      <c r="CI786" s="222"/>
      <c r="CJ786" s="222"/>
      <c r="CK786" s="222"/>
      <c r="CL786" s="222"/>
      <c r="CM786" s="222"/>
      <c r="CN786" s="222"/>
      <c r="CO786" s="222"/>
      <c r="CP786" s="222"/>
      <c r="CQ786" s="222"/>
      <c r="CR786" s="222"/>
      <c r="CS786" s="222"/>
    </row>
    <row r="787">
      <c r="A787" s="43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  <c r="AC787" s="222"/>
      <c r="AD787" s="222"/>
      <c r="AE787" s="222"/>
      <c r="AF787" s="222"/>
      <c r="AG787" s="222"/>
      <c r="AH787" s="222"/>
      <c r="AI787" s="222"/>
      <c r="AJ787" s="222"/>
      <c r="AK787" s="222"/>
      <c r="AL787" s="222"/>
      <c r="AM787" s="222"/>
      <c r="AN787" s="222"/>
      <c r="AO787" s="222"/>
      <c r="AP787" s="222"/>
      <c r="AQ787" s="222"/>
      <c r="AR787" s="222"/>
      <c r="AS787" s="222"/>
      <c r="AT787" s="222"/>
      <c r="AU787" s="222"/>
      <c r="AV787" s="222"/>
      <c r="AW787" s="222"/>
      <c r="AX787" s="222"/>
      <c r="AY787" s="222"/>
      <c r="AZ787" s="222"/>
      <c r="BA787" s="222"/>
      <c r="BB787" s="222"/>
      <c r="BC787" s="222"/>
      <c r="BD787" s="222"/>
      <c r="BE787" s="222"/>
      <c r="BF787" s="222"/>
      <c r="BG787" s="222"/>
      <c r="BH787" s="222"/>
      <c r="BI787" s="222"/>
      <c r="BJ787" s="222"/>
      <c r="BK787" s="222"/>
      <c r="BL787" s="222"/>
      <c r="BM787" s="222"/>
      <c r="BN787" s="222"/>
      <c r="BO787" s="222"/>
      <c r="BP787" s="222"/>
      <c r="BQ787" s="222"/>
      <c r="BR787" s="222"/>
      <c r="BS787" s="222"/>
      <c r="BT787" s="222"/>
      <c r="BU787" s="222"/>
      <c r="BV787" s="222"/>
      <c r="BW787" s="222"/>
      <c r="BX787" s="222"/>
      <c r="BY787" s="222"/>
      <c r="BZ787" s="222"/>
      <c r="CA787" s="222"/>
      <c r="CB787" s="222"/>
      <c r="CC787" s="222"/>
      <c r="CD787" s="222"/>
      <c r="CE787" s="222"/>
      <c r="CF787" s="222"/>
      <c r="CG787" s="222"/>
      <c r="CH787" s="222"/>
      <c r="CI787" s="222"/>
      <c r="CJ787" s="222"/>
      <c r="CK787" s="222"/>
      <c r="CL787" s="222"/>
      <c r="CM787" s="222"/>
      <c r="CN787" s="222"/>
      <c r="CO787" s="222"/>
      <c r="CP787" s="222"/>
      <c r="CQ787" s="222"/>
      <c r="CR787" s="222"/>
      <c r="CS787" s="222"/>
    </row>
    <row r="788">
      <c r="A788" s="43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  <c r="AC788" s="222"/>
      <c r="AD788" s="222"/>
      <c r="AE788" s="222"/>
      <c r="AF788" s="222"/>
      <c r="AG788" s="222"/>
      <c r="AH788" s="222"/>
      <c r="AI788" s="222"/>
      <c r="AJ788" s="222"/>
      <c r="AK788" s="222"/>
      <c r="AL788" s="222"/>
      <c r="AM788" s="222"/>
      <c r="AN788" s="222"/>
      <c r="AO788" s="222"/>
      <c r="AP788" s="222"/>
      <c r="AQ788" s="222"/>
      <c r="AR788" s="222"/>
      <c r="AS788" s="222"/>
      <c r="AT788" s="222"/>
      <c r="AU788" s="222"/>
      <c r="AV788" s="222"/>
      <c r="AW788" s="222"/>
      <c r="AX788" s="222"/>
      <c r="AY788" s="222"/>
      <c r="AZ788" s="222"/>
      <c r="BA788" s="222"/>
      <c r="BB788" s="222"/>
      <c r="BC788" s="222"/>
      <c r="BD788" s="222"/>
      <c r="BE788" s="222"/>
      <c r="BF788" s="222"/>
      <c r="BG788" s="222"/>
      <c r="BH788" s="222"/>
      <c r="BI788" s="222"/>
      <c r="BJ788" s="222"/>
      <c r="BK788" s="222"/>
      <c r="BL788" s="222"/>
      <c r="BM788" s="222"/>
      <c r="BN788" s="222"/>
      <c r="BO788" s="222"/>
      <c r="BP788" s="222"/>
      <c r="BQ788" s="222"/>
      <c r="BR788" s="222"/>
      <c r="BS788" s="222"/>
      <c r="BT788" s="222"/>
      <c r="BU788" s="222"/>
      <c r="BV788" s="222"/>
      <c r="BW788" s="222"/>
      <c r="BX788" s="222"/>
      <c r="BY788" s="222"/>
      <c r="BZ788" s="222"/>
      <c r="CA788" s="222"/>
      <c r="CB788" s="222"/>
      <c r="CC788" s="222"/>
      <c r="CD788" s="222"/>
      <c r="CE788" s="222"/>
      <c r="CF788" s="222"/>
      <c r="CG788" s="222"/>
      <c r="CH788" s="222"/>
      <c r="CI788" s="222"/>
      <c r="CJ788" s="222"/>
      <c r="CK788" s="222"/>
      <c r="CL788" s="222"/>
      <c r="CM788" s="222"/>
      <c r="CN788" s="222"/>
      <c r="CO788" s="222"/>
      <c r="CP788" s="222"/>
      <c r="CQ788" s="222"/>
      <c r="CR788" s="222"/>
      <c r="CS788" s="222"/>
    </row>
    <row r="789">
      <c r="A789" s="43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  <c r="AC789" s="222"/>
      <c r="AD789" s="222"/>
      <c r="AE789" s="222"/>
      <c r="AF789" s="222"/>
      <c r="AG789" s="222"/>
      <c r="AH789" s="222"/>
      <c r="AI789" s="222"/>
      <c r="AJ789" s="222"/>
      <c r="AK789" s="222"/>
      <c r="AL789" s="222"/>
      <c r="AM789" s="222"/>
      <c r="AN789" s="222"/>
      <c r="AO789" s="222"/>
      <c r="AP789" s="222"/>
      <c r="AQ789" s="222"/>
      <c r="AR789" s="222"/>
      <c r="AS789" s="222"/>
      <c r="AT789" s="222"/>
      <c r="AU789" s="222"/>
      <c r="AV789" s="222"/>
      <c r="AW789" s="222"/>
      <c r="AX789" s="222"/>
      <c r="AY789" s="222"/>
      <c r="AZ789" s="222"/>
      <c r="BA789" s="222"/>
      <c r="BB789" s="222"/>
      <c r="BC789" s="222"/>
      <c r="BD789" s="222"/>
      <c r="BE789" s="222"/>
      <c r="BF789" s="222"/>
      <c r="BG789" s="222"/>
      <c r="BH789" s="222"/>
      <c r="BI789" s="222"/>
      <c r="BJ789" s="222"/>
      <c r="BK789" s="222"/>
      <c r="BL789" s="222"/>
      <c r="BM789" s="222"/>
      <c r="BN789" s="222"/>
      <c r="BO789" s="222"/>
      <c r="BP789" s="222"/>
      <c r="BQ789" s="222"/>
      <c r="BR789" s="222"/>
      <c r="BS789" s="222"/>
      <c r="BT789" s="222"/>
      <c r="BU789" s="222"/>
      <c r="BV789" s="222"/>
      <c r="BW789" s="222"/>
      <c r="BX789" s="222"/>
      <c r="BY789" s="222"/>
      <c r="BZ789" s="222"/>
      <c r="CA789" s="222"/>
      <c r="CB789" s="222"/>
      <c r="CC789" s="222"/>
      <c r="CD789" s="222"/>
      <c r="CE789" s="222"/>
      <c r="CF789" s="222"/>
      <c r="CG789" s="222"/>
      <c r="CH789" s="222"/>
      <c r="CI789" s="222"/>
      <c r="CJ789" s="222"/>
      <c r="CK789" s="222"/>
      <c r="CL789" s="222"/>
      <c r="CM789" s="222"/>
      <c r="CN789" s="222"/>
      <c r="CO789" s="222"/>
      <c r="CP789" s="222"/>
      <c r="CQ789" s="222"/>
      <c r="CR789" s="222"/>
      <c r="CS789" s="222"/>
    </row>
    <row r="790">
      <c r="A790" s="43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  <c r="AC790" s="222"/>
      <c r="AD790" s="222"/>
      <c r="AE790" s="222"/>
      <c r="AF790" s="222"/>
      <c r="AG790" s="222"/>
      <c r="AH790" s="222"/>
      <c r="AI790" s="222"/>
      <c r="AJ790" s="222"/>
      <c r="AK790" s="222"/>
      <c r="AL790" s="222"/>
      <c r="AM790" s="222"/>
      <c r="AN790" s="222"/>
      <c r="AO790" s="222"/>
      <c r="AP790" s="222"/>
      <c r="AQ790" s="222"/>
      <c r="AR790" s="222"/>
      <c r="AS790" s="222"/>
      <c r="AT790" s="222"/>
      <c r="AU790" s="222"/>
      <c r="AV790" s="222"/>
      <c r="AW790" s="222"/>
      <c r="AX790" s="222"/>
      <c r="AY790" s="222"/>
      <c r="AZ790" s="222"/>
      <c r="BA790" s="222"/>
      <c r="BB790" s="222"/>
      <c r="BC790" s="222"/>
      <c r="BD790" s="222"/>
      <c r="BE790" s="222"/>
      <c r="BF790" s="222"/>
      <c r="BG790" s="222"/>
      <c r="BH790" s="222"/>
      <c r="BI790" s="222"/>
      <c r="BJ790" s="222"/>
      <c r="BK790" s="222"/>
      <c r="BL790" s="222"/>
      <c r="BM790" s="222"/>
      <c r="BN790" s="222"/>
      <c r="BO790" s="222"/>
      <c r="BP790" s="222"/>
      <c r="BQ790" s="222"/>
      <c r="BR790" s="222"/>
      <c r="BS790" s="222"/>
      <c r="BT790" s="222"/>
      <c r="BU790" s="222"/>
      <c r="BV790" s="222"/>
      <c r="BW790" s="222"/>
      <c r="BX790" s="222"/>
      <c r="BY790" s="222"/>
      <c r="BZ790" s="222"/>
      <c r="CA790" s="222"/>
      <c r="CB790" s="222"/>
      <c r="CC790" s="222"/>
      <c r="CD790" s="222"/>
      <c r="CE790" s="222"/>
      <c r="CF790" s="222"/>
      <c r="CG790" s="222"/>
      <c r="CH790" s="222"/>
      <c r="CI790" s="222"/>
      <c r="CJ790" s="222"/>
      <c r="CK790" s="222"/>
      <c r="CL790" s="222"/>
      <c r="CM790" s="222"/>
      <c r="CN790" s="222"/>
      <c r="CO790" s="222"/>
      <c r="CP790" s="222"/>
      <c r="CQ790" s="222"/>
      <c r="CR790" s="222"/>
      <c r="CS790" s="222"/>
    </row>
    <row r="791">
      <c r="A791" s="43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  <c r="AC791" s="222"/>
      <c r="AD791" s="222"/>
      <c r="AE791" s="222"/>
      <c r="AF791" s="222"/>
      <c r="AG791" s="222"/>
      <c r="AH791" s="222"/>
      <c r="AI791" s="222"/>
      <c r="AJ791" s="222"/>
      <c r="AK791" s="222"/>
      <c r="AL791" s="222"/>
      <c r="AM791" s="222"/>
      <c r="AN791" s="222"/>
      <c r="AO791" s="222"/>
      <c r="AP791" s="222"/>
      <c r="AQ791" s="222"/>
      <c r="AR791" s="222"/>
      <c r="AS791" s="222"/>
      <c r="AT791" s="222"/>
      <c r="AU791" s="222"/>
      <c r="AV791" s="222"/>
      <c r="AW791" s="222"/>
      <c r="AX791" s="222"/>
      <c r="AY791" s="222"/>
      <c r="AZ791" s="222"/>
      <c r="BA791" s="222"/>
      <c r="BB791" s="222"/>
      <c r="BC791" s="222"/>
      <c r="BD791" s="222"/>
      <c r="BE791" s="222"/>
      <c r="BF791" s="222"/>
      <c r="BG791" s="222"/>
      <c r="BH791" s="222"/>
      <c r="BI791" s="222"/>
      <c r="BJ791" s="222"/>
      <c r="BK791" s="222"/>
      <c r="BL791" s="222"/>
      <c r="BM791" s="222"/>
      <c r="BN791" s="222"/>
      <c r="BO791" s="222"/>
      <c r="BP791" s="222"/>
      <c r="BQ791" s="222"/>
      <c r="BR791" s="222"/>
      <c r="BS791" s="222"/>
      <c r="BT791" s="222"/>
      <c r="BU791" s="222"/>
      <c r="BV791" s="222"/>
      <c r="BW791" s="222"/>
      <c r="BX791" s="222"/>
      <c r="BY791" s="222"/>
      <c r="BZ791" s="222"/>
      <c r="CA791" s="222"/>
      <c r="CB791" s="222"/>
      <c r="CC791" s="222"/>
      <c r="CD791" s="222"/>
      <c r="CE791" s="222"/>
      <c r="CF791" s="222"/>
      <c r="CG791" s="222"/>
      <c r="CH791" s="222"/>
      <c r="CI791" s="222"/>
      <c r="CJ791" s="222"/>
      <c r="CK791" s="222"/>
      <c r="CL791" s="222"/>
      <c r="CM791" s="222"/>
      <c r="CN791" s="222"/>
      <c r="CO791" s="222"/>
      <c r="CP791" s="222"/>
      <c r="CQ791" s="222"/>
      <c r="CR791" s="222"/>
      <c r="CS791" s="222"/>
    </row>
    <row r="792">
      <c r="A792" s="43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  <c r="AC792" s="222"/>
      <c r="AD792" s="222"/>
      <c r="AE792" s="222"/>
      <c r="AF792" s="222"/>
      <c r="AG792" s="222"/>
      <c r="AH792" s="222"/>
      <c r="AI792" s="222"/>
      <c r="AJ792" s="222"/>
      <c r="AK792" s="222"/>
      <c r="AL792" s="222"/>
      <c r="AM792" s="222"/>
      <c r="AN792" s="222"/>
      <c r="AO792" s="222"/>
      <c r="AP792" s="222"/>
      <c r="AQ792" s="222"/>
      <c r="AR792" s="222"/>
      <c r="AS792" s="222"/>
      <c r="AT792" s="222"/>
      <c r="AU792" s="222"/>
      <c r="AV792" s="222"/>
      <c r="AW792" s="222"/>
      <c r="AX792" s="222"/>
      <c r="AY792" s="222"/>
      <c r="AZ792" s="222"/>
      <c r="BA792" s="222"/>
      <c r="BB792" s="222"/>
      <c r="BC792" s="222"/>
      <c r="BD792" s="222"/>
      <c r="BE792" s="222"/>
      <c r="BF792" s="222"/>
      <c r="BG792" s="222"/>
      <c r="BH792" s="222"/>
      <c r="BI792" s="222"/>
      <c r="BJ792" s="222"/>
      <c r="BK792" s="222"/>
      <c r="BL792" s="222"/>
      <c r="BM792" s="222"/>
      <c r="BN792" s="222"/>
      <c r="BO792" s="222"/>
      <c r="BP792" s="222"/>
      <c r="BQ792" s="222"/>
      <c r="BR792" s="222"/>
      <c r="BS792" s="222"/>
      <c r="BT792" s="222"/>
      <c r="BU792" s="222"/>
      <c r="BV792" s="222"/>
      <c r="BW792" s="222"/>
      <c r="BX792" s="222"/>
      <c r="BY792" s="222"/>
      <c r="BZ792" s="222"/>
      <c r="CA792" s="222"/>
      <c r="CB792" s="222"/>
      <c r="CC792" s="222"/>
      <c r="CD792" s="222"/>
      <c r="CE792" s="222"/>
      <c r="CF792" s="222"/>
      <c r="CG792" s="222"/>
      <c r="CH792" s="222"/>
      <c r="CI792" s="222"/>
      <c r="CJ792" s="222"/>
      <c r="CK792" s="222"/>
      <c r="CL792" s="222"/>
      <c r="CM792" s="222"/>
      <c r="CN792" s="222"/>
      <c r="CO792" s="222"/>
      <c r="CP792" s="222"/>
      <c r="CQ792" s="222"/>
      <c r="CR792" s="222"/>
      <c r="CS792" s="222"/>
    </row>
    <row r="793">
      <c r="A793" s="43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  <c r="AC793" s="222"/>
      <c r="AD793" s="222"/>
      <c r="AE793" s="222"/>
      <c r="AF793" s="222"/>
      <c r="AG793" s="222"/>
      <c r="AH793" s="222"/>
      <c r="AI793" s="222"/>
      <c r="AJ793" s="222"/>
      <c r="AK793" s="222"/>
      <c r="AL793" s="222"/>
      <c r="AM793" s="222"/>
      <c r="AN793" s="222"/>
      <c r="AO793" s="222"/>
      <c r="AP793" s="222"/>
      <c r="AQ793" s="222"/>
      <c r="AR793" s="222"/>
      <c r="AS793" s="222"/>
      <c r="AT793" s="222"/>
      <c r="AU793" s="222"/>
      <c r="AV793" s="222"/>
      <c r="AW793" s="222"/>
      <c r="AX793" s="222"/>
      <c r="AY793" s="222"/>
      <c r="AZ793" s="222"/>
      <c r="BA793" s="222"/>
      <c r="BB793" s="222"/>
      <c r="BC793" s="222"/>
      <c r="BD793" s="222"/>
      <c r="BE793" s="222"/>
      <c r="BF793" s="222"/>
      <c r="BG793" s="222"/>
      <c r="BH793" s="222"/>
      <c r="BI793" s="222"/>
      <c r="BJ793" s="222"/>
      <c r="BK793" s="222"/>
      <c r="BL793" s="222"/>
      <c r="BM793" s="222"/>
      <c r="BN793" s="222"/>
      <c r="BO793" s="222"/>
      <c r="BP793" s="222"/>
      <c r="BQ793" s="222"/>
      <c r="BR793" s="222"/>
      <c r="BS793" s="222"/>
      <c r="BT793" s="222"/>
      <c r="BU793" s="222"/>
      <c r="BV793" s="222"/>
      <c r="BW793" s="222"/>
      <c r="BX793" s="222"/>
      <c r="BY793" s="222"/>
      <c r="BZ793" s="222"/>
      <c r="CA793" s="222"/>
      <c r="CB793" s="222"/>
      <c r="CC793" s="222"/>
      <c r="CD793" s="222"/>
      <c r="CE793" s="222"/>
      <c r="CF793" s="222"/>
      <c r="CG793" s="222"/>
      <c r="CH793" s="222"/>
      <c r="CI793" s="222"/>
      <c r="CJ793" s="222"/>
      <c r="CK793" s="222"/>
      <c r="CL793" s="222"/>
      <c r="CM793" s="222"/>
      <c r="CN793" s="222"/>
      <c r="CO793" s="222"/>
      <c r="CP793" s="222"/>
      <c r="CQ793" s="222"/>
      <c r="CR793" s="222"/>
      <c r="CS793" s="222"/>
    </row>
    <row r="794">
      <c r="A794" s="43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  <c r="AC794" s="222"/>
      <c r="AD794" s="222"/>
      <c r="AE794" s="222"/>
      <c r="AF794" s="222"/>
      <c r="AG794" s="222"/>
      <c r="AH794" s="222"/>
      <c r="AI794" s="222"/>
      <c r="AJ794" s="222"/>
      <c r="AK794" s="222"/>
      <c r="AL794" s="222"/>
      <c r="AM794" s="222"/>
      <c r="AN794" s="222"/>
      <c r="AO794" s="222"/>
      <c r="AP794" s="222"/>
      <c r="AQ794" s="222"/>
      <c r="AR794" s="222"/>
      <c r="AS794" s="222"/>
      <c r="AT794" s="222"/>
      <c r="AU794" s="222"/>
      <c r="AV794" s="222"/>
      <c r="AW794" s="222"/>
      <c r="AX794" s="222"/>
      <c r="AY794" s="222"/>
      <c r="AZ794" s="222"/>
      <c r="BA794" s="222"/>
      <c r="BB794" s="222"/>
      <c r="BC794" s="222"/>
      <c r="BD794" s="222"/>
      <c r="BE794" s="222"/>
      <c r="BF794" s="222"/>
      <c r="BG794" s="222"/>
      <c r="BH794" s="222"/>
      <c r="BI794" s="222"/>
      <c r="BJ794" s="222"/>
      <c r="BK794" s="222"/>
      <c r="BL794" s="222"/>
      <c r="BM794" s="222"/>
      <c r="BN794" s="222"/>
      <c r="BO794" s="222"/>
      <c r="BP794" s="222"/>
      <c r="BQ794" s="222"/>
      <c r="BR794" s="222"/>
      <c r="BS794" s="222"/>
      <c r="BT794" s="222"/>
      <c r="BU794" s="222"/>
      <c r="BV794" s="222"/>
      <c r="BW794" s="222"/>
      <c r="BX794" s="222"/>
      <c r="BY794" s="222"/>
      <c r="BZ794" s="222"/>
      <c r="CA794" s="222"/>
      <c r="CB794" s="222"/>
      <c r="CC794" s="222"/>
      <c r="CD794" s="222"/>
      <c r="CE794" s="222"/>
      <c r="CF794" s="222"/>
      <c r="CG794" s="222"/>
      <c r="CH794" s="222"/>
      <c r="CI794" s="222"/>
      <c r="CJ794" s="222"/>
      <c r="CK794" s="222"/>
      <c r="CL794" s="222"/>
      <c r="CM794" s="222"/>
      <c r="CN794" s="222"/>
      <c r="CO794" s="222"/>
      <c r="CP794" s="222"/>
      <c r="CQ794" s="222"/>
      <c r="CR794" s="222"/>
      <c r="CS794" s="222"/>
    </row>
    <row r="795">
      <c r="A795" s="43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  <c r="AC795" s="222"/>
      <c r="AD795" s="222"/>
      <c r="AE795" s="222"/>
      <c r="AF795" s="222"/>
      <c r="AG795" s="222"/>
      <c r="AH795" s="222"/>
      <c r="AI795" s="222"/>
      <c r="AJ795" s="222"/>
      <c r="AK795" s="222"/>
      <c r="AL795" s="222"/>
      <c r="AM795" s="222"/>
      <c r="AN795" s="222"/>
      <c r="AO795" s="222"/>
      <c r="AP795" s="222"/>
      <c r="AQ795" s="222"/>
      <c r="AR795" s="222"/>
      <c r="AS795" s="222"/>
      <c r="AT795" s="222"/>
      <c r="AU795" s="222"/>
      <c r="AV795" s="222"/>
      <c r="AW795" s="222"/>
      <c r="AX795" s="222"/>
      <c r="AY795" s="222"/>
      <c r="AZ795" s="222"/>
      <c r="BA795" s="222"/>
      <c r="BB795" s="222"/>
      <c r="BC795" s="222"/>
      <c r="BD795" s="222"/>
      <c r="BE795" s="222"/>
      <c r="BF795" s="222"/>
      <c r="BG795" s="222"/>
      <c r="BH795" s="222"/>
      <c r="BI795" s="222"/>
      <c r="BJ795" s="222"/>
      <c r="BK795" s="222"/>
      <c r="BL795" s="222"/>
      <c r="BM795" s="222"/>
      <c r="BN795" s="222"/>
      <c r="BO795" s="222"/>
      <c r="BP795" s="222"/>
      <c r="BQ795" s="222"/>
      <c r="BR795" s="222"/>
      <c r="BS795" s="222"/>
      <c r="BT795" s="222"/>
      <c r="BU795" s="222"/>
      <c r="BV795" s="222"/>
      <c r="BW795" s="222"/>
      <c r="BX795" s="222"/>
      <c r="BY795" s="222"/>
      <c r="BZ795" s="222"/>
      <c r="CA795" s="222"/>
      <c r="CB795" s="222"/>
      <c r="CC795" s="222"/>
      <c r="CD795" s="222"/>
      <c r="CE795" s="222"/>
      <c r="CF795" s="222"/>
      <c r="CG795" s="222"/>
      <c r="CH795" s="222"/>
      <c r="CI795" s="222"/>
      <c r="CJ795" s="222"/>
      <c r="CK795" s="222"/>
      <c r="CL795" s="222"/>
      <c r="CM795" s="222"/>
      <c r="CN795" s="222"/>
      <c r="CO795" s="222"/>
      <c r="CP795" s="222"/>
      <c r="CQ795" s="222"/>
      <c r="CR795" s="222"/>
      <c r="CS795" s="222"/>
    </row>
    <row r="796">
      <c r="A796" s="43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  <c r="AC796" s="222"/>
      <c r="AD796" s="222"/>
      <c r="AE796" s="222"/>
      <c r="AF796" s="222"/>
      <c r="AG796" s="222"/>
      <c r="AH796" s="222"/>
      <c r="AI796" s="222"/>
      <c r="AJ796" s="222"/>
      <c r="AK796" s="222"/>
      <c r="AL796" s="222"/>
      <c r="AM796" s="222"/>
      <c r="AN796" s="222"/>
      <c r="AO796" s="222"/>
      <c r="AP796" s="222"/>
      <c r="AQ796" s="222"/>
      <c r="AR796" s="222"/>
      <c r="AS796" s="222"/>
      <c r="AT796" s="222"/>
      <c r="AU796" s="222"/>
      <c r="AV796" s="222"/>
      <c r="AW796" s="222"/>
      <c r="AX796" s="222"/>
      <c r="AY796" s="222"/>
      <c r="AZ796" s="222"/>
      <c r="BA796" s="222"/>
      <c r="BB796" s="222"/>
      <c r="BC796" s="222"/>
      <c r="BD796" s="222"/>
      <c r="BE796" s="222"/>
      <c r="BF796" s="222"/>
      <c r="BG796" s="222"/>
      <c r="BH796" s="222"/>
      <c r="BI796" s="222"/>
      <c r="BJ796" s="222"/>
      <c r="BK796" s="222"/>
      <c r="BL796" s="222"/>
      <c r="BM796" s="222"/>
      <c r="BN796" s="222"/>
      <c r="BO796" s="222"/>
      <c r="BP796" s="222"/>
      <c r="BQ796" s="222"/>
      <c r="BR796" s="222"/>
      <c r="BS796" s="222"/>
      <c r="BT796" s="222"/>
      <c r="BU796" s="222"/>
      <c r="BV796" s="222"/>
      <c r="BW796" s="222"/>
      <c r="BX796" s="222"/>
      <c r="BY796" s="222"/>
      <c r="BZ796" s="222"/>
      <c r="CA796" s="222"/>
      <c r="CB796" s="222"/>
      <c r="CC796" s="222"/>
      <c r="CD796" s="222"/>
      <c r="CE796" s="222"/>
      <c r="CF796" s="222"/>
      <c r="CG796" s="222"/>
      <c r="CH796" s="222"/>
      <c r="CI796" s="222"/>
      <c r="CJ796" s="222"/>
      <c r="CK796" s="222"/>
      <c r="CL796" s="222"/>
      <c r="CM796" s="222"/>
      <c r="CN796" s="222"/>
      <c r="CO796" s="222"/>
      <c r="CP796" s="222"/>
      <c r="CQ796" s="222"/>
      <c r="CR796" s="222"/>
      <c r="CS796" s="222"/>
    </row>
    <row r="797">
      <c r="A797" s="43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  <c r="AC797" s="222"/>
      <c r="AD797" s="222"/>
      <c r="AE797" s="222"/>
      <c r="AF797" s="222"/>
      <c r="AG797" s="222"/>
      <c r="AH797" s="222"/>
      <c r="AI797" s="222"/>
      <c r="AJ797" s="222"/>
      <c r="AK797" s="222"/>
      <c r="AL797" s="222"/>
      <c r="AM797" s="222"/>
      <c r="AN797" s="222"/>
      <c r="AO797" s="222"/>
      <c r="AP797" s="222"/>
      <c r="AQ797" s="222"/>
      <c r="AR797" s="222"/>
      <c r="AS797" s="222"/>
      <c r="AT797" s="222"/>
      <c r="AU797" s="222"/>
      <c r="AV797" s="222"/>
      <c r="AW797" s="222"/>
      <c r="AX797" s="222"/>
      <c r="AY797" s="222"/>
      <c r="AZ797" s="222"/>
      <c r="BA797" s="222"/>
      <c r="BB797" s="222"/>
      <c r="BC797" s="222"/>
      <c r="BD797" s="222"/>
      <c r="BE797" s="222"/>
      <c r="BF797" s="222"/>
      <c r="BG797" s="222"/>
      <c r="BH797" s="222"/>
      <c r="BI797" s="222"/>
      <c r="BJ797" s="222"/>
      <c r="BK797" s="222"/>
      <c r="BL797" s="222"/>
      <c r="BM797" s="222"/>
      <c r="BN797" s="222"/>
      <c r="BO797" s="222"/>
      <c r="BP797" s="222"/>
      <c r="BQ797" s="222"/>
      <c r="BR797" s="222"/>
      <c r="BS797" s="222"/>
      <c r="BT797" s="222"/>
      <c r="BU797" s="222"/>
      <c r="BV797" s="222"/>
      <c r="BW797" s="222"/>
      <c r="BX797" s="222"/>
      <c r="BY797" s="222"/>
      <c r="BZ797" s="222"/>
      <c r="CA797" s="222"/>
      <c r="CB797" s="222"/>
      <c r="CC797" s="222"/>
      <c r="CD797" s="222"/>
      <c r="CE797" s="222"/>
      <c r="CF797" s="222"/>
      <c r="CG797" s="222"/>
      <c r="CH797" s="222"/>
      <c r="CI797" s="222"/>
      <c r="CJ797" s="222"/>
      <c r="CK797" s="222"/>
      <c r="CL797" s="222"/>
      <c r="CM797" s="222"/>
      <c r="CN797" s="222"/>
      <c r="CO797" s="222"/>
      <c r="CP797" s="222"/>
      <c r="CQ797" s="222"/>
      <c r="CR797" s="222"/>
      <c r="CS797" s="222"/>
    </row>
    <row r="798">
      <c r="A798" s="43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  <c r="AC798" s="222"/>
      <c r="AD798" s="222"/>
      <c r="AE798" s="222"/>
      <c r="AF798" s="222"/>
      <c r="AG798" s="222"/>
      <c r="AH798" s="222"/>
      <c r="AI798" s="222"/>
      <c r="AJ798" s="222"/>
      <c r="AK798" s="222"/>
      <c r="AL798" s="222"/>
      <c r="AM798" s="222"/>
      <c r="AN798" s="222"/>
      <c r="AO798" s="222"/>
      <c r="AP798" s="222"/>
      <c r="AQ798" s="222"/>
      <c r="AR798" s="222"/>
      <c r="AS798" s="222"/>
      <c r="AT798" s="222"/>
      <c r="AU798" s="222"/>
      <c r="AV798" s="222"/>
      <c r="AW798" s="222"/>
      <c r="AX798" s="222"/>
      <c r="AY798" s="222"/>
      <c r="AZ798" s="222"/>
      <c r="BA798" s="222"/>
      <c r="BB798" s="222"/>
      <c r="BC798" s="222"/>
      <c r="BD798" s="222"/>
      <c r="BE798" s="222"/>
      <c r="BF798" s="222"/>
      <c r="BG798" s="222"/>
      <c r="BH798" s="222"/>
      <c r="BI798" s="222"/>
      <c r="BJ798" s="222"/>
      <c r="BK798" s="222"/>
      <c r="BL798" s="222"/>
      <c r="BM798" s="222"/>
      <c r="BN798" s="222"/>
      <c r="BO798" s="222"/>
      <c r="BP798" s="222"/>
      <c r="BQ798" s="222"/>
      <c r="BR798" s="222"/>
      <c r="BS798" s="222"/>
      <c r="BT798" s="222"/>
      <c r="BU798" s="222"/>
      <c r="BV798" s="222"/>
      <c r="BW798" s="222"/>
      <c r="BX798" s="222"/>
      <c r="BY798" s="222"/>
      <c r="BZ798" s="222"/>
      <c r="CA798" s="222"/>
      <c r="CB798" s="222"/>
      <c r="CC798" s="222"/>
      <c r="CD798" s="222"/>
      <c r="CE798" s="222"/>
      <c r="CF798" s="222"/>
      <c r="CG798" s="222"/>
      <c r="CH798" s="222"/>
      <c r="CI798" s="222"/>
      <c r="CJ798" s="222"/>
      <c r="CK798" s="222"/>
      <c r="CL798" s="222"/>
      <c r="CM798" s="222"/>
      <c r="CN798" s="222"/>
      <c r="CO798" s="222"/>
      <c r="CP798" s="222"/>
      <c r="CQ798" s="222"/>
      <c r="CR798" s="222"/>
      <c r="CS798" s="222"/>
    </row>
    <row r="799">
      <c r="A799" s="43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  <c r="AC799" s="222"/>
      <c r="AD799" s="222"/>
      <c r="AE799" s="222"/>
      <c r="AF799" s="222"/>
      <c r="AG799" s="222"/>
      <c r="AH799" s="222"/>
      <c r="AI799" s="222"/>
      <c r="AJ799" s="222"/>
      <c r="AK799" s="222"/>
      <c r="AL799" s="222"/>
      <c r="AM799" s="222"/>
      <c r="AN799" s="222"/>
      <c r="AO799" s="222"/>
      <c r="AP799" s="222"/>
      <c r="AQ799" s="222"/>
      <c r="AR799" s="222"/>
      <c r="AS799" s="222"/>
      <c r="AT799" s="222"/>
      <c r="AU799" s="222"/>
      <c r="AV799" s="222"/>
      <c r="AW799" s="222"/>
      <c r="AX799" s="222"/>
      <c r="AY799" s="222"/>
      <c r="AZ799" s="222"/>
      <c r="BA799" s="222"/>
      <c r="BB799" s="222"/>
      <c r="BC799" s="222"/>
      <c r="BD799" s="222"/>
      <c r="BE799" s="222"/>
      <c r="BF799" s="222"/>
      <c r="BG799" s="222"/>
      <c r="BH799" s="222"/>
      <c r="BI799" s="222"/>
      <c r="BJ799" s="222"/>
      <c r="BK799" s="222"/>
      <c r="BL799" s="222"/>
      <c r="BM799" s="222"/>
      <c r="BN799" s="222"/>
      <c r="BO799" s="222"/>
      <c r="BP799" s="222"/>
      <c r="BQ799" s="222"/>
      <c r="BR799" s="222"/>
      <c r="BS799" s="222"/>
      <c r="BT799" s="222"/>
      <c r="BU799" s="222"/>
      <c r="BV799" s="222"/>
      <c r="BW799" s="222"/>
      <c r="BX799" s="222"/>
      <c r="BY799" s="222"/>
      <c r="BZ799" s="222"/>
      <c r="CA799" s="222"/>
      <c r="CB799" s="222"/>
      <c r="CC799" s="222"/>
      <c r="CD799" s="222"/>
      <c r="CE799" s="222"/>
      <c r="CF799" s="222"/>
      <c r="CG799" s="222"/>
      <c r="CH799" s="222"/>
      <c r="CI799" s="222"/>
      <c r="CJ799" s="222"/>
      <c r="CK799" s="222"/>
      <c r="CL799" s="222"/>
      <c r="CM799" s="222"/>
      <c r="CN799" s="222"/>
      <c r="CO799" s="222"/>
      <c r="CP799" s="222"/>
      <c r="CQ799" s="222"/>
      <c r="CR799" s="222"/>
      <c r="CS799" s="222"/>
    </row>
    <row r="800">
      <c r="A800" s="43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  <c r="AC800" s="222"/>
      <c r="AD800" s="222"/>
      <c r="AE800" s="222"/>
      <c r="AF800" s="222"/>
      <c r="AG800" s="222"/>
      <c r="AH800" s="222"/>
      <c r="AI800" s="222"/>
      <c r="AJ800" s="222"/>
      <c r="AK800" s="222"/>
      <c r="AL800" s="222"/>
      <c r="AM800" s="222"/>
      <c r="AN800" s="222"/>
      <c r="AO800" s="222"/>
      <c r="AP800" s="222"/>
      <c r="AQ800" s="222"/>
      <c r="AR800" s="222"/>
      <c r="AS800" s="222"/>
      <c r="AT800" s="222"/>
      <c r="AU800" s="222"/>
      <c r="AV800" s="222"/>
      <c r="AW800" s="222"/>
      <c r="AX800" s="222"/>
      <c r="AY800" s="222"/>
      <c r="AZ800" s="222"/>
      <c r="BA800" s="222"/>
      <c r="BB800" s="222"/>
      <c r="BC800" s="222"/>
      <c r="BD800" s="222"/>
      <c r="BE800" s="222"/>
      <c r="BF800" s="222"/>
      <c r="BG800" s="222"/>
      <c r="BH800" s="222"/>
      <c r="BI800" s="222"/>
      <c r="BJ800" s="222"/>
      <c r="BK800" s="222"/>
      <c r="BL800" s="222"/>
      <c r="BM800" s="222"/>
      <c r="BN800" s="222"/>
      <c r="BO800" s="222"/>
      <c r="BP800" s="222"/>
      <c r="BQ800" s="222"/>
      <c r="BR800" s="222"/>
      <c r="BS800" s="222"/>
      <c r="BT800" s="222"/>
      <c r="BU800" s="222"/>
      <c r="BV800" s="222"/>
      <c r="BW800" s="222"/>
      <c r="BX800" s="222"/>
      <c r="BY800" s="222"/>
      <c r="BZ800" s="222"/>
      <c r="CA800" s="222"/>
      <c r="CB800" s="222"/>
      <c r="CC800" s="222"/>
      <c r="CD800" s="222"/>
      <c r="CE800" s="222"/>
      <c r="CF800" s="222"/>
      <c r="CG800" s="222"/>
      <c r="CH800" s="222"/>
      <c r="CI800" s="222"/>
      <c r="CJ800" s="222"/>
      <c r="CK800" s="222"/>
      <c r="CL800" s="222"/>
      <c r="CM800" s="222"/>
      <c r="CN800" s="222"/>
      <c r="CO800" s="222"/>
      <c r="CP800" s="222"/>
      <c r="CQ800" s="222"/>
      <c r="CR800" s="222"/>
      <c r="CS800" s="222"/>
    </row>
    <row r="801">
      <c r="A801" s="43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  <c r="AC801" s="222"/>
      <c r="AD801" s="222"/>
      <c r="AE801" s="222"/>
      <c r="AF801" s="222"/>
      <c r="AG801" s="222"/>
      <c r="AH801" s="222"/>
      <c r="AI801" s="222"/>
      <c r="AJ801" s="222"/>
      <c r="AK801" s="222"/>
      <c r="AL801" s="222"/>
      <c r="AM801" s="222"/>
      <c r="AN801" s="222"/>
      <c r="AO801" s="222"/>
      <c r="AP801" s="222"/>
      <c r="AQ801" s="222"/>
      <c r="AR801" s="222"/>
      <c r="AS801" s="222"/>
      <c r="AT801" s="222"/>
      <c r="AU801" s="222"/>
      <c r="AV801" s="222"/>
      <c r="AW801" s="222"/>
      <c r="AX801" s="222"/>
      <c r="AY801" s="222"/>
      <c r="AZ801" s="222"/>
      <c r="BA801" s="222"/>
      <c r="BB801" s="222"/>
      <c r="BC801" s="222"/>
      <c r="BD801" s="222"/>
      <c r="BE801" s="222"/>
      <c r="BF801" s="222"/>
      <c r="BG801" s="222"/>
      <c r="BH801" s="222"/>
      <c r="BI801" s="222"/>
      <c r="BJ801" s="222"/>
      <c r="BK801" s="222"/>
      <c r="BL801" s="222"/>
      <c r="BM801" s="222"/>
      <c r="BN801" s="222"/>
      <c r="BO801" s="222"/>
      <c r="BP801" s="222"/>
      <c r="BQ801" s="222"/>
      <c r="BR801" s="222"/>
      <c r="BS801" s="222"/>
      <c r="BT801" s="222"/>
      <c r="BU801" s="222"/>
      <c r="BV801" s="222"/>
      <c r="BW801" s="222"/>
      <c r="BX801" s="222"/>
      <c r="BY801" s="222"/>
      <c r="BZ801" s="222"/>
      <c r="CA801" s="222"/>
      <c r="CB801" s="222"/>
      <c r="CC801" s="222"/>
      <c r="CD801" s="222"/>
      <c r="CE801" s="222"/>
      <c r="CF801" s="222"/>
      <c r="CG801" s="222"/>
      <c r="CH801" s="222"/>
      <c r="CI801" s="222"/>
      <c r="CJ801" s="222"/>
      <c r="CK801" s="222"/>
      <c r="CL801" s="222"/>
      <c r="CM801" s="222"/>
      <c r="CN801" s="222"/>
      <c r="CO801" s="222"/>
      <c r="CP801" s="222"/>
      <c r="CQ801" s="222"/>
      <c r="CR801" s="222"/>
      <c r="CS801" s="222"/>
    </row>
    <row r="802">
      <c r="A802" s="43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  <c r="AC802" s="222"/>
      <c r="AD802" s="222"/>
      <c r="AE802" s="222"/>
      <c r="AF802" s="222"/>
      <c r="AG802" s="222"/>
      <c r="AH802" s="222"/>
      <c r="AI802" s="222"/>
      <c r="AJ802" s="222"/>
      <c r="AK802" s="222"/>
      <c r="AL802" s="222"/>
      <c r="AM802" s="222"/>
      <c r="AN802" s="222"/>
      <c r="AO802" s="222"/>
      <c r="AP802" s="222"/>
      <c r="AQ802" s="222"/>
      <c r="AR802" s="222"/>
      <c r="AS802" s="222"/>
      <c r="AT802" s="222"/>
      <c r="AU802" s="222"/>
      <c r="AV802" s="222"/>
      <c r="AW802" s="222"/>
      <c r="AX802" s="222"/>
      <c r="AY802" s="222"/>
      <c r="AZ802" s="222"/>
      <c r="BA802" s="222"/>
      <c r="BB802" s="222"/>
      <c r="BC802" s="222"/>
      <c r="BD802" s="222"/>
      <c r="BE802" s="222"/>
      <c r="BF802" s="222"/>
      <c r="BG802" s="222"/>
      <c r="BH802" s="222"/>
      <c r="BI802" s="222"/>
      <c r="BJ802" s="222"/>
      <c r="BK802" s="222"/>
      <c r="BL802" s="222"/>
      <c r="BM802" s="222"/>
      <c r="BN802" s="222"/>
      <c r="BO802" s="222"/>
      <c r="BP802" s="222"/>
      <c r="BQ802" s="222"/>
      <c r="BR802" s="222"/>
      <c r="BS802" s="222"/>
      <c r="BT802" s="222"/>
      <c r="BU802" s="222"/>
      <c r="BV802" s="222"/>
      <c r="BW802" s="222"/>
      <c r="BX802" s="222"/>
      <c r="BY802" s="222"/>
      <c r="BZ802" s="222"/>
      <c r="CA802" s="222"/>
      <c r="CB802" s="222"/>
      <c r="CC802" s="222"/>
      <c r="CD802" s="222"/>
      <c r="CE802" s="222"/>
      <c r="CF802" s="222"/>
      <c r="CG802" s="222"/>
      <c r="CH802" s="222"/>
      <c r="CI802" s="222"/>
      <c r="CJ802" s="222"/>
      <c r="CK802" s="222"/>
      <c r="CL802" s="222"/>
      <c r="CM802" s="222"/>
      <c r="CN802" s="222"/>
      <c r="CO802" s="222"/>
      <c r="CP802" s="222"/>
      <c r="CQ802" s="222"/>
      <c r="CR802" s="222"/>
      <c r="CS802" s="222"/>
    </row>
    <row r="803">
      <c r="A803" s="43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  <c r="AC803" s="222"/>
      <c r="AD803" s="222"/>
      <c r="AE803" s="222"/>
      <c r="AF803" s="222"/>
      <c r="AG803" s="222"/>
      <c r="AH803" s="222"/>
      <c r="AI803" s="222"/>
      <c r="AJ803" s="222"/>
      <c r="AK803" s="222"/>
      <c r="AL803" s="222"/>
      <c r="AM803" s="222"/>
      <c r="AN803" s="222"/>
      <c r="AO803" s="222"/>
      <c r="AP803" s="222"/>
      <c r="AQ803" s="222"/>
      <c r="AR803" s="222"/>
      <c r="AS803" s="222"/>
      <c r="AT803" s="222"/>
      <c r="AU803" s="222"/>
      <c r="AV803" s="222"/>
      <c r="AW803" s="222"/>
      <c r="AX803" s="222"/>
      <c r="AY803" s="222"/>
      <c r="AZ803" s="222"/>
      <c r="BA803" s="222"/>
      <c r="BB803" s="222"/>
      <c r="BC803" s="222"/>
      <c r="BD803" s="222"/>
      <c r="BE803" s="222"/>
      <c r="BF803" s="222"/>
      <c r="BG803" s="222"/>
      <c r="BH803" s="222"/>
      <c r="BI803" s="222"/>
      <c r="BJ803" s="222"/>
      <c r="BK803" s="222"/>
      <c r="BL803" s="222"/>
      <c r="BM803" s="222"/>
      <c r="BN803" s="222"/>
      <c r="BO803" s="222"/>
      <c r="BP803" s="222"/>
      <c r="BQ803" s="222"/>
      <c r="BR803" s="222"/>
      <c r="BS803" s="222"/>
      <c r="BT803" s="222"/>
      <c r="BU803" s="222"/>
      <c r="BV803" s="222"/>
      <c r="BW803" s="222"/>
      <c r="BX803" s="222"/>
      <c r="BY803" s="222"/>
      <c r="BZ803" s="222"/>
      <c r="CA803" s="222"/>
      <c r="CB803" s="222"/>
      <c r="CC803" s="222"/>
      <c r="CD803" s="222"/>
      <c r="CE803" s="222"/>
      <c r="CF803" s="222"/>
      <c r="CG803" s="222"/>
      <c r="CH803" s="222"/>
      <c r="CI803" s="222"/>
      <c r="CJ803" s="222"/>
      <c r="CK803" s="222"/>
      <c r="CL803" s="222"/>
      <c r="CM803" s="222"/>
      <c r="CN803" s="222"/>
      <c r="CO803" s="222"/>
      <c r="CP803" s="222"/>
      <c r="CQ803" s="222"/>
      <c r="CR803" s="222"/>
      <c r="CS803" s="222"/>
    </row>
    <row r="804">
      <c r="A804" s="43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  <c r="AC804" s="222"/>
      <c r="AD804" s="222"/>
      <c r="AE804" s="222"/>
      <c r="AF804" s="222"/>
      <c r="AG804" s="222"/>
      <c r="AH804" s="222"/>
      <c r="AI804" s="222"/>
      <c r="AJ804" s="222"/>
      <c r="AK804" s="222"/>
      <c r="AL804" s="222"/>
      <c r="AM804" s="222"/>
      <c r="AN804" s="222"/>
      <c r="AO804" s="222"/>
      <c r="AP804" s="222"/>
      <c r="AQ804" s="222"/>
      <c r="AR804" s="222"/>
      <c r="AS804" s="222"/>
      <c r="AT804" s="222"/>
      <c r="AU804" s="222"/>
      <c r="AV804" s="222"/>
      <c r="AW804" s="222"/>
      <c r="AX804" s="222"/>
      <c r="AY804" s="222"/>
      <c r="AZ804" s="222"/>
      <c r="BA804" s="222"/>
      <c r="BB804" s="222"/>
      <c r="BC804" s="222"/>
      <c r="BD804" s="222"/>
      <c r="BE804" s="222"/>
      <c r="BF804" s="222"/>
      <c r="BG804" s="222"/>
      <c r="BH804" s="222"/>
      <c r="BI804" s="222"/>
      <c r="BJ804" s="222"/>
      <c r="BK804" s="222"/>
      <c r="BL804" s="222"/>
      <c r="BM804" s="222"/>
      <c r="BN804" s="222"/>
      <c r="BO804" s="222"/>
      <c r="BP804" s="222"/>
      <c r="BQ804" s="222"/>
      <c r="BR804" s="222"/>
      <c r="BS804" s="222"/>
      <c r="BT804" s="222"/>
      <c r="BU804" s="222"/>
      <c r="BV804" s="222"/>
      <c r="BW804" s="222"/>
      <c r="BX804" s="222"/>
      <c r="BY804" s="222"/>
      <c r="BZ804" s="222"/>
      <c r="CA804" s="222"/>
      <c r="CB804" s="222"/>
      <c r="CC804" s="222"/>
      <c r="CD804" s="222"/>
      <c r="CE804" s="222"/>
      <c r="CF804" s="222"/>
      <c r="CG804" s="222"/>
      <c r="CH804" s="222"/>
      <c r="CI804" s="222"/>
      <c r="CJ804" s="222"/>
      <c r="CK804" s="222"/>
      <c r="CL804" s="222"/>
      <c r="CM804" s="222"/>
      <c r="CN804" s="222"/>
      <c r="CO804" s="222"/>
      <c r="CP804" s="222"/>
      <c r="CQ804" s="222"/>
      <c r="CR804" s="222"/>
      <c r="CS804" s="222"/>
    </row>
    <row r="805">
      <c r="A805" s="43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  <c r="AC805" s="222"/>
      <c r="AD805" s="222"/>
      <c r="AE805" s="222"/>
      <c r="AF805" s="222"/>
      <c r="AG805" s="222"/>
      <c r="AH805" s="222"/>
      <c r="AI805" s="222"/>
      <c r="AJ805" s="222"/>
      <c r="AK805" s="222"/>
      <c r="AL805" s="222"/>
      <c r="AM805" s="222"/>
      <c r="AN805" s="222"/>
      <c r="AO805" s="222"/>
      <c r="AP805" s="222"/>
      <c r="AQ805" s="222"/>
      <c r="AR805" s="222"/>
      <c r="AS805" s="222"/>
      <c r="AT805" s="222"/>
      <c r="AU805" s="222"/>
      <c r="AV805" s="222"/>
      <c r="AW805" s="222"/>
      <c r="AX805" s="222"/>
      <c r="AY805" s="222"/>
      <c r="AZ805" s="222"/>
      <c r="BA805" s="222"/>
      <c r="BB805" s="222"/>
      <c r="BC805" s="222"/>
      <c r="BD805" s="222"/>
      <c r="BE805" s="222"/>
      <c r="BF805" s="222"/>
      <c r="BG805" s="222"/>
      <c r="BH805" s="222"/>
      <c r="BI805" s="222"/>
      <c r="BJ805" s="222"/>
      <c r="BK805" s="222"/>
      <c r="BL805" s="222"/>
      <c r="BM805" s="222"/>
      <c r="BN805" s="222"/>
      <c r="BO805" s="222"/>
      <c r="BP805" s="222"/>
      <c r="BQ805" s="222"/>
      <c r="BR805" s="222"/>
      <c r="BS805" s="222"/>
      <c r="BT805" s="222"/>
      <c r="BU805" s="222"/>
      <c r="BV805" s="222"/>
      <c r="BW805" s="222"/>
      <c r="BX805" s="222"/>
      <c r="BY805" s="222"/>
      <c r="BZ805" s="222"/>
      <c r="CA805" s="222"/>
      <c r="CB805" s="222"/>
      <c r="CC805" s="222"/>
      <c r="CD805" s="222"/>
      <c r="CE805" s="222"/>
      <c r="CF805" s="222"/>
      <c r="CG805" s="222"/>
      <c r="CH805" s="222"/>
      <c r="CI805" s="222"/>
      <c r="CJ805" s="222"/>
      <c r="CK805" s="222"/>
      <c r="CL805" s="222"/>
      <c r="CM805" s="222"/>
      <c r="CN805" s="222"/>
      <c r="CO805" s="222"/>
      <c r="CP805" s="222"/>
      <c r="CQ805" s="222"/>
      <c r="CR805" s="222"/>
      <c r="CS805" s="222"/>
    </row>
    <row r="806">
      <c r="A806" s="43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  <c r="AC806" s="222"/>
      <c r="AD806" s="222"/>
      <c r="AE806" s="222"/>
      <c r="AF806" s="222"/>
      <c r="AG806" s="222"/>
      <c r="AH806" s="222"/>
      <c r="AI806" s="222"/>
      <c r="AJ806" s="222"/>
      <c r="AK806" s="222"/>
      <c r="AL806" s="222"/>
      <c r="AM806" s="222"/>
      <c r="AN806" s="222"/>
      <c r="AO806" s="222"/>
      <c r="AP806" s="222"/>
      <c r="AQ806" s="222"/>
      <c r="AR806" s="222"/>
      <c r="AS806" s="222"/>
      <c r="AT806" s="222"/>
      <c r="AU806" s="222"/>
      <c r="AV806" s="222"/>
      <c r="AW806" s="222"/>
      <c r="AX806" s="222"/>
      <c r="AY806" s="222"/>
      <c r="AZ806" s="222"/>
      <c r="BA806" s="222"/>
      <c r="BB806" s="222"/>
      <c r="BC806" s="222"/>
      <c r="BD806" s="222"/>
      <c r="BE806" s="222"/>
      <c r="BF806" s="222"/>
      <c r="BG806" s="222"/>
      <c r="BH806" s="222"/>
      <c r="BI806" s="222"/>
      <c r="BJ806" s="222"/>
      <c r="BK806" s="222"/>
      <c r="BL806" s="222"/>
      <c r="BM806" s="222"/>
      <c r="BN806" s="222"/>
      <c r="BO806" s="222"/>
      <c r="BP806" s="222"/>
      <c r="BQ806" s="222"/>
      <c r="BR806" s="222"/>
      <c r="BS806" s="222"/>
      <c r="BT806" s="222"/>
      <c r="BU806" s="222"/>
      <c r="BV806" s="222"/>
      <c r="BW806" s="222"/>
      <c r="BX806" s="222"/>
      <c r="BY806" s="222"/>
      <c r="BZ806" s="222"/>
      <c r="CA806" s="222"/>
      <c r="CB806" s="222"/>
      <c r="CC806" s="222"/>
      <c r="CD806" s="222"/>
      <c r="CE806" s="222"/>
      <c r="CF806" s="222"/>
      <c r="CG806" s="222"/>
      <c r="CH806" s="222"/>
      <c r="CI806" s="222"/>
      <c r="CJ806" s="222"/>
      <c r="CK806" s="222"/>
      <c r="CL806" s="222"/>
      <c r="CM806" s="222"/>
      <c r="CN806" s="222"/>
      <c r="CO806" s="222"/>
      <c r="CP806" s="222"/>
      <c r="CQ806" s="222"/>
      <c r="CR806" s="222"/>
      <c r="CS806" s="222"/>
    </row>
    <row r="807">
      <c r="A807" s="43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  <c r="AC807" s="222"/>
      <c r="AD807" s="222"/>
      <c r="AE807" s="222"/>
      <c r="AF807" s="222"/>
      <c r="AG807" s="222"/>
      <c r="AH807" s="222"/>
      <c r="AI807" s="222"/>
      <c r="AJ807" s="222"/>
      <c r="AK807" s="222"/>
      <c r="AL807" s="222"/>
      <c r="AM807" s="222"/>
      <c r="AN807" s="222"/>
      <c r="AO807" s="222"/>
      <c r="AP807" s="222"/>
      <c r="AQ807" s="222"/>
      <c r="AR807" s="222"/>
      <c r="AS807" s="222"/>
      <c r="AT807" s="222"/>
      <c r="AU807" s="222"/>
      <c r="AV807" s="222"/>
      <c r="AW807" s="222"/>
      <c r="AX807" s="222"/>
      <c r="AY807" s="222"/>
      <c r="AZ807" s="222"/>
      <c r="BA807" s="222"/>
      <c r="BB807" s="222"/>
      <c r="BC807" s="222"/>
      <c r="BD807" s="222"/>
      <c r="BE807" s="222"/>
      <c r="BF807" s="222"/>
      <c r="BG807" s="222"/>
      <c r="BH807" s="222"/>
      <c r="BI807" s="222"/>
      <c r="BJ807" s="222"/>
      <c r="BK807" s="222"/>
      <c r="BL807" s="222"/>
      <c r="BM807" s="222"/>
      <c r="BN807" s="222"/>
      <c r="BO807" s="222"/>
      <c r="BP807" s="222"/>
      <c r="BQ807" s="222"/>
      <c r="BR807" s="222"/>
      <c r="BS807" s="222"/>
      <c r="BT807" s="222"/>
      <c r="BU807" s="222"/>
      <c r="BV807" s="222"/>
      <c r="BW807" s="222"/>
      <c r="BX807" s="222"/>
      <c r="BY807" s="222"/>
      <c r="BZ807" s="222"/>
      <c r="CA807" s="222"/>
      <c r="CB807" s="222"/>
      <c r="CC807" s="222"/>
      <c r="CD807" s="222"/>
      <c r="CE807" s="222"/>
      <c r="CF807" s="222"/>
      <c r="CG807" s="222"/>
      <c r="CH807" s="222"/>
      <c r="CI807" s="222"/>
      <c r="CJ807" s="222"/>
      <c r="CK807" s="222"/>
      <c r="CL807" s="222"/>
      <c r="CM807" s="222"/>
      <c r="CN807" s="222"/>
      <c r="CO807" s="222"/>
      <c r="CP807" s="222"/>
      <c r="CQ807" s="222"/>
      <c r="CR807" s="222"/>
      <c r="CS807" s="222"/>
    </row>
    <row r="808">
      <c r="A808" s="43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  <c r="AC808" s="222"/>
      <c r="AD808" s="222"/>
      <c r="AE808" s="222"/>
      <c r="AF808" s="222"/>
      <c r="AG808" s="222"/>
      <c r="AH808" s="222"/>
      <c r="AI808" s="222"/>
      <c r="AJ808" s="222"/>
      <c r="AK808" s="222"/>
      <c r="AL808" s="222"/>
      <c r="AM808" s="222"/>
      <c r="AN808" s="222"/>
      <c r="AO808" s="222"/>
      <c r="AP808" s="222"/>
      <c r="AQ808" s="222"/>
      <c r="AR808" s="222"/>
      <c r="AS808" s="222"/>
      <c r="AT808" s="222"/>
      <c r="AU808" s="222"/>
      <c r="AV808" s="222"/>
      <c r="AW808" s="222"/>
      <c r="AX808" s="222"/>
      <c r="AY808" s="222"/>
      <c r="AZ808" s="222"/>
      <c r="BA808" s="222"/>
      <c r="BB808" s="222"/>
      <c r="BC808" s="222"/>
      <c r="BD808" s="222"/>
      <c r="BE808" s="222"/>
      <c r="BF808" s="222"/>
      <c r="BG808" s="222"/>
      <c r="BH808" s="222"/>
      <c r="BI808" s="222"/>
      <c r="BJ808" s="222"/>
      <c r="BK808" s="222"/>
      <c r="BL808" s="222"/>
      <c r="BM808" s="222"/>
      <c r="BN808" s="222"/>
      <c r="BO808" s="222"/>
      <c r="BP808" s="222"/>
      <c r="BQ808" s="222"/>
      <c r="BR808" s="222"/>
      <c r="BS808" s="222"/>
      <c r="BT808" s="222"/>
      <c r="BU808" s="222"/>
      <c r="BV808" s="222"/>
      <c r="BW808" s="222"/>
      <c r="BX808" s="222"/>
      <c r="BY808" s="222"/>
      <c r="BZ808" s="222"/>
      <c r="CA808" s="222"/>
      <c r="CB808" s="222"/>
      <c r="CC808" s="222"/>
      <c r="CD808" s="222"/>
      <c r="CE808" s="222"/>
      <c r="CF808" s="222"/>
      <c r="CG808" s="222"/>
      <c r="CH808" s="222"/>
      <c r="CI808" s="222"/>
      <c r="CJ808" s="222"/>
      <c r="CK808" s="222"/>
      <c r="CL808" s="222"/>
      <c r="CM808" s="222"/>
      <c r="CN808" s="222"/>
      <c r="CO808" s="222"/>
      <c r="CP808" s="222"/>
      <c r="CQ808" s="222"/>
      <c r="CR808" s="222"/>
      <c r="CS808" s="222"/>
    </row>
    <row r="809">
      <c r="A809" s="43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  <c r="AC809" s="222"/>
      <c r="AD809" s="222"/>
      <c r="AE809" s="222"/>
      <c r="AF809" s="222"/>
      <c r="AG809" s="222"/>
      <c r="AH809" s="222"/>
      <c r="AI809" s="222"/>
      <c r="AJ809" s="222"/>
      <c r="AK809" s="222"/>
      <c r="AL809" s="222"/>
      <c r="AM809" s="222"/>
      <c r="AN809" s="222"/>
      <c r="AO809" s="222"/>
      <c r="AP809" s="222"/>
      <c r="AQ809" s="222"/>
      <c r="AR809" s="222"/>
      <c r="AS809" s="222"/>
      <c r="AT809" s="222"/>
      <c r="AU809" s="222"/>
      <c r="AV809" s="222"/>
      <c r="AW809" s="222"/>
      <c r="AX809" s="222"/>
      <c r="AY809" s="222"/>
      <c r="AZ809" s="222"/>
      <c r="BA809" s="222"/>
      <c r="BB809" s="222"/>
      <c r="BC809" s="222"/>
      <c r="BD809" s="222"/>
      <c r="BE809" s="222"/>
      <c r="BF809" s="222"/>
      <c r="BG809" s="222"/>
      <c r="BH809" s="222"/>
      <c r="BI809" s="222"/>
      <c r="BJ809" s="222"/>
      <c r="BK809" s="222"/>
      <c r="BL809" s="222"/>
      <c r="BM809" s="222"/>
      <c r="BN809" s="222"/>
      <c r="BO809" s="222"/>
      <c r="BP809" s="222"/>
      <c r="BQ809" s="222"/>
      <c r="BR809" s="222"/>
      <c r="BS809" s="222"/>
      <c r="BT809" s="222"/>
      <c r="BU809" s="222"/>
      <c r="BV809" s="222"/>
      <c r="BW809" s="222"/>
      <c r="BX809" s="222"/>
      <c r="BY809" s="222"/>
      <c r="BZ809" s="222"/>
      <c r="CA809" s="222"/>
      <c r="CB809" s="222"/>
      <c r="CC809" s="222"/>
      <c r="CD809" s="222"/>
      <c r="CE809" s="222"/>
      <c r="CF809" s="222"/>
      <c r="CG809" s="222"/>
      <c r="CH809" s="222"/>
      <c r="CI809" s="222"/>
      <c r="CJ809" s="222"/>
      <c r="CK809" s="222"/>
      <c r="CL809" s="222"/>
      <c r="CM809" s="222"/>
      <c r="CN809" s="222"/>
      <c r="CO809" s="222"/>
      <c r="CP809" s="222"/>
      <c r="CQ809" s="222"/>
      <c r="CR809" s="222"/>
      <c r="CS809" s="222"/>
    </row>
    <row r="810">
      <c r="A810" s="43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  <c r="AC810" s="222"/>
      <c r="AD810" s="222"/>
      <c r="AE810" s="222"/>
      <c r="AF810" s="222"/>
      <c r="AG810" s="222"/>
      <c r="AH810" s="222"/>
      <c r="AI810" s="222"/>
      <c r="AJ810" s="222"/>
      <c r="AK810" s="222"/>
      <c r="AL810" s="222"/>
      <c r="AM810" s="222"/>
      <c r="AN810" s="222"/>
      <c r="AO810" s="222"/>
      <c r="AP810" s="222"/>
      <c r="AQ810" s="222"/>
      <c r="AR810" s="222"/>
      <c r="AS810" s="222"/>
      <c r="AT810" s="222"/>
      <c r="AU810" s="222"/>
      <c r="AV810" s="222"/>
      <c r="AW810" s="222"/>
      <c r="AX810" s="222"/>
      <c r="AY810" s="222"/>
      <c r="AZ810" s="222"/>
      <c r="BA810" s="222"/>
      <c r="BB810" s="222"/>
      <c r="BC810" s="222"/>
      <c r="BD810" s="222"/>
      <c r="BE810" s="222"/>
      <c r="BF810" s="222"/>
      <c r="BG810" s="222"/>
      <c r="BH810" s="222"/>
      <c r="BI810" s="222"/>
      <c r="BJ810" s="222"/>
      <c r="BK810" s="222"/>
      <c r="BL810" s="222"/>
      <c r="BM810" s="222"/>
      <c r="BN810" s="222"/>
      <c r="BO810" s="222"/>
      <c r="BP810" s="222"/>
      <c r="BQ810" s="222"/>
      <c r="BR810" s="222"/>
      <c r="BS810" s="222"/>
      <c r="BT810" s="222"/>
      <c r="BU810" s="222"/>
      <c r="BV810" s="222"/>
      <c r="BW810" s="222"/>
      <c r="BX810" s="222"/>
      <c r="BY810" s="222"/>
      <c r="BZ810" s="222"/>
      <c r="CA810" s="222"/>
      <c r="CB810" s="222"/>
      <c r="CC810" s="222"/>
      <c r="CD810" s="222"/>
      <c r="CE810" s="222"/>
      <c r="CF810" s="222"/>
      <c r="CG810" s="222"/>
      <c r="CH810" s="222"/>
      <c r="CI810" s="222"/>
      <c r="CJ810" s="222"/>
      <c r="CK810" s="222"/>
      <c r="CL810" s="222"/>
      <c r="CM810" s="222"/>
      <c r="CN810" s="222"/>
      <c r="CO810" s="222"/>
      <c r="CP810" s="222"/>
      <c r="CQ810" s="222"/>
      <c r="CR810" s="222"/>
      <c r="CS810" s="222"/>
    </row>
    <row r="811">
      <c r="A811" s="43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  <c r="AC811" s="222"/>
      <c r="AD811" s="222"/>
      <c r="AE811" s="222"/>
      <c r="AF811" s="222"/>
      <c r="AG811" s="222"/>
      <c r="AH811" s="222"/>
      <c r="AI811" s="222"/>
      <c r="AJ811" s="222"/>
      <c r="AK811" s="222"/>
      <c r="AL811" s="222"/>
      <c r="AM811" s="222"/>
      <c r="AN811" s="222"/>
      <c r="AO811" s="222"/>
      <c r="AP811" s="222"/>
      <c r="AQ811" s="222"/>
      <c r="AR811" s="222"/>
      <c r="AS811" s="222"/>
      <c r="AT811" s="222"/>
      <c r="AU811" s="222"/>
      <c r="AV811" s="222"/>
      <c r="AW811" s="222"/>
      <c r="AX811" s="222"/>
      <c r="AY811" s="222"/>
      <c r="AZ811" s="222"/>
      <c r="BA811" s="222"/>
      <c r="BB811" s="222"/>
      <c r="BC811" s="222"/>
      <c r="BD811" s="222"/>
      <c r="BE811" s="222"/>
      <c r="BF811" s="222"/>
      <c r="BG811" s="222"/>
      <c r="BH811" s="222"/>
      <c r="BI811" s="222"/>
      <c r="BJ811" s="222"/>
      <c r="BK811" s="222"/>
      <c r="BL811" s="222"/>
      <c r="BM811" s="222"/>
      <c r="BN811" s="222"/>
      <c r="BO811" s="222"/>
      <c r="BP811" s="222"/>
      <c r="BQ811" s="222"/>
      <c r="BR811" s="222"/>
      <c r="BS811" s="222"/>
      <c r="BT811" s="222"/>
      <c r="BU811" s="222"/>
      <c r="BV811" s="222"/>
      <c r="BW811" s="222"/>
      <c r="BX811" s="222"/>
      <c r="BY811" s="222"/>
      <c r="BZ811" s="222"/>
      <c r="CA811" s="222"/>
      <c r="CB811" s="222"/>
      <c r="CC811" s="222"/>
      <c r="CD811" s="222"/>
      <c r="CE811" s="222"/>
      <c r="CF811" s="222"/>
      <c r="CG811" s="222"/>
      <c r="CH811" s="222"/>
      <c r="CI811" s="222"/>
      <c r="CJ811" s="222"/>
      <c r="CK811" s="222"/>
      <c r="CL811" s="222"/>
      <c r="CM811" s="222"/>
      <c r="CN811" s="222"/>
      <c r="CO811" s="222"/>
      <c r="CP811" s="222"/>
      <c r="CQ811" s="222"/>
      <c r="CR811" s="222"/>
      <c r="CS811" s="222"/>
    </row>
    <row r="812">
      <c r="A812" s="43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  <c r="AF812" s="222"/>
      <c r="AG812" s="222"/>
      <c r="AH812" s="222"/>
      <c r="AI812" s="222"/>
      <c r="AJ812" s="222"/>
      <c r="AK812" s="222"/>
      <c r="AL812" s="222"/>
      <c r="AM812" s="222"/>
      <c r="AN812" s="222"/>
      <c r="AO812" s="222"/>
      <c r="AP812" s="222"/>
      <c r="AQ812" s="222"/>
      <c r="AR812" s="222"/>
      <c r="AS812" s="222"/>
      <c r="AT812" s="222"/>
      <c r="AU812" s="222"/>
      <c r="AV812" s="222"/>
      <c r="AW812" s="222"/>
      <c r="AX812" s="222"/>
      <c r="AY812" s="222"/>
      <c r="AZ812" s="222"/>
      <c r="BA812" s="222"/>
      <c r="BB812" s="222"/>
      <c r="BC812" s="222"/>
      <c r="BD812" s="222"/>
      <c r="BE812" s="222"/>
      <c r="BF812" s="222"/>
      <c r="BG812" s="222"/>
      <c r="BH812" s="222"/>
      <c r="BI812" s="222"/>
      <c r="BJ812" s="222"/>
      <c r="BK812" s="222"/>
      <c r="BL812" s="222"/>
      <c r="BM812" s="222"/>
      <c r="BN812" s="222"/>
      <c r="BO812" s="222"/>
      <c r="BP812" s="222"/>
      <c r="BQ812" s="222"/>
      <c r="BR812" s="222"/>
      <c r="BS812" s="222"/>
      <c r="BT812" s="222"/>
      <c r="BU812" s="222"/>
      <c r="BV812" s="222"/>
      <c r="BW812" s="222"/>
      <c r="BX812" s="222"/>
      <c r="BY812" s="222"/>
      <c r="BZ812" s="222"/>
      <c r="CA812" s="222"/>
      <c r="CB812" s="222"/>
      <c r="CC812" s="222"/>
      <c r="CD812" s="222"/>
      <c r="CE812" s="222"/>
      <c r="CF812" s="222"/>
      <c r="CG812" s="222"/>
      <c r="CH812" s="222"/>
      <c r="CI812" s="222"/>
      <c r="CJ812" s="222"/>
      <c r="CK812" s="222"/>
      <c r="CL812" s="222"/>
      <c r="CM812" s="222"/>
      <c r="CN812" s="222"/>
      <c r="CO812" s="222"/>
      <c r="CP812" s="222"/>
      <c r="CQ812" s="222"/>
      <c r="CR812" s="222"/>
      <c r="CS812" s="222"/>
    </row>
    <row r="813">
      <c r="A813" s="43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  <c r="AC813" s="222"/>
      <c r="AD813" s="222"/>
      <c r="AE813" s="222"/>
      <c r="AF813" s="222"/>
      <c r="AG813" s="222"/>
      <c r="AH813" s="222"/>
      <c r="AI813" s="222"/>
      <c r="AJ813" s="222"/>
      <c r="AK813" s="222"/>
      <c r="AL813" s="222"/>
      <c r="AM813" s="222"/>
      <c r="AN813" s="222"/>
      <c r="AO813" s="222"/>
      <c r="AP813" s="222"/>
      <c r="AQ813" s="222"/>
      <c r="AR813" s="222"/>
      <c r="AS813" s="222"/>
      <c r="AT813" s="222"/>
      <c r="AU813" s="222"/>
      <c r="AV813" s="222"/>
      <c r="AW813" s="222"/>
      <c r="AX813" s="222"/>
      <c r="AY813" s="222"/>
      <c r="AZ813" s="222"/>
      <c r="BA813" s="222"/>
      <c r="BB813" s="222"/>
      <c r="BC813" s="222"/>
      <c r="BD813" s="222"/>
      <c r="BE813" s="222"/>
      <c r="BF813" s="222"/>
      <c r="BG813" s="222"/>
      <c r="BH813" s="222"/>
      <c r="BI813" s="222"/>
      <c r="BJ813" s="222"/>
      <c r="BK813" s="222"/>
      <c r="BL813" s="222"/>
      <c r="BM813" s="222"/>
      <c r="BN813" s="222"/>
      <c r="BO813" s="222"/>
      <c r="BP813" s="222"/>
      <c r="BQ813" s="222"/>
      <c r="BR813" s="222"/>
      <c r="BS813" s="222"/>
      <c r="BT813" s="222"/>
      <c r="BU813" s="222"/>
      <c r="BV813" s="222"/>
      <c r="BW813" s="222"/>
      <c r="BX813" s="222"/>
      <c r="BY813" s="222"/>
      <c r="BZ813" s="222"/>
      <c r="CA813" s="222"/>
      <c r="CB813" s="222"/>
      <c r="CC813" s="222"/>
      <c r="CD813" s="222"/>
      <c r="CE813" s="222"/>
      <c r="CF813" s="222"/>
      <c r="CG813" s="222"/>
      <c r="CH813" s="222"/>
      <c r="CI813" s="222"/>
      <c r="CJ813" s="222"/>
      <c r="CK813" s="222"/>
      <c r="CL813" s="222"/>
      <c r="CM813" s="222"/>
      <c r="CN813" s="222"/>
      <c r="CO813" s="222"/>
      <c r="CP813" s="222"/>
      <c r="CQ813" s="222"/>
      <c r="CR813" s="222"/>
      <c r="CS813" s="222"/>
    </row>
    <row r="814">
      <c r="A814" s="43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  <c r="AC814" s="222"/>
      <c r="AD814" s="222"/>
      <c r="AE814" s="222"/>
      <c r="AF814" s="222"/>
      <c r="AG814" s="222"/>
      <c r="AH814" s="222"/>
      <c r="AI814" s="222"/>
      <c r="AJ814" s="222"/>
      <c r="AK814" s="222"/>
      <c r="AL814" s="222"/>
      <c r="AM814" s="222"/>
      <c r="AN814" s="222"/>
      <c r="AO814" s="222"/>
      <c r="AP814" s="222"/>
      <c r="AQ814" s="222"/>
      <c r="AR814" s="222"/>
      <c r="AS814" s="222"/>
      <c r="AT814" s="222"/>
      <c r="AU814" s="222"/>
      <c r="AV814" s="222"/>
      <c r="AW814" s="222"/>
      <c r="AX814" s="222"/>
      <c r="AY814" s="222"/>
      <c r="AZ814" s="222"/>
      <c r="BA814" s="222"/>
      <c r="BB814" s="222"/>
      <c r="BC814" s="222"/>
      <c r="BD814" s="222"/>
      <c r="BE814" s="222"/>
      <c r="BF814" s="222"/>
      <c r="BG814" s="222"/>
      <c r="BH814" s="222"/>
      <c r="BI814" s="222"/>
      <c r="BJ814" s="222"/>
      <c r="BK814" s="222"/>
      <c r="BL814" s="222"/>
      <c r="BM814" s="222"/>
      <c r="BN814" s="222"/>
      <c r="BO814" s="222"/>
      <c r="BP814" s="222"/>
      <c r="BQ814" s="222"/>
      <c r="BR814" s="222"/>
      <c r="BS814" s="222"/>
      <c r="BT814" s="222"/>
      <c r="BU814" s="222"/>
      <c r="BV814" s="222"/>
      <c r="BW814" s="222"/>
      <c r="BX814" s="222"/>
      <c r="BY814" s="222"/>
      <c r="BZ814" s="222"/>
      <c r="CA814" s="222"/>
      <c r="CB814" s="222"/>
      <c r="CC814" s="222"/>
      <c r="CD814" s="222"/>
      <c r="CE814" s="222"/>
      <c r="CF814" s="222"/>
      <c r="CG814" s="222"/>
      <c r="CH814" s="222"/>
      <c r="CI814" s="222"/>
      <c r="CJ814" s="222"/>
      <c r="CK814" s="222"/>
      <c r="CL814" s="222"/>
      <c r="CM814" s="222"/>
      <c r="CN814" s="222"/>
      <c r="CO814" s="222"/>
      <c r="CP814" s="222"/>
      <c r="CQ814" s="222"/>
      <c r="CR814" s="222"/>
      <c r="CS814" s="222"/>
    </row>
    <row r="815">
      <c r="A815" s="43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  <c r="AC815" s="222"/>
      <c r="AD815" s="222"/>
      <c r="AE815" s="222"/>
      <c r="AF815" s="222"/>
      <c r="AG815" s="222"/>
      <c r="AH815" s="222"/>
      <c r="AI815" s="222"/>
      <c r="AJ815" s="222"/>
      <c r="AK815" s="222"/>
      <c r="AL815" s="222"/>
      <c r="AM815" s="222"/>
      <c r="AN815" s="222"/>
      <c r="AO815" s="222"/>
      <c r="AP815" s="222"/>
      <c r="AQ815" s="222"/>
      <c r="AR815" s="222"/>
      <c r="AS815" s="222"/>
      <c r="AT815" s="222"/>
      <c r="AU815" s="222"/>
      <c r="AV815" s="222"/>
      <c r="AW815" s="222"/>
      <c r="AX815" s="222"/>
      <c r="AY815" s="222"/>
      <c r="AZ815" s="222"/>
      <c r="BA815" s="222"/>
      <c r="BB815" s="222"/>
      <c r="BC815" s="222"/>
      <c r="BD815" s="222"/>
      <c r="BE815" s="222"/>
      <c r="BF815" s="222"/>
      <c r="BG815" s="222"/>
      <c r="BH815" s="222"/>
      <c r="BI815" s="222"/>
      <c r="BJ815" s="222"/>
      <c r="BK815" s="222"/>
      <c r="BL815" s="222"/>
      <c r="BM815" s="222"/>
      <c r="BN815" s="222"/>
      <c r="BO815" s="222"/>
      <c r="BP815" s="222"/>
      <c r="BQ815" s="222"/>
      <c r="BR815" s="222"/>
      <c r="BS815" s="222"/>
      <c r="BT815" s="222"/>
      <c r="BU815" s="222"/>
      <c r="BV815" s="222"/>
      <c r="BW815" s="222"/>
      <c r="BX815" s="222"/>
      <c r="BY815" s="222"/>
      <c r="BZ815" s="222"/>
      <c r="CA815" s="222"/>
      <c r="CB815" s="222"/>
      <c r="CC815" s="222"/>
      <c r="CD815" s="222"/>
      <c r="CE815" s="222"/>
      <c r="CF815" s="222"/>
      <c r="CG815" s="222"/>
      <c r="CH815" s="222"/>
      <c r="CI815" s="222"/>
      <c r="CJ815" s="222"/>
      <c r="CK815" s="222"/>
      <c r="CL815" s="222"/>
      <c r="CM815" s="222"/>
      <c r="CN815" s="222"/>
      <c r="CO815" s="222"/>
      <c r="CP815" s="222"/>
      <c r="CQ815" s="222"/>
      <c r="CR815" s="222"/>
      <c r="CS815" s="222"/>
    </row>
    <row r="816">
      <c r="A816" s="43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  <c r="AC816" s="222"/>
      <c r="AD816" s="222"/>
      <c r="AE816" s="222"/>
      <c r="AF816" s="222"/>
      <c r="AG816" s="222"/>
      <c r="AH816" s="222"/>
      <c r="AI816" s="222"/>
      <c r="AJ816" s="222"/>
      <c r="AK816" s="222"/>
      <c r="AL816" s="222"/>
      <c r="AM816" s="222"/>
      <c r="AN816" s="222"/>
      <c r="AO816" s="222"/>
      <c r="AP816" s="222"/>
      <c r="AQ816" s="222"/>
      <c r="AR816" s="222"/>
      <c r="AS816" s="222"/>
      <c r="AT816" s="222"/>
      <c r="AU816" s="222"/>
      <c r="AV816" s="222"/>
      <c r="AW816" s="222"/>
      <c r="AX816" s="222"/>
      <c r="AY816" s="222"/>
      <c r="AZ816" s="222"/>
      <c r="BA816" s="222"/>
      <c r="BB816" s="222"/>
      <c r="BC816" s="222"/>
      <c r="BD816" s="222"/>
      <c r="BE816" s="222"/>
      <c r="BF816" s="222"/>
      <c r="BG816" s="222"/>
      <c r="BH816" s="222"/>
      <c r="BI816" s="222"/>
      <c r="BJ816" s="222"/>
      <c r="BK816" s="222"/>
      <c r="BL816" s="222"/>
      <c r="BM816" s="222"/>
      <c r="BN816" s="222"/>
      <c r="BO816" s="222"/>
      <c r="BP816" s="222"/>
      <c r="BQ816" s="222"/>
      <c r="BR816" s="222"/>
      <c r="BS816" s="222"/>
      <c r="BT816" s="222"/>
      <c r="BU816" s="222"/>
      <c r="BV816" s="222"/>
      <c r="BW816" s="222"/>
      <c r="BX816" s="222"/>
      <c r="BY816" s="222"/>
      <c r="BZ816" s="222"/>
      <c r="CA816" s="222"/>
      <c r="CB816" s="222"/>
      <c r="CC816" s="222"/>
      <c r="CD816" s="222"/>
      <c r="CE816" s="222"/>
      <c r="CF816" s="222"/>
      <c r="CG816" s="222"/>
      <c r="CH816" s="222"/>
      <c r="CI816" s="222"/>
      <c r="CJ816" s="222"/>
      <c r="CK816" s="222"/>
      <c r="CL816" s="222"/>
      <c r="CM816" s="222"/>
      <c r="CN816" s="222"/>
      <c r="CO816" s="222"/>
      <c r="CP816" s="222"/>
      <c r="CQ816" s="222"/>
      <c r="CR816" s="222"/>
      <c r="CS816" s="222"/>
    </row>
    <row r="817">
      <c r="A817" s="43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  <c r="AC817" s="222"/>
      <c r="AD817" s="222"/>
      <c r="AE817" s="222"/>
      <c r="AF817" s="222"/>
      <c r="AG817" s="222"/>
      <c r="AH817" s="222"/>
      <c r="AI817" s="222"/>
      <c r="AJ817" s="222"/>
      <c r="AK817" s="222"/>
      <c r="AL817" s="222"/>
      <c r="AM817" s="222"/>
      <c r="AN817" s="222"/>
      <c r="AO817" s="222"/>
      <c r="AP817" s="222"/>
      <c r="AQ817" s="222"/>
      <c r="AR817" s="222"/>
      <c r="AS817" s="222"/>
      <c r="AT817" s="222"/>
      <c r="AU817" s="222"/>
      <c r="AV817" s="222"/>
      <c r="AW817" s="222"/>
      <c r="AX817" s="222"/>
      <c r="AY817" s="222"/>
      <c r="AZ817" s="222"/>
      <c r="BA817" s="222"/>
      <c r="BB817" s="222"/>
      <c r="BC817" s="222"/>
      <c r="BD817" s="222"/>
      <c r="BE817" s="222"/>
      <c r="BF817" s="222"/>
      <c r="BG817" s="222"/>
      <c r="BH817" s="222"/>
      <c r="BI817" s="222"/>
      <c r="BJ817" s="222"/>
      <c r="BK817" s="222"/>
      <c r="BL817" s="222"/>
      <c r="BM817" s="222"/>
      <c r="BN817" s="222"/>
      <c r="BO817" s="222"/>
      <c r="BP817" s="222"/>
      <c r="BQ817" s="222"/>
      <c r="BR817" s="222"/>
      <c r="BS817" s="222"/>
      <c r="BT817" s="222"/>
      <c r="BU817" s="222"/>
      <c r="BV817" s="222"/>
      <c r="BW817" s="222"/>
      <c r="BX817" s="222"/>
      <c r="BY817" s="222"/>
      <c r="BZ817" s="222"/>
      <c r="CA817" s="222"/>
      <c r="CB817" s="222"/>
      <c r="CC817" s="222"/>
      <c r="CD817" s="222"/>
      <c r="CE817" s="222"/>
      <c r="CF817" s="222"/>
      <c r="CG817" s="222"/>
      <c r="CH817" s="222"/>
      <c r="CI817" s="222"/>
      <c r="CJ817" s="222"/>
      <c r="CK817" s="222"/>
      <c r="CL817" s="222"/>
      <c r="CM817" s="222"/>
      <c r="CN817" s="222"/>
      <c r="CO817" s="222"/>
      <c r="CP817" s="222"/>
      <c r="CQ817" s="222"/>
      <c r="CR817" s="222"/>
      <c r="CS817" s="222"/>
    </row>
    <row r="818">
      <c r="A818" s="43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  <c r="AC818" s="222"/>
      <c r="AD818" s="222"/>
      <c r="AE818" s="222"/>
      <c r="AF818" s="222"/>
      <c r="AG818" s="222"/>
      <c r="AH818" s="222"/>
      <c r="AI818" s="222"/>
      <c r="AJ818" s="222"/>
      <c r="AK818" s="222"/>
      <c r="AL818" s="222"/>
      <c r="AM818" s="222"/>
      <c r="AN818" s="222"/>
      <c r="AO818" s="222"/>
      <c r="AP818" s="222"/>
      <c r="AQ818" s="222"/>
      <c r="AR818" s="222"/>
      <c r="AS818" s="222"/>
      <c r="AT818" s="222"/>
      <c r="AU818" s="222"/>
      <c r="AV818" s="222"/>
      <c r="AW818" s="222"/>
      <c r="AX818" s="222"/>
      <c r="AY818" s="222"/>
      <c r="AZ818" s="222"/>
      <c r="BA818" s="222"/>
      <c r="BB818" s="222"/>
      <c r="BC818" s="222"/>
      <c r="BD818" s="222"/>
      <c r="BE818" s="222"/>
      <c r="BF818" s="222"/>
      <c r="BG818" s="222"/>
      <c r="BH818" s="222"/>
      <c r="BI818" s="222"/>
      <c r="BJ818" s="222"/>
      <c r="BK818" s="222"/>
      <c r="BL818" s="222"/>
      <c r="BM818" s="222"/>
      <c r="BN818" s="222"/>
      <c r="BO818" s="222"/>
      <c r="BP818" s="222"/>
      <c r="BQ818" s="222"/>
      <c r="BR818" s="222"/>
      <c r="BS818" s="222"/>
      <c r="BT818" s="222"/>
      <c r="BU818" s="222"/>
      <c r="BV818" s="222"/>
      <c r="BW818" s="222"/>
      <c r="BX818" s="222"/>
      <c r="BY818" s="222"/>
      <c r="BZ818" s="222"/>
      <c r="CA818" s="222"/>
      <c r="CB818" s="222"/>
      <c r="CC818" s="222"/>
      <c r="CD818" s="222"/>
      <c r="CE818" s="222"/>
      <c r="CF818" s="222"/>
      <c r="CG818" s="222"/>
      <c r="CH818" s="222"/>
      <c r="CI818" s="222"/>
      <c r="CJ818" s="222"/>
      <c r="CK818" s="222"/>
      <c r="CL818" s="222"/>
      <c r="CM818" s="222"/>
      <c r="CN818" s="222"/>
      <c r="CO818" s="222"/>
      <c r="CP818" s="222"/>
      <c r="CQ818" s="222"/>
      <c r="CR818" s="222"/>
      <c r="CS818" s="222"/>
    </row>
    <row r="819">
      <c r="A819" s="43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  <c r="AC819" s="222"/>
      <c r="AD819" s="222"/>
      <c r="AE819" s="222"/>
      <c r="AF819" s="222"/>
      <c r="AG819" s="222"/>
      <c r="AH819" s="222"/>
      <c r="AI819" s="222"/>
      <c r="AJ819" s="222"/>
      <c r="AK819" s="222"/>
      <c r="AL819" s="222"/>
      <c r="AM819" s="222"/>
      <c r="AN819" s="222"/>
      <c r="AO819" s="222"/>
      <c r="AP819" s="222"/>
      <c r="AQ819" s="222"/>
      <c r="AR819" s="222"/>
      <c r="AS819" s="222"/>
      <c r="AT819" s="222"/>
      <c r="AU819" s="222"/>
      <c r="AV819" s="222"/>
      <c r="AW819" s="222"/>
      <c r="AX819" s="222"/>
      <c r="AY819" s="222"/>
      <c r="AZ819" s="222"/>
      <c r="BA819" s="222"/>
      <c r="BB819" s="222"/>
      <c r="BC819" s="222"/>
      <c r="BD819" s="222"/>
      <c r="BE819" s="222"/>
      <c r="BF819" s="222"/>
      <c r="BG819" s="222"/>
      <c r="BH819" s="222"/>
      <c r="BI819" s="222"/>
      <c r="BJ819" s="222"/>
      <c r="BK819" s="222"/>
      <c r="BL819" s="222"/>
      <c r="BM819" s="222"/>
      <c r="BN819" s="222"/>
      <c r="BO819" s="222"/>
      <c r="BP819" s="222"/>
      <c r="BQ819" s="222"/>
      <c r="BR819" s="222"/>
      <c r="BS819" s="222"/>
      <c r="BT819" s="222"/>
      <c r="BU819" s="222"/>
      <c r="BV819" s="222"/>
      <c r="BW819" s="222"/>
      <c r="BX819" s="222"/>
      <c r="BY819" s="222"/>
      <c r="BZ819" s="222"/>
      <c r="CA819" s="222"/>
      <c r="CB819" s="222"/>
      <c r="CC819" s="222"/>
      <c r="CD819" s="222"/>
      <c r="CE819" s="222"/>
      <c r="CF819" s="222"/>
      <c r="CG819" s="222"/>
      <c r="CH819" s="222"/>
      <c r="CI819" s="222"/>
      <c r="CJ819" s="222"/>
      <c r="CK819" s="222"/>
      <c r="CL819" s="222"/>
      <c r="CM819" s="222"/>
      <c r="CN819" s="222"/>
      <c r="CO819" s="222"/>
      <c r="CP819" s="222"/>
      <c r="CQ819" s="222"/>
      <c r="CR819" s="222"/>
      <c r="CS819" s="222"/>
    </row>
    <row r="820">
      <c r="A820" s="43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  <c r="AC820" s="222"/>
      <c r="AD820" s="222"/>
      <c r="AE820" s="222"/>
      <c r="AF820" s="222"/>
      <c r="AG820" s="222"/>
      <c r="AH820" s="222"/>
      <c r="AI820" s="222"/>
      <c r="AJ820" s="222"/>
      <c r="AK820" s="222"/>
      <c r="AL820" s="222"/>
      <c r="AM820" s="222"/>
      <c r="AN820" s="222"/>
      <c r="AO820" s="222"/>
      <c r="AP820" s="222"/>
      <c r="AQ820" s="222"/>
      <c r="AR820" s="222"/>
      <c r="AS820" s="222"/>
      <c r="AT820" s="222"/>
      <c r="AU820" s="222"/>
      <c r="AV820" s="222"/>
      <c r="AW820" s="222"/>
      <c r="AX820" s="222"/>
      <c r="AY820" s="222"/>
      <c r="AZ820" s="222"/>
      <c r="BA820" s="222"/>
      <c r="BB820" s="222"/>
      <c r="BC820" s="222"/>
      <c r="BD820" s="222"/>
      <c r="BE820" s="222"/>
      <c r="BF820" s="222"/>
      <c r="BG820" s="222"/>
      <c r="BH820" s="222"/>
      <c r="BI820" s="222"/>
      <c r="BJ820" s="222"/>
      <c r="BK820" s="222"/>
      <c r="BL820" s="222"/>
      <c r="BM820" s="222"/>
      <c r="BN820" s="222"/>
      <c r="BO820" s="222"/>
      <c r="BP820" s="222"/>
      <c r="BQ820" s="222"/>
      <c r="BR820" s="222"/>
      <c r="BS820" s="222"/>
      <c r="BT820" s="222"/>
      <c r="BU820" s="222"/>
      <c r="BV820" s="222"/>
      <c r="BW820" s="222"/>
      <c r="BX820" s="222"/>
      <c r="BY820" s="222"/>
      <c r="BZ820" s="222"/>
      <c r="CA820" s="222"/>
      <c r="CB820" s="222"/>
      <c r="CC820" s="222"/>
      <c r="CD820" s="222"/>
      <c r="CE820" s="222"/>
      <c r="CF820" s="222"/>
      <c r="CG820" s="222"/>
      <c r="CH820" s="222"/>
      <c r="CI820" s="222"/>
      <c r="CJ820" s="222"/>
      <c r="CK820" s="222"/>
      <c r="CL820" s="222"/>
      <c r="CM820" s="222"/>
      <c r="CN820" s="222"/>
      <c r="CO820" s="222"/>
      <c r="CP820" s="222"/>
      <c r="CQ820" s="222"/>
      <c r="CR820" s="222"/>
      <c r="CS820" s="222"/>
    </row>
    <row r="821">
      <c r="A821" s="43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  <c r="AC821" s="222"/>
      <c r="AD821" s="222"/>
      <c r="AE821" s="222"/>
      <c r="AF821" s="222"/>
      <c r="AG821" s="222"/>
      <c r="AH821" s="222"/>
      <c r="AI821" s="222"/>
      <c r="AJ821" s="222"/>
      <c r="AK821" s="222"/>
      <c r="AL821" s="222"/>
      <c r="AM821" s="222"/>
      <c r="AN821" s="222"/>
      <c r="AO821" s="222"/>
      <c r="AP821" s="222"/>
      <c r="AQ821" s="222"/>
      <c r="AR821" s="222"/>
      <c r="AS821" s="222"/>
      <c r="AT821" s="222"/>
      <c r="AU821" s="222"/>
      <c r="AV821" s="222"/>
      <c r="AW821" s="222"/>
      <c r="AX821" s="222"/>
      <c r="AY821" s="222"/>
      <c r="AZ821" s="222"/>
      <c r="BA821" s="222"/>
      <c r="BB821" s="222"/>
      <c r="BC821" s="222"/>
      <c r="BD821" s="222"/>
      <c r="BE821" s="222"/>
      <c r="BF821" s="222"/>
      <c r="BG821" s="222"/>
      <c r="BH821" s="222"/>
      <c r="BI821" s="222"/>
      <c r="BJ821" s="222"/>
      <c r="BK821" s="222"/>
      <c r="BL821" s="222"/>
      <c r="BM821" s="222"/>
      <c r="BN821" s="222"/>
      <c r="BO821" s="222"/>
      <c r="BP821" s="222"/>
      <c r="BQ821" s="222"/>
      <c r="BR821" s="222"/>
      <c r="BS821" s="222"/>
      <c r="BT821" s="222"/>
      <c r="BU821" s="222"/>
      <c r="BV821" s="222"/>
      <c r="BW821" s="222"/>
      <c r="BX821" s="222"/>
      <c r="BY821" s="222"/>
      <c r="BZ821" s="222"/>
      <c r="CA821" s="222"/>
      <c r="CB821" s="222"/>
      <c r="CC821" s="222"/>
      <c r="CD821" s="222"/>
      <c r="CE821" s="222"/>
      <c r="CF821" s="222"/>
      <c r="CG821" s="222"/>
      <c r="CH821" s="222"/>
      <c r="CI821" s="222"/>
      <c r="CJ821" s="222"/>
      <c r="CK821" s="222"/>
      <c r="CL821" s="222"/>
      <c r="CM821" s="222"/>
      <c r="CN821" s="222"/>
      <c r="CO821" s="222"/>
      <c r="CP821" s="222"/>
      <c r="CQ821" s="222"/>
      <c r="CR821" s="222"/>
      <c r="CS821" s="222"/>
    </row>
    <row r="822">
      <c r="A822" s="43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  <c r="AC822" s="222"/>
      <c r="AD822" s="222"/>
      <c r="AE822" s="222"/>
      <c r="AF822" s="222"/>
      <c r="AG822" s="222"/>
      <c r="AH822" s="222"/>
      <c r="AI822" s="222"/>
      <c r="AJ822" s="222"/>
      <c r="AK822" s="222"/>
      <c r="AL822" s="222"/>
      <c r="AM822" s="222"/>
      <c r="AN822" s="222"/>
      <c r="AO822" s="222"/>
      <c r="AP822" s="222"/>
      <c r="AQ822" s="222"/>
      <c r="AR822" s="222"/>
      <c r="AS822" s="222"/>
      <c r="AT822" s="222"/>
      <c r="AU822" s="222"/>
      <c r="AV822" s="222"/>
      <c r="AW822" s="222"/>
      <c r="AX822" s="222"/>
      <c r="AY822" s="222"/>
      <c r="AZ822" s="222"/>
      <c r="BA822" s="222"/>
      <c r="BB822" s="222"/>
      <c r="BC822" s="222"/>
      <c r="BD822" s="222"/>
      <c r="BE822" s="222"/>
      <c r="BF822" s="222"/>
      <c r="BG822" s="222"/>
      <c r="BH822" s="222"/>
      <c r="BI822" s="222"/>
      <c r="BJ822" s="222"/>
      <c r="BK822" s="222"/>
      <c r="BL822" s="222"/>
      <c r="BM822" s="222"/>
      <c r="BN822" s="222"/>
      <c r="BO822" s="222"/>
      <c r="BP822" s="222"/>
      <c r="BQ822" s="222"/>
      <c r="BR822" s="222"/>
      <c r="BS822" s="222"/>
      <c r="BT822" s="222"/>
      <c r="BU822" s="222"/>
      <c r="BV822" s="222"/>
      <c r="BW822" s="222"/>
      <c r="BX822" s="222"/>
      <c r="BY822" s="222"/>
      <c r="BZ822" s="222"/>
      <c r="CA822" s="222"/>
      <c r="CB822" s="222"/>
      <c r="CC822" s="222"/>
      <c r="CD822" s="222"/>
      <c r="CE822" s="222"/>
      <c r="CF822" s="222"/>
      <c r="CG822" s="222"/>
      <c r="CH822" s="222"/>
      <c r="CI822" s="222"/>
      <c r="CJ822" s="222"/>
      <c r="CK822" s="222"/>
      <c r="CL822" s="222"/>
      <c r="CM822" s="222"/>
      <c r="CN822" s="222"/>
      <c r="CO822" s="222"/>
      <c r="CP822" s="222"/>
      <c r="CQ822" s="222"/>
      <c r="CR822" s="222"/>
      <c r="CS822" s="222"/>
    </row>
    <row r="823">
      <c r="A823" s="43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  <c r="AC823" s="222"/>
      <c r="AD823" s="222"/>
      <c r="AE823" s="222"/>
      <c r="AF823" s="222"/>
      <c r="AG823" s="222"/>
      <c r="AH823" s="222"/>
      <c r="AI823" s="222"/>
      <c r="AJ823" s="222"/>
      <c r="AK823" s="222"/>
      <c r="AL823" s="222"/>
      <c r="AM823" s="222"/>
      <c r="AN823" s="222"/>
      <c r="AO823" s="222"/>
      <c r="AP823" s="222"/>
      <c r="AQ823" s="222"/>
      <c r="AR823" s="222"/>
      <c r="AS823" s="222"/>
      <c r="AT823" s="222"/>
      <c r="AU823" s="222"/>
      <c r="AV823" s="222"/>
      <c r="AW823" s="222"/>
      <c r="AX823" s="222"/>
      <c r="AY823" s="222"/>
      <c r="AZ823" s="222"/>
      <c r="BA823" s="222"/>
      <c r="BB823" s="222"/>
      <c r="BC823" s="222"/>
      <c r="BD823" s="222"/>
      <c r="BE823" s="222"/>
      <c r="BF823" s="222"/>
      <c r="BG823" s="222"/>
      <c r="BH823" s="222"/>
      <c r="BI823" s="222"/>
      <c r="BJ823" s="222"/>
      <c r="BK823" s="222"/>
      <c r="BL823" s="222"/>
      <c r="BM823" s="222"/>
      <c r="BN823" s="222"/>
      <c r="BO823" s="222"/>
      <c r="BP823" s="222"/>
      <c r="BQ823" s="222"/>
      <c r="BR823" s="222"/>
      <c r="BS823" s="222"/>
      <c r="BT823" s="222"/>
      <c r="BU823" s="222"/>
      <c r="BV823" s="222"/>
      <c r="BW823" s="222"/>
      <c r="BX823" s="222"/>
      <c r="BY823" s="222"/>
      <c r="BZ823" s="222"/>
      <c r="CA823" s="222"/>
      <c r="CB823" s="222"/>
      <c r="CC823" s="222"/>
      <c r="CD823" s="222"/>
      <c r="CE823" s="222"/>
      <c r="CF823" s="222"/>
      <c r="CG823" s="222"/>
      <c r="CH823" s="222"/>
      <c r="CI823" s="222"/>
      <c r="CJ823" s="222"/>
      <c r="CK823" s="222"/>
      <c r="CL823" s="222"/>
      <c r="CM823" s="222"/>
      <c r="CN823" s="222"/>
      <c r="CO823" s="222"/>
      <c r="CP823" s="222"/>
      <c r="CQ823" s="222"/>
      <c r="CR823" s="222"/>
      <c r="CS823" s="222"/>
    </row>
    <row r="824">
      <c r="A824" s="43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  <c r="AC824" s="222"/>
      <c r="AD824" s="222"/>
      <c r="AE824" s="222"/>
      <c r="AF824" s="222"/>
      <c r="AG824" s="222"/>
      <c r="AH824" s="222"/>
      <c r="AI824" s="222"/>
      <c r="AJ824" s="222"/>
      <c r="AK824" s="222"/>
      <c r="AL824" s="222"/>
      <c r="AM824" s="222"/>
      <c r="AN824" s="222"/>
      <c r="AO824" s="222"/>
      <c r="AP824" s="222"/>
      <c r="AQ824" s="222"/>
      <c r="AR824" s="222"/>
      <c r="AS824" s="222"/>
      <c r="AT824" s="222"/>
      <c r="AU824" s="222"/>
      <c r="AV824" s="222"/>
      <c r="AW824" s="222"/>
      <c r="AX824" s="222"/>
      <c r="AY824" s="222"/>
      <c r="AZ824" s="222"/>
      <c r="BA824" s="222"/>
      <c r="BB824" s="222"/>
      <c r="BC824" s="222"/>
      <c r="BD824" s="222"/>
      <c r="BE824" s="222"/>
      <c r="BF824" s="222"/>
      <c r="BG824" s="222"/>
      <c r="BH824" s="222"/>
      <c r="BI824" s="222"/>
      <c r="BJ824" s="222"/>
      <c r="BK824" s="222"/>
      <c r="BL824" s="222"/>
      <c r="BM824" s="222"/>
      <c r="BN824" s="222"/>
      <c r="BO824" s="222"/>
      <c r="BP824" s="222"/>
      <c r="BQ824" s="222"/>
      <c r="BR824" s="222"/>
      <c r="BS824" s="222"/>
      <c r="BT824" s="222"/>
      <c r="BU824" s="222"/>
      <c r="BV824" s="222"/>
      <c r="BW824" s="222"/>
      <c r="BX824" s="222"/>
      <c r="BY824" s="222"/>
      <c r="BZ824" s="222"/>
      <c r="CA824" s="222"/>
      <c r="CB824" s="222"/>
      <c r="CC824" s="222"/>
      <c r="CD824" s="222"/>
      <c r="CE824" s="222"/>
      <c r="CF824" s="222"/>
      <c r="CG824" s="222"/>
      <c r="CH824" s="222"/>
      <c r="CI824" s="222"/>
      <c r="CJ824" s="222"/>
      <c r="CK824" s="222"/>
      <c r="CL824" s="222"/>
      <c r="CM824" s="222"/>
      <c r="CN824" s="222"/>
      <c r="CO824" s="222"/>
      <c r="CP824" s="222"/>
      <c r="CQ824" s="222"/>
      <c r="CR824" s="222"/>
      <c r="CS824" s="222"/>
    </row>
    <row r="825">
      <c r="A825" s="43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  <c r="AC825" s="222"/>
      <c r="AD825" s="222"/>
      <c r="AE825" s="222"/>
      <c r="AF825" s="222"/>
      <c r="AG825" s="222"/>
      <c r="AH825" s="222"/>
      <c r="AI825" s="222"/>
      <c r="AJ825" s="222"/>
      <c r="AK825" s="222"/>
      <c r="AL825" s="222"/>
      <c r="AM825" s="222"/>
      <c r="AN825" s="222"/>
      <c r="AO825" s="222"/>
      <c r="AP825" s="222"/>
      <c r="AQ825" s="222"/>
      <c r="AR825" s="222"/>
      <c r="AS825" s="222"/>
      <c r="AT825" s="222"/>
      <c r="AU825" s="222"/>
      <c r="AV825" s="222"/>
      <c r="AW825" s="222"/>
      <c r="AX825" s="222"/>
      <c r="AY825" s="222"/>
      <c r="AZ825" s="222"/>
      <c r="BA825" s="222"/>
      <c r="BB825" s="222"/>
      <c r="BC825" s="222"/>
      <c r="BD825" s="222"/>
      <c r="BE825" s="222"/>
      <c r="BF825" s="222"/>
      <c r="BG825" s="222"/>
      <c r="BH825" s="222"/>
      <c r="BI825" s="222"/>
      <c r="BJ825" s="222"/>
      <c r="BK825" s="222"/>
      <c r="BL825" s="222"/>
      <c r="BM825" s="222"/>
      <c r="BN825" s="222"/>
      <c r="BO825" s="222"/>
      <c r="BP825" s="222"/>
      <c r="BQ825" s="222"/>
      <c r="BR825" s="222"/>
      <c r="BS825" s="222"/>
      <c r="BT825" s="222"/>
      <c r="BU825" s="222"/>
      <c r="BV825" s="222"/>
      <c r="BW825" s="222"/>
      <c r="BX825" s="222"/>
      <c r="BY825" s="222"/>
      <c r="BZ825" s="222"/>
      <c r="CA825" s="222"/>
      <c r="CB825" s="222"/>
      <c r="CC825" s="222"/>
      <c r="CD825" s="222"/>
      <c r="CE825" s="222"/>
      <c r="CF825" s="222"/>
      <c r="CG825" s="222"/>
      <c r="CH825" s="222"/>
      <c r="CI825" s="222"/>
      <c r="CJ825" s="222"/>
      <c r="CK825" s="222"/>
      <c r="CL825" s="222"/>
      <c r="CM825" s="222"/>
      <c r="CN825" s="222"/>
      <c r="CO825" s="222"/>
      <c r="CP825" s="222"/>
      <c r="CQ825" s="222"/>
      <c r="CR825" s="222"/>
      <c r="CS825" s="222"/>
    </row>
    <row r="826">
      <c r="A826" s="43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  <c r="AC826" s="222"/>
      <c r="AD826" s="222"/>
      <c r="AE826" s="222"/>
      <c r="AF826" s="222"/>
      <c r="AG826" s="222"/>
      <c r="AH826" s="222"/>
      <c r="AI826" s="222"/>
      <c r="AJ826" s="222"/>
      <c r="AK826" s="222"/>
      <c r="AL826" s="222"/>
      <c r="AM826" s="222"/>
      <c r="AN826" s="222"/>
      <c r="AO826" s="222"/>
      <c r="AP826" s="222"/>
      <c r="AQ826" s="222"/>
      <c r="AR826" s="222"/>
      <c r="AS826" s="222"/>
      <c r="AT826" s="222"/>
      <c r="AU826" s="222"/>
      <c r="AV826" s="222"/>
      <c r="AW826" s="222"/>
      <c r="AX826" s="222"/>
      <c r="AY826" s="222"/>
      <c r="AZ826" s="222"/>
      <c r="BA826" s="222"/>
      <c r="BB826" s="222"/>
      <c r="BC826" s="222"/>
      <c r="BD826" s="222"/>
      <c r="BE826" s="222"/>
      <c r="BF826" s="222"/>
      <c r="BG826" s="222"/>
      <c r="BH826" s="222"/>
      <c r="BI826" s="222"/>
      <c r="BJ826" s="222"/>
      <c r="BK826" s="222"/>
      <c r="BL826" s="222"/>
      <c r="BM826" s="222"/>
      <c r="BN826" s="222"/>
      <c r="BO826" s="222"/>
      <c r="BP826" s="222"/>
      <c r="BQ826" s="222"/>
      <c r="BR826" s="222"/>
      <c r="BS826" s="222"/>
      <c r="BT826" s="222"/>
      <c r="BU826" s="222"/>
      <c r="BV826" s="222"/>
      <c r="BW826" s="222"/>
      <c r="BX826" s="222"/>
      <c r="BY826" s="222"/>
      <c r="BZ826" s="222"/>
      <c r="CA826" s="222"/>
      <c r="CB826" s="222"/>
      <c r="CC826" s="222"/>
      <c r="CD826" s="222"/>
      <c r="CE826" s="222"/>
      <c r="CF826" s="222"/>
      <c r="CG826" s="222"/>
      <c r="CH826" s="222"/>
      <c r="CI826" s="222"/>
      <c r="CJ826" s="222"/>
      <c r="CK826" s="222"/>
      <c r="CL826" s="222"/>
      <c r="CM826" s="222"/>
      <c r="CN826" s="222"/>
      <c r="CO826" s="222"/>
      <c r="CP826" s="222"/>
      <c r="CQ826" s="222"/>
      <c r="CR826" s="222"/>
      <c r="CS826" s="222"/>
    </row>
    <row r="827">
      <c r="A827" s="43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  <c r="AE827" s="222"/>
      <c r="AF827" s="222"/>
      <c r="AG827" s="222"/>
      <c r="AH827" s="222"/>
      <c r="AI827" s="222"/>
      <c r="AJ827" s="222"/>
      <c r="AK827" s="222"/>
      <c r="AL827" s="222"/>
      <c r="AM827" s="222"/>
      <c r="AN827" s="222"/>
      <c r="AO827" s="222"/>
      <c r="AP827" s="222"/>
      <c r="AQ827" s="222"/>
      <c r="AR827" s="222"/>
      <c r="AS827" s="222"/>
      <c r="AT827" s="222"/>
      <c r="AU827" s="222"/>
      <c r="AV827" s="222"/>
      <c r="AW827" s="222"/>
      <c r="AX827" s="222"/>
      <c r="AY827" s="222"/>
      <c r="AZ827" s="222"/>
      <c r="BA827" s="222"/>
      <c r="BB827" s="222"/>
      <c r="BC827" s="222"/>
      <c r="BD827" s="222"/>
      <c r="BE827" s="222"/>
      <c r="BF827" s="222"/>
      <c r="BG827" s="222"/>
      <c r="BH827" s="222"/>
      <c r="BI827" s="222"/>
      <c r="BJ827" s="222"/>
      <c r="BK827" s="222"/>
      <c r="BL827" s="222"/>
      <c r="BM827" s="222"/>
      <c r="BN827" s="222"/>
      <c r="BO827" s="222"/>
      <c r="BP827" s="222"/>
      <c r="BQ827" s="222"/>
      <c r="BR827" s="222"/>
      <c r="BS827" s="222"/>
      <c r="BT827" s="222"/>
      <c r="BU827" s="222"/>
      <c r="BV827" s="222"/>
      <c r="BW827" s="222"/>
      <c r="BX827" s="222"/>
      <c r="BY827" s="222"/>
      <c r="BZ827" s="222"/>
      <c r="CA827" s="222"/>
      <c r="CB827" s="222"/>
      <c r="CC827" s="222"/>
      <c r="CD827" s="222"/>
      <c r="CE827" s="222"/>
      <c r="CF827" s="222"/>
      <c r="CG827" s="222"/>
      <c r="CH827" s="222"/>
      <c r="CI827" s="222"/>
      <c r="CJ827" s="222"/>
      <c r="CK827" s="222"/>
      <c r="CL827" s="222"/>
      <c r="CM827" s="222"/>
      <c r="CN827" s="222"/>
      <c r="CO827" s="222"/>
      <c r="CP827" s="222"/>
      <c r="CQ827" s="222"/>
      <c r="CR827" s="222"/>
      <c r="CS827" s="222"/>
    </row>
    <row r="828">
      <c r="A828" s="43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  <c r="AE828" s="222"/>
      <c r="AF828" s="222"/>
      <c r="AG828" s="222"/>
      <c r="AH828" s="222"/>
      <c r="AI828" s="222"/>
      <c r="AJ828" s="222"/>
      <c r="AK828" s="222"/>
      <c r="AL828" s="222"/>
      <c r="AM828" s="222"/>
      <c r="AN828" s="222"/>
      <c r="AO828" s="222"/>
      <c r="AP828" s="222"/>
      <c r="AQ828" s="222"/>
      <c r="AR828" s="222"/>
      <c r="AS828" s="222"/>
      <c r="AT828" s="222"/>
      <c r="AU828" s="222"/>
      <c r="AV828" s="222"/>
      <c r="AW828" s="222"/>
      <c r="AX828" s="222"/>
      <c r="AY828" s="222"/>
      <c r="AZ828" s="222"/>
      <c r="BA828" s="222"/>
      <c r="BB828" s="222"/>
      <c r="BC828" s="222"/>
      <c r="BD828" s="222"/>
      <c r="BE828" s="222"/>
      <c r="BF828" s="222"/>
      <c r="BG828" s="222"/>
      <c r="BH828" s="222"/>
      <c r="BI828" s="222"/>
      <c r="BJ828" s="222"/>
      <c r="BK828" s="222"/>
      <c r="BL828" s="222"/>
      <c r="BM828" s="222"/>
      <c r="BN828" s="222"/>
      <c r="BO828" s="222"/>
      <c r="BP828" s="222"/>
      <c r="BQ828" s="222"/>
      <c r="BR828" s="222"/>
      <c r="BS828" s="222"/>
      <c r="BT828" s="222"/>
      <c r="BU828" s="222"/>
      <c r="BV828" s="222"/>
      <c r="BW828" s="222"/>
      <c r="BX828" s="222"/>
      <c r="BY828" s="222"/>
      <c r="BZ828" s="222"/>
      <c r="CA828" s="222"/>
      <c r="CB828" s="222"/>
      <c r="CC828" s="222"/>
      <c r="CD828" s="222"/>
      <c r="CE828" s="222"/>
      <c r="CF828" s="222"/>
      <c r="CG828" s="222"/>
      <c r="CH828" s="222"/>
      <c r="CI828" s="222"/>
      <c r="CJ828" s="222"/>
      <c r="CK828" s="222"/>
      <c r="CL828" s="222"/>
      <c r="CM828" s="222"/>
      <c r="CN828" s="222"/>
      <c r="CO828" s="222"/>
      <c r="CP828" s="222"/>
      <c r="CQ828" s="222"/>
      <c r="CR828" s="222"/>
      <c r="CS828" s="222"/>
    </row>
    <row r="829">
      <c r="A829" s="43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  <c r="AC829" s="222"/>
      <c r="AD829" s="222"/>
      <c r="AE829" s="222"/>
      <c r="AF829" s="222"/>
      <c r="AG829" s="222"/>
      <c r="AH829" s="222"/>
      <c r="AI829" s="222"/>
      <c r="AJ829" s="222"/>
      <c r="AK829" s="222"/>
      <c r="AL829" s="222"/>
      <c r="AM829" s="222"/>
      <c r="AN829" s="222"/>
      <c r="AO829" s="222"/>
      <c r="AP829" s="222"/>
      <c r="AQ829" s="222"/>
      <c r="AR829" s="222"/>
      <c r="AS829" s="222"/>
      <c r="AT829" s="222"/>
      <c r="AU829" s="222"/>
      <c r="AV829" s="222"/>
      <c r="AW829" s="222"/>
      <c r="AX829" s="222"/>
      <c r="AY829" s="222"/>
      <c r="AZ829" s="222"/>
      <c r="BA829" s="222"/>
      <c r="BB829" s="222"/>
      <c r="BC829" s="222"/>
      <c r="BD829" s="222"/>
      <c r="BE829" s="222"/>
      <c r="BF829" s="222"/>
      <c r="BG829" s="222"/>
      <c r="BH829" s="222"/>
      <c r="BI829" s="222"/>
      <c r="BJ829" s="222"/>
      <c r="BK829" s="222"/>
      <c r="BL829" s="222"/>
      <c r="BM829" s="222"/>
      <c r="BN829" s="222"/>
      <c r="BO829" s="222"/>
      <c r="BP829" s="222"/>
      <c r="BQ829" s="222"/>
      <c r="BR829" s="222"/>
      <c r="BS829" s="222"/>
      <c r="BT829" s="222"/>
      <c r="BU829" s="222"/>
      <c r="BV829" s="222"/>
      <c r="BW829" s="222"/>
      <c r="BX829" s="222"/>
      <c r="BY829" s="222"/>
      <c r="BZ829" s="222"/>
      <c r="CA829" s="222"/>
      <c r="CB829" s="222"/>
      <c r="CC829" s="222"/>
      <c r="CD829" s="222"/>
      <c r="CE829" s="222"/>
      <c r="CF829" s="222"/>
      <c r="CG829" s="222"/>
      <c r="CH829" s="222"/>
      <c r="CI829" s="222"/>
      <c r="CJ829" s="222"/>
      <c r="CK829" s="222"/>
      <c r="CL829" s="222"/>
      <c r="CM829" s="222"/>
      <c r="CN829" s="222"/>
      <c r="CO829" s="222"/>
      <c r="CP829" s="222"/>
      <c r="CQ829" s="222"/>
      <c r="CR829" s="222"/>
      <c r="CS829" s="222"/>
    </row>
    <row r="830">
      <c r="A830" s="43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  <c r="AC830" s="222"/>
      <c r="AD830" s="222"/>
      <c r="AE830" s="222"/>
      <c r="AF830" s="222"/>
      <c r="AG830" s="222"/>
      <c r="AH830" s="222"/>
      <c r="AI830" s="222"/>
      <c r="AJ830" s="222"/>
      <c r="AK830" s="222"/>
      <c r="AL830" s="222"/>
      <c r="AM830" s="222"/>
      <c r="AN830" s="222"/>
      <c r="AO830" s="222"/>
      <c r="AP830" s="222"/>
      <c r="AQ830" s="222"/>
      <c r="AR830" s="222"/>
      <c r="AS830" s="222"/>
      <c r="AT830" s="222"/>
      <c r="AU830" s="222"/>
      <c r="AV830" s="222"/>
      <c r="AW830" s="222"/>
      <c r="AX830" s="222"/>
      <c r="AY830" s="222"/>
      <c r="AZ830" s="222"/>
      <c r="BA830" s="222"/>
      <c r="BB830" s="222"/>
      <c r="BC830" s="222"/>
      <c r="BD830" s="222"/>
      <c r="BE830" s="222"/>
      <c r="BF830" s="222"/>
      <c r="BG830" s="222"/>
      <c r="BH830" s="222"/>
      <c r="BI830" s="222"/>
      <c r="BJ830" s="222"/>
      <c r="BK830" s="222"/>
      <c r="BL830" s="222"/>
      <c r="BM830" s="222"/>
      <c r="BN830" s="222"/>
      <c r="BO830" s="222"/>
      <c r="BP830" s="222"/>
      <c r="BQ830" s="222"/>
      <c r="BR830" s="222"/>
      <c r="BS830" s="222"/>
      <c r="BT830" s="222"/>
      <c r="BU830" s="222"/>
      <c r="BV830" s="222"/>
      <c r="BW830" s="222"/>
      <c r="BX830" s="222"/>
      <c r="BY830" s="222"/>
      <c r="BZ830" s="222"/>
      <c r="CA830" s="222"/>
      <c r="CB830" s="222"/>
      <c r="CC830" s="222"/>
      <c r="CD830" s="222"/>
      <c r="CE830" s="222"/>
      <c r="CF830" s="222"/>
      <c r="CG830" s="222"/>
      <c r="CH830" s="222"/>
      <c r="CI830" s="222"/>
      <c r="CJ830" s="222"/>
      <c r="CK830" s="222"/>
      <c r="CL830" s="222"/>
      <c r="CM830" s="222"/>
      <c r="CN830" s="222"/>
      <c r="CO830" s="222"/>
      <c r="CP830" s="222"/>
      <c r="CQ830" s="222"/>
      <c r="CR830" s="222"/>
      <c r="CS830" s="222"/>
    </row>
    <row r="831">
      <c r="A831" s="43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  <c r="AC831" s="222"/>
      <c r="AD831" s="222"/>
      <c r="AE831" s="222"/>
      <c r="AF831" s="222"/>
      <c r="AG831" s="222"/>
      <c r="AH831" s="222"/>
      <c r="AI831" s="222"/>
      <c r="AJ831" s="222"/>
      <c r="AK831" s="222"/>
      <c r="AL831" s="222"/>
      <c r="AM831" s="222"/>
      <c r="AN831" s="222"/>
      <c r="AO831" s="222"/>
      <c r="AP831" s="222"/>
      <c r="AQ831" s="222"/>
      <c r="AR831" s="222"/>
      <c r="AS831" s="222"/>
      <c r="AT831" s="222"/>
      <c r="AU831" s="222"/>
      <c r="AV831" s="222"/>
      <c r="AW831" s="222"/>
      <c r="AX831" s="222"/>
      <c r="AY831" s="222"/>
      <c r="AZ831" s="222"/>
      <c r="BA831" s="222"/>
      <c r="BB831" s="222"/>
      <c r="BC831" s="222"/>
      <c r="BD831" s="222"/>
      <c r="BE831" s="222"/>
      <c r="BF831" s="222"/>
      <c r="BG831" s="222"/>
      <c r="BH831" s="222"/>
      <c r="BI831" s="222"/>
      <c r="BJ831" s="222"/>
      <c r="BK831" s="222"/>
      <c r="BL831" s="222"/>
      <c r="BM831" s="222"/>
      <c r="BN831" s="222"/>
      <c r="BO831" s="222"/>
      <c r="BP831" s="222"/>
      <c r="BQ831" s="222"/>
      <c r="BR831" s="222"/>
      <c r="BS831" s="222"/>
      <c r="BT831" s="222"/>
      <c r="BU831" s="222"/>
      <c r="BV831" s="222"/>
      <c r="BW831" s="222"/>
      <c r="BX831" s="222"/>
      <c r="BY831" s="222"/>
      <c r="BZ831" s="222"/>
      <c r="CA831" s="222"/>
      <c r="CB831" s="222"/>
      <c r="CC831" s="222"/>
      <c r="CD831" s="222"/>
      <c r="CE831" s="222"/>
      <c r="CF831" s="222"/>
      <c r="CG831" s="222"/>
      <c r="CH831" s="222"/>
      <c r="CI831" s="222"/>
      <c r="CJ831" s="222"/>
      <c r="CK831" s="222"/>
      <c r="CL831" s="222"/>
      <c r="CM831" s="222"/>
      <c r="CN831" s="222"/>
      <c r="CO831" s="222"/>
      <c r="CP831" s="222"/>
      <c r="CQ831" s="222"/>
      <c r="CR831" s="222"/>
      <c r="CS831" s="222"/>
    </row>
    <row r="832">
      <c r="A832" s="43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  <c r="AC832" s="222"/>
      <c r="AD832" s="222"/>
      <c r="AE832" s="222"/>
      <c r="AF832" s="222"/>
      <c r="AG832" s="222"/>
      <c r="AH832" s="222"/>
      <c r="AI832" s="222"/>
      <c r="AJ832" s="222"/>
      <c r="AK832" s="222"/>
      <c r="AL832" s="222"/>
      <c r="AM832" s="222"/>
      <c r="AN832" s="222"/>
      <c r="AO832" s="222"/>
      <c r="AP832" s="222"/>
      <c r="AQ832" s="222"/>
      <c r="AR832" s="222"/>
      <c r="AS832" s="222"/>
      <c r="AT832" s="222"/>
      <c r="AU832" s="222"/>
      <c r="AV832" s="222"/>
      <c r="AW832" s="222"/>
      <c r="AX832" s="222"/>
      <c r="AY832" s="222"/>
      <c r="AZ832" s="222"/>
      <c r="BA832" s="222"/>
      <c r="BB832" s="222"/>
      <c r="BC832" s="222"/>
      <c r="BD832" s="222"/>
      <c r="BE832" s="222"/>
      <c r="BF832" s="222"/>
      <c r="BG832" s="222"/>
      <c r="BH832" s="222"/>
      <c r="BI832" s="222"/>
      <c r="BJ832" s="222"/>
      <c r="BK832" s="222"/>
      <c r="BL832" s="222"/>
      <c r="BM832" s="222"/>
      <c r="BN832" s="222"/>
      <c r="BO832" s="222"/>
      <c r="BP832" s="222"/>
      <c r="BQ832" s="222"/>
      <c r="BR832" s="222"/>
      <c r="BS832" s="222"/>
      <c r="BT832" s="222"/>
      <c r="BU832" s="222"/>
      <c r="BV832" s="222"/>
      <c r="BW832" s="222"/>
      <c r="BX832" s="222"/>
      <c r="BY832" s="222"/>
      <c r="BZ832" s="222"/>
      <c r="CA832" s="222"/>
      <c r="CB832" s="222"/>
      <c r="CC832" s="222"/>
      <c r="CD832" s="222"/>
      <c r="CE832" s="222"/>
      <c r="CF832" s="222"/>
      <c r="CG832" s="222"/>
      <c r="CH832" s="222"/>
      <c r="CI832" s="222"/>
      <c r="CJ832" s="222"/>
      <c r="CK832" s="222"/>
      <c r="CL832" s="222"/>
      <c r="CM832" s="222"/>
      <c r="CN832" s="222"/>
      <c r="CO832" s="222"/>
      <c r="CP832" s="222"/>
      <c r="CQ832" s="222"/>
      <c r="CR832" s="222"/>
      <c r="CS832" s="222"/>
    </row>
    <row r="833">
      <c r="A833" s="43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  <c r="AC833" s="222"/>
      <c r="AD833" s="222"/>
      <c r="AE833" s="222"/>
      <c r="AF833" s="222"/>
      <c r="AG833" s="222"/>
      <c r="AH833" s="222"/>
      <c r="AI833" s="222"/>
      <c r="AJ833" s="222"/>
      <c r="AK833" s="222"/>
      <c r="AL833" s="222"/>
      <c r="AM833" s="222"/>
      <c r="AN833" s="222"/>
      <c r="AO833" s="222"/>
      <c r="AP833" s="222"/>
      <c r="AQ833" s="222"/>
      <c r="AR833" s="222"/>
      <c r="AS833" s="222"/>
      <c r="AT833" s="222"/>
      <c r="AU833" s="222"/>
      <c r="AV833" s="222"/>
      <c r="AW833" s="222"/>
      <c r="AX833" s="222"/>
      <c r="AY833" s="222"/>
      <c r="AZ833" s="222"/>
      <c r="BA833" s="222"/>
      <c r="BB833" s="222"/>
      <c r="BC833" s="222"/>
      <c r="BD833" s="222"/>
      <c r="BE833" s="222"/>
      <c r="BF833" s="222"/>
      <c r="BG833" s="222"/>
      <c r="BH833" s="222"/>
      <c r="BI833" s="222"/>
      <c r="BJ833" s="222"/>
      <c r="BK833" s="222"/>
      <c r="BL833" s="222"/>
      <c r="BM833" s="222"/>
      <c r="BN833" s="222"/>
      <c r="BO833" s="222"/>
      <c r="BP833" s="222"/>
      <c r="BQ833" s="222"/>
      <c r="BR833" s="222"/>
      <c r="BS833" s="222"/>
      <c r="BT833" s="222"/>
      <c r="BU833" s="222"/>
      <c r="BV833" s="222"/>
      <c r="BW833" s="222"/>
      <c r="BX833" s="222"/>
      <c r="BY833" s="222"/>
      <c r="BZ833" s="222"/>
      <c r="CA833" s="222"/>
      <c r="CB833" s="222"/>
      <c r="CC833" s="222"/>
      <c r="CD833" s="222"/>
      <c r="CE833" s="222"/>
      <c r="CF833" s="222"/>
      <c r="CG833" s="222"/>
      <c r="CH833" s="222"/>
      <c r="CI833" s="222"/>
      <c r="CJ833" s="222"/>
      <c r="CK833" s="222"/>
      <c r="CL833" s="222"/>
      <c r="CM833" s="222"/>
      <c r="CN833" s="222"/>
      <c r="CO833" s="222"/>
      <c r="CP833" s="222"/>
      <c r="CQ833" s="222"/>
      <c r="CR833" s="222"/>
      <c r="CS833" s="222"/>
    </row>
    <row r="834">
      <c r="A834" s="43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  <c r="AC834" s="222"/>
      <c r="AD834" s="222"/>
      <c r="AE834" s="222"/>
      <c r="AF834" s="222"/>
      <c r="AG834" s="222"/>
      <c r="AH834" s="222"/>
      <c r="AI834" s="222"/>
      <c r="AJ834" s="222"/>
      <c r="AK834" s="222"/>
      <c r="AL834" s="222"/>
      <c r="AM834" s="222"/>
      <c r="AN834" s="222"/>
      <c r="AO834" s="222"/>
      <c r="AP834" s="222"/>
      <c r="AQ834" s="222"/>
      <c r="AR834" s="222"/>
      <c r="AS834" s="222"/>
      <c r="AT834" s="222"/>
      <c r="AU834" s="222"/>
      <c r="AV834" s="222"/>
      <c r="AW834" s="222"/>
      <c r="AX834" s="222"/>
      <c r="AY834" s="222"/>
      <c r="AZ834" s="222"/>
      <c r="BA834" s="222"/>
      <c r="BB834" s="222"/>
      <c r="BC834" s="222"/>
      <c r="BD834" s="222"/>
      <c r="BE834" s="222"/>
      <c r="BF834" s="222"/>
      <c r="BG834" s="222"/>
      <c r="BH834" s="222"/>
      <c r="BI834" s="222"/>
      <c r="BJ834" s="222"/>
      <c r="BK834" s="222"/>
      <c r="BL834" s="222"/>
      <c r="BM834" s="222"/>
      <c r="BN834" s="222"/>
      <c r="BO834" s="222"/>
      <c r="BP834" s="222"/>
      <c r="BQ834" s="222"/>
      <c r="BR834" s="222"/>
      <c r="BS834" s="222"/>
      <c r="BT834" s="222"/>
      <c r="BU834" s="222"/>
      <c r="BV834" s="222"/>
      <c r="BW834" s="222"/>
      <c r="BX834" s="222"/>
      <c r="BY834" s="222"/>
      <c r="BZ834" s="222"/>
      <c r="CA834" s="222"/>
      <c r="CB834" s="222"/>
      <c r="CC834" s="222"/>
      <c r="CD834" s="222"/>
      <c r="CE834" s="222"/>
      <c r="CF834" s="222"/>
      <c r="CG834" s="222"/>
      <c r="CH834" s="222"/>
      <c r="CI834" s="222"/>
      <c r="CJ834" s="222"/>
      <c r="CK834" s="222"/>
      <c r="CL834" s="222"/>
      <c r="CM834" s="222"/>
      <c r="CN834" s="222"/>
      <c r="CO834" s="222"/>
      <c r="CP834" s="222"/>
      <c r="CQ834" s="222"/>
      <c r="CR834" s="222"/>
      <c r="CS834" s="222"/>
    </row>
    <row r="835">
      <c r="A835" s="43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  <c r="AC835" s="222"/>
      <c r="AD835" s="222"/>
      <c r="AE835" s="222"/>
      <c r="AF835" s="222"/>
      <c r="AG835" s="222"/>
      <c r="AH835" s="222"/>
      <c r="AI835" s="222"/>
      <c r="AJ835" s="222"/>
      <c r="AK835" s="222"/>
      <c r="AL835" s="222"/>
      <c r="AM835" s="222"/>
      <c r="AN835" s="222"/>
      <c r="AO835" s="222"/>
      <c r="AP835" s="222"/>
      <c r="AQ835" s="222"/>
      <c r="AR835" s="222"/>
      <c r="AS835" s="222"/>
      <c r="AT835" s="222"/>
      <c r="AU835" s="222"/>
      <c r="AV835" s="222"/>
      <c r="AW835" s="222"/>
      <c r="AX835" s="222"/>
      <c r="AY835" s="222"/>
      <c r="AZ835" s="222"/>
      <c r="BA835" s="222"/>
      <c r="BB835" s="222"/>
      <c r="BC835" s="222"/>
      <c r="BD835" s="222"/>
      <c r="BE835" s="222"/>
      <c r="BF835" s="222"/>
      <c r="BG835" s="222"/>
      <c r="BH835" s="222"/>
      <c r="BI835" s="222"/>
      <c r="BJ835" s="222"/>
      <c r="BK835" s="222"/>
      <c r="BL835" s="222"/>
      <c r="BM835" s="222"/>
      <c r="BN835" s="222"/>
      <c r="BO835" s="222"/>
      <c r="BP835" s="222"/>
      <c r="BQ835" s="222"/>
      <c r="BR835" s="222"/>
      <c r="BS835" s="222"/>
      <c r="BT835" s="222"/>
      <c r="BU835" s="222"/>
      <c r="BV835" s="222"/>
      <c r="BW835" s="222"/>
      <c r="BX835" s="222"/>
      <c r="BY835" s="222"/>
      <c r="BZ835" s="222"/>
      <c r="CA835" s="222"/>
      <c r="CB835" s="222"/>
      <c r="CC835" s="222"/>
      <c r="CD835" s="222"/>
      <c r="CE835" s="222"/>
      <c r="CF835" s="222"/>
      <c r="CG835" s="222"/>
      <c r="CH835" s="222"/>
      <c r="CI835" s="222"/>
      <c r="CJ835" s="222"/>
      <c r="CK835" s="222"/>
      <c r="CL835" s="222"/>
      <c r="CM835" s="222"/>
      <c r="CN835" s="222"/>
      <c r="CO835" s="222"/>
      <c r="CP835" s="222"/>
      <c r="CQ835" s="222"/>
      <c r="CR835" s="222"/>
      <c r="CS835" s="222"/>
    </row>
    <row r="836">
      <c r="A836" s="43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  <c r="AC836" s="222"/>
      <c r="AD836" s="222"/>
      <c r="AE836" s="222"/>
      <c r="AF836" s="222"/>
      <c r="AG836" s="222"/>
      <c r="AH836" s="222"/>
      <c r="AI836" s="222"/>
      <c r="AJ836" s="222"/>
      <c r="AK836" s="222"/>
      <c r="AL836" s="222"/>
      <c r="AM836" s="222"/>
      <c r="AN836" s="222"/>
      <c r="AO836" s="222"/>
      <c r="AP836" s="222"/>
      <c r="AQ836" s="222"/>
      <c r="AR836" s="222"/>
      <c r="AS836" s="222"/>
      <c r="AT836" s="222"/>
      <c r="AU836" s="222"/>
      <c r="AV836" s="222"/>
      <c r="AW836" s="222"/>
      <c r="AX836" s="222"/>
      <c r="AY836" s="222"/>
      <c r="AZ836" s="222"/>
      <c r="BA836" s="222"/>
      <c r="BB836" s="222"/>
      <c r="BC836" s="222"/>
      <c r="BD836" s="222"/>
      <c r="BE836" s="222"/>
      <c r="BF836" s="222"/>
      <c r="BG836" s="222"/>
      <c r="BH836" s="222"/>
      <c r="BI836" s="222"/>
      <c r="BJ836" s="222"/>
      <c r="BK836" s="222"/>
      <c r="BL836" s="222"/>
      <c r="BM836" s="222"/>
      <c r="BN836" s="222"/>
      <c r="BO836" s="222"/>
      <c r="BP836" s="222"/>
      <c r="BQ836" s="222"/>
      <c r="BR836" s="222"/>
      <c r="BS836" s="222"/>
      <c r="BT836" s="222"/>
      <c r="BU836" s="222"/>
      <c r="BV836" s="222"/>
      <c r="BW836" s="222"/>
      <c r="BX836" s="222"/>
      <c r="BY836" s="222"/>
      <c r="BZ836" s="222"/>
      <c r="CA836" s="222"/>
      <c r="CB836" s="222"/>
      <c r="CC836" s="222"/>
      <c r="CD836" s="222"/>
      <c r="CE836" s="222"/>
      <c r="CF836" s="222"/>
      <c r="CG836" s="222"/>
      <c r="CH836" s="222"/>
      <c r="CI836" s="222"/>
      <c r="CJ836" s="222"/>
      <c r="CK836" s="222"/>
      <c r="CL836" s="222"/>
      <c r="CM836" s="222"/>
      <c r="CN836" s="222"/>
      <c r="CO836" s="222"/>
      <c r="CP836" s="222"/>
      <c r="CQ836" s="222"/>
      <c r="CR836" s="222"/>
      <c r="CS836" s="222"/>
    </row>
    <row r="837">
      <c r="A837" s="43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  <c r="AC837" s="222"/>
      <c r="AD837" s="222"/>
      <c r="AE837" s="222"/>
      <c r="AF837" s="222"/>
      <c r="AG837" s="222"/>
      <c r="AH837" s="222"/>
      <c r="AI837" s="222"/>
      <c r="AJ837" s="222"/>
      <c r="AK837" s="222"/>
      <c r="AL837" s="222"/>
      <c r="AM837" s="222"/>
      <c r="AN837" s="222"/>
      <c r="AO837" s="222"/>
      <c r="AP837" s="222"/>
      <c r="AQ837" s="222"/>
      <c r="AR837" s="222"/>
      <c r="AS837" s="222"/>
      <c r="AT837" s="222"/>
      <c r="AU837" s="222"/>
      <c r="AV837" s="222"/>
      <c r="AW837" s="222"/>
      <c r="AX837" s="222"/>
      <c r="AY837" s="222"/>
      <c r="AZ837" s="222"/>
      <c r="BA837" s="222"/>
      <c r="BB837" s="222"/>
      <c r="BC837" s="222"/>
      <c r="BD837" s="222"/>
      <c r="BE837" s="222"/>
      <c r="BF837" s="222"/>
      <c r="BG837" s="222"/>
      <c r="BH837" s="222"/>
      <c r="BI837" s="222"/>
      <c r="BJ837" s="222"/>
      <c r="BK837" s="222"/>
      <c r="BL837" s="222"/>
      <c r="BM837" s="222"/>
      <c r="BN837" s="222"/>
      <c r="BO837" s="222"/>
      <c r="BP837" s="222"/>
      <c r="BQ837" s="222"/>
      <c r="BR837" s="222"/>
      <c r="BS837" s="222"/>
      <c r="BT837" s="222"/>
      <c r="BU837" s="222"/>
      <c r="BV837" s="222"/>
      <c r="BW837" s="222"/>
      <c r="BX837" s="222"/>
      <c r="BY837" s="222"/>
      <c r="BZ837" s="222"/>
      <c r="CA837" s="222"/>
      <c r="CB837" s="222"/>
      <c r="CC837" s="222"/>
      <c r="CD837" s="222"/>
      <c r="CE837" s="222"/>
      <c r="CF837" s="222"/>
      <c r="CG837" s="222"/>
      <c r="CH837" s="222"/>
      <c r="CI837" s="222"/>
      <c r="CJ837" s="222"/>
      <c r="CK837" s="222"/>
      <c r="CL837" s="222"/>
      <c r="CM837" s="222"/>
      <c r="CN837" s="222"/>
      <c r="CO837" s="222"/>
      <c r="CP837" s="222"/>
      <c r="CQ837" s="222"/>
      <c r="CR837" s="222"/>
      <c r="CS837" s="222"/>
    </row>
    <row r="838">
      <c r="A838" s="43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  <c r="AC838" s="222"/>
      <c r="AD838" s="222"/>
      <c r="AE838" s="222"/>
      <c r="AF838" s="222"/>
      <c r="AG838" s="222"/>
      <c r="AH838" s="222"/>
      <c r="AI838" s="222"/>
      <c r="AJ838" s="222"/>
      <c r="AK838" s="222"/>
      <c r="AL838" s="222"/>
      <c r="AM838" s="222"/>
      <c r="AN838" s="222"/>
      <c r="AO838" s="222"/>
      <c r="AP838" s="222"/>
      <c r="AQ838" s="222"/>
      <c r="AR838" s="222"/>
      <c r="AS838" s="222"/>
      <c r="AT838" s="222"/>
      <c r="AU838" s="222"/>
      <c r="AV838" s="222"/>
      <c r="AW838" s="222"/>
      <c r="AX838" s="222"/>
      <c r="AY838" s="222"/>
      <c r="AZ838" s="222"/>
      <c r="BA838" s="222"/>
      <c r="BB838" s="222"/>
      <c r="BC838" s="222"/>
      <c r="BD838" s="222"/>
      <c r="BE838" s="222"/>
      <c r="BF838" s="222"/>
      <c r="BG838" s="222"/>
      <c r="BH838" s="222"/>
      <c r="BI838" s="222"/>
      <c r="BJ838" s="222"/>
      <c r="BK838" s="222"/>
      <c r="BL838" s="222"/>
      <c r="BM838" s="222"/>
      <c r="BN838" s="222"/>
      <c r="BO838" s="222"/>
      <c r="BP838" s="222"/>
      <c r="BQ838" s="222"/>
      <c r="BR838" s="222"/>
      <c r="BS838" s="222"/>
      <c r="BT838" s="222"/>
      <c r="BU838" s="222"/>
      <c r="BV838" s="222"/>
      <c r="BW838" s="222"/>
      <c r="BX838" s="222"/>
      <c r="BY838" s="222"/>
      <c r="BZ838" s="222"/>
      <c r="CA838" s="222"/>
      <c r="CB838" s="222"/>
      <c r="CC838" s="222"/>
      <c r="CD838" s="222"/>
      <c r="CE838" s="222"/>
      <c r="CF838" s="222"/>
      <c r="CG838" s="222"/>
      <c r="CH838" s="222"/>
      <c r="CI838" s="222"/>
      <c r="CJ838" s="222"/>
      <c r="CK838" s="222"/>
      <c r="CL838" s="222"/>
      <c r="CM838" s="222"/>
      <c r="CN838" s="222"/>
      <c r="CO838" s="222"/>
      <c r="CP838" s="222"/>
      <c r="CQ838" s="222"/>
      <c r="CR838" s="222"/>
      <c r="CS838" s="222"/>
    </row>
    <row r="839">
      <c r="A839" s="43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  <c r="AC839" s="222"/>
      <c r="AD839" s="222"/>
      <c r="AE839" s="222"/>
      <c r="AF839" s="222"/>
      <c r="AG839" s="222"/>
      <c r="AH839" s="222"/>
      <c r="AI839" s="222"/>
      <c r="AJ839" s="222"/>
      <c r="AK839" s="222"/>
      <c r="AL839" s="222"/>
      <c r="AM839" s="222"/>
      <c r="AN839" s="222"/>
      <c r="AO839" s="222"/>
      <c r="AP839" s="222"/>
      <c r="AQ839" s="222"/>
      <c r="AR839" s="222"/>
      <c r="AS839" s="222"/>
      <c r="AT839" s="222"/>
      <c r="AU839" s="222"/>
      <c r="AV839" s="222"/>
      <c r="AW839" s="222"/>
      <c r="AX839" s="222"/>
      <c r="AY839" s="222"/>
      <c r="AZ839" s="222"/>
      <c r="BA839" s="222"/>
      <c r="BB839" s="222"/>
      <c r="BC839" s="222"/>
      <c r="BD839" s="222"/>
      <c r="BE839" s="222"/>
      <c r="BF839" s="222"/>
      <c r="BG839" s="222"/>
      <c r="BH839" s="222"/>
      <c r="BI839" s="222"/>
      <c r="BJ839" s="222"/>
      <c r="BK839" s="222"/>
      <c r="BL839" s="222"/>
      <c r="BM839" s="222"/>
      <c r="BN839" s="222"/>
      <c r="BO839" s="222"/>
      <c r="BP839" s="222"/>
      <c r="BQ839" s="222"/>
      <c r="BR839" s="222"/>
      <c r="BS839" s="222"/>
      <c r="BT839" s="222"/>
      <c r="BU839" s="222"/>
      <c r="BV839" s="222"/>
      <c r="BW839" s="222"/>
      <c r="BX839" s="222"/>
      <c r="BY839" s="222"/>
      <c r="BZ839" s="222"/>
      <c r="CA839" s="222"/>
      <c r="CB839" s="222"/>
      <c r="CC839" s="222"/>
      <c r="CD839" s="222"/>
      <c r="CE839" s="222"/>
      <c r="CF839" s="222"/>
      <c r="CG839" s="222"/>
      <c r="CH839" s="222"/>
      <c r="CI839" s="222"/>
      <c r="CJ839" s="222"/>
      <c r="CK839" s="222"/>
      <c r="CL839" s="222"/>
      <c r="CM839" s="222"/>
      <c r="CN839" s="222"/>
      <c r="CO839" s="222"/>
      <c r="CP839" s="222"/>
      <c r="CQ839" s="222"/>
      <c r="CR839" s="222"/>
      <c r="CS839" s="222"/>
    </row>
    <row r="840">
      <c r="A840" s="43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  <c r="AC840" s="222"/>
      <c r="AD840" s="222"/>
      <c r="AE840" s="222"/>
      <c r="AF840" s="222"/>
      <c r="AG840" s="222"/>
      <c r="AH840" s="222"/>
      <c r="AI840" s="222"/>
      <c r="AJ840" s="222"/>
      <c r="AK840" s="222"/>
      <c r="AL840" s="222"/>
      <c r="AM840" s="222"/>
      <c r="AN840" s="222"/>
      <c r="AO840" s="222"/>
      <c r="AP840" s="222"/>
      <c r="AQ840" s="222"/>
      <c r="AR840" s="222"/>
      <c r="AS840" s="222"/>
      <c r="AT840" s="222"/>
      <c r="AU840" s="222"/>
      <c r="AV840" s="222"/>
      <c r="AW840" s="222"/>
      <c r="AX840" s="222"/>
      <c r="AY840" s="222"/>
      <c r="AZ840" s="222"/>
      <c r="BA840" s="222"/>
      <c r="BB840" s="222"/>
      <c r="BC840" s="222"/>
      <c r="BD840" s="222"/>
      <c r="BE840" s="222"/>
      <c r="BF840" s="222"/>
      <c r="BG840" s="222"/>
      <c r="BH840" s="222"/>
      <c r="BI840" s="222"/>
      <c r="BJ840" s="222"/>
      <c r="BK840" s="222"/>
      <c r="BL840" s="222"/>
      <c r="BM840" s="222"/>
      <c r="BN840" s="222"/>
      <c r="BO840" s="222"/>
      <c r="BP840" s="222"/>
      <c r="BQ840" s="222"/>
      <c r="BR840" s="222"/>
      <c r="BS840" s="222"/>
      <c r="BT840" s="222"/>
      <c r="BU840" s="222"/>
      <c r="BV840" s="222"/>
      <c r="BW840" s="222"/>
      <c r="BX840" s="222"/>
      <c r="BY840" s="222"/>
      <c r="BZ840" s="222"/>
      <c r="CA840" s="222"/>
      <c r="CB840" s="222"/>
      <c r="CC840" s="222"/>
      <c r="CD840" s="222"/>
      <c r="CE840" s="222"/>
      <c r="CF840" s="222"/>
      <c r="CG840" s="222"/>
      <c r="CH840" s="222"/>
      <c r="CI840" s="222"/>
      <c r="CJ840" s="222"/>
      <c r="CK840" s="222"/>
      <c r="CL840" s="222"/>
      <c r="CM840" s="222"/>
      <c r="CN840" s="222"/>
      <c r="CO840" s="222"/>
      <c r="CP840" s="222"/>
      <c r="CQ840" s="222"/>
      <c r="CR840" s="222"/>
      <c r="CS840" s="222"/>
    </row>
    <row r="841">
      <c r="A841" s="43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  <c r="AC841" s="222"/>
      <c r="AD841" s="222"/>
      <c r="AE841" s="222"/>
      <c r="AF841" s="222"/>
      <c r="AG841" s="222"/>
      <c r="AH841" s="222"/>
      <c r="AI841" s="222"/>
      <c r="AJ841" s="222"/>
      <c r="AK841" s="222"/>
      <c r="AL841" s="222"/>
      <c r="AM841" s="222"/>
      <c r="AN841" s="222"/>
      <c r="AO841" s="222"/>
      <c r="AP841" s="222"/>
      <c r="AQ841" s="222"/>
      <c r="AR841" s="222"/>
      <c r="AS841" s="222"/>
      <c r="AT841" s="222"/>
      <c r="AU841" s="222"/>
      <c r="AV841" s="222"/>
      <c r="AW841" s="222"/>
      <c r="AX841" s="222"/>
      <c r="AY841" s="222"/>
      <c r="AZ841" s="222"/>
      <c r="BA841" s="222"/>
      <c r="BB841" s="222"/>
      <c r="BC841" s="222"/>
      <c r="BD841" s="222"/>
      <c r="BE841" s="222"/>
      <c r="BF841" s="222"/>
      <c r="BG841" s="222"/>
      <c r="BH841" s="222"/>
      <c r="BI841" s="222"/>
      <c r="BJ841" s="222"/>
      <c r="BK841" s="222"/>
      <c r="BL841" s="222"/>
      <c r="BM841" s="222"/>
      <c r="BN841" s="222"/>
      <c r="BO841" s="222"/>
      <c r="BP841" s="222"/>
      <c r="BQ841" s="222"/>
      <c r="BR841" s="222"/>
      <c r="BS841" s="222"/>
      <c r="BT841" s="222"/>
      <c r="BU841" s="222"/>
      <c r="BV841" s="222"/>
      <c r="BW841" s="222"/>
      <c r="BX841" s="222"/>
      <c r="BY841" s="222"/>
      <c r="BZ841" s="222"/>
      <c r="CA841" s="222"/>
      <c r="CB841" s="222"/>
      <c r="CC841" s="222"/>
      <c r="CD841" s="222"/>
      <c r="CE841" s="222"/>
      <c r="CF841" s="222"/>
      <c r="CG841" s="222"/>
      <c r="CH841" s="222"/>
      <c r="CI841" s="222"/>
      <c r="CJ841" s="222"/>
      <c r="CK841" s="222"/>
      <c r="CL841" s="222"/>
      <c r="CM841" s="222"/>
      <c r="CN841" s="222"/>
      <c r="CO841" s="222"/>
      <c r="CP841" s="222"/>
      <c r="CQ841" s="222"/>
      <c r="CR841" s="222"/>
      <c r="CS841" s="222"/>
    </row>
    <row r="842">
      <c r="A842" s="43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2"/>
      <c r="AE842" s="222"/>
      <c r="AF842" s="222"/>
      <c r="AG842" s="222"/>
      <c r="AH842" s="222"/>
      <c r="AI842" s="222"/>
      <c r="AJ842" s="222"/>
      <c r="AK842" s="222"/>
      <c r="AL842" s="222"/>
      <c r="AM842" s="222"/>
      <c r="AN842" s="222"/>
      <c r="AO842" s="222"/>
      <c r="AP842" s="222"/>
      <c r="AQ842" s="222"/>
      <c r="AR842" s="222"/>
      <c r="AS842" s="222"/>
      <c r="AT842" s="222"/>
      <c r="AU842" s="222"/>
      <c r="AV842" s="222"/>
      <c r="AW842" s="222"/>
      <c r="AX842" s="222"/>
      <c r="AY842" s="222"/>
      <c r="AZ842" s="222"/>
      <c r="BA842" s="222"/>
      <c r="BB842" s="222"/>
      <c r="BC842" s="222"/>
      <c r="BD842" s="222"/>
      <c r="BE842" s="222"/>
      <c r="BF842" s="222"/>
      <c r="BG842" s="222"/>
      <c r="BH842" s="222"/>
      <c r="BI842" s="222"/>
      <c r="BJ842" s="222"/>
      <c r="BK842" s="222"/>
      <c r="BL842" s="222"/>
      <c r="BM842" s="222"/>
      <c r="BN842" s="222"/>
      <c r="BO842" s="222"/>
      <c r="BP842" s="222"/>
      <c r="BQ842" s="222"/>
      <c r="BR842" s="222"/>
      <c r="BS842" s="222"/>
      <c r="BT842" s="222"/>
      <c r="BU842" s="222"/>
      <c r="BV842" s="222"/>
      <c r="BW842" s="222"/>
      <c r="BX842" s="222"/>
      <c r="BY842" s="222"/>
      <c r="BZ842" s="222"/>
      <c r="CA842" s="222"/>
      <c r="CB842" s="222"/>
      <c r="CC842" s="222"/>
      <c r="CD842" s="222"/>
      <c r="CE842" s="222"/>
      <c r="CF842" s="222"/>
      <c r="CG842" s="222"/>
      <c r="CH842" s="222"/>
      <c r="CI842" s="222"/>
      <c r="CJ842" s="222"/>
      <c r="CK842" s="222"/>
      <c r="CL842" s="222"/>
      <c r="CM842" s="222"/>
      <c r="CN842" s="222"/>
      <c r="CO842" s="222"/>
      <c r="CP842" s="222"/>
      <c r="CQ842" s="222"/>
      <c r="CR842" s="222"/>
      <c r="CS842" s="222"/>
    </row>
    <row r="843">
      <c r="A843" s="43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  <c r="AF843" s="222"/>
      <c r="AG843" s="222"/>
      <c r="AH843" s="222"/>
      <c r="AI843" s="222"/>
      <c r="AJ843" s="222"/>
      <c r="AK843" s="222"/>
      <c r="AL843" s="222"/>
      <c r="AM843" s="222"/>
      <c r="AN843" s="222"/>
      <c r="AO843" s="222"/>
      <c r="AP843" s="222"/>
      <c r="AQ843" s="222"/>
      <c r="AR843" s="222"/>
      <c r="AS843" s="222"/>
      <c r="AT843" s="222"/>
      <c r="AU843" s="222"/>
      <c r="AV843" s="222"/>
      <c r="AW843" s="222"/>
      <c r="AX843" s="222"/>
      <c r="AY843" s="222"/>
      <c r="AZ843" s="222"/>
      <c r="BA843" s="222"/>
      <c r="BB843" s="222"/>
      <c r="BC843" s="222"/>
      <c r="BD843" s="222"/>
      <c r="BE843" s="222"/>
      <c r="BF843" s="222"/>
      <c r="BG843" s="222"/>
      <c r="BH843" s="222"/>
      <c r="BI843" s="222"/>
      <c r="BJ843" s="222"/>
      <c r="BK843" s="222"/>
      <c r="BL843" s="222"/>
      <c r="BM843" s="222"/>
      <c r="BN843" s="222"/>
      <c r="BO843" s="222"/>
      <c r="BP843" s="222"/>
      <c r="BQ843" s="222"/>
      <c r="BR843" s="222"/>
      <c r="BS843" s="222"/>
      <c r="BT843" s="222"/>
      <c r="BU843" s="222"/>
      <c r="BV843" s="222"/>
      <c r="BW843" s="222"/>
      <c r="BX843" s="222"/>
      <c r="BY843" s="222"/>
      <c r="BZ843" s="222"/>
      <c r="CA843" s="222"/>
      <c r="CB843" s="222"/>
      <c r="CC843" s="222"/>
      <c r="CD843" s="222"/>
      <c r="CE843" s="222"/>
      <c r="CF843" s="222"/>
      <c r="CG843" s="222"/>
      <c r="CH843" s="222"/>
      <c r="CI843" s="222"/>
      <c r="CJ843" s="222"/>
      <c r="CK843" s="222"/>
      <c r="CL843" s="222"/>
      <c r="CM843" s="222"/>
      <c r="CN843" s="222"/>
      <c r="CO843" s="222"/>
      <c r="CP843" s="222"/>
      <c r="CQ843" s="222"/>
      <c r="CR843" s="222"/>
      <c r="CS843" s="222"/>
    </row>
    <row r="844">
      <c r="A844" s="43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  <c r="AC844" s="222"/>
      <c r="AD844" s="222"/>
      <c r="AE844" s="222"/>
      <c r="AF844" s="222"/>
      <c r="AG844" s="222"/>
      <c r="AH844" s="222"/>
      <c r="AI844" s="222"/>
      <c r="AJ844" s="222"/>
      <c r="AK844" s="222"/>
      <c r="AL844" s="222"/>
      <c r="AM844" s="222"/>
      <c r="AN844" s="222"/>
      <c r="AO844" s="222"/>
      <c r="AP844" s="222"/>
      <c r="AQ844" s="222"/>
      <c r="AR844" s="222"/>
      <c r="AS844" s="222"/>
      <c r="AT844" s="222"/>
      <c r="AU844" s="222"/>
      <c r="AV844" s="222"/>
      <c r="AW844" s="222"/>
      <c r="AX844" s="222"/>
      <c r="AY844" s="222"/>
      <c r="AZ844" s="222"/>
      <c r="BA844" s="222"/>
      <c r="BB844" s="222"/>
      <c r="BC844" s="222"/>
      <c r="BD844" s="222"/>
      <c r="BE844" s="222"/>
      <c r="BF844" s="222"/>
      <c r="BG844" s="222"/>
      <c r="BH844" s="222"/>
      <c r="BI844" s="222"/>
      <c r="BJ844" s="222"/>
      <c r="BK844" s="222"/>
      <c r="BL844" s="222"/>
      <c r="BM844" s="222"/>
      <c r="BN844" s="222"/>
      <c r="BO844" s="222"/>
      <c r="BP844" s="222"/>
      <c r="BQ844" s="222"/>
      <c r="BR844" s="222"/>
      <c r="BS844" s="222"/>
      <c r="BT844" s="222"/>
      <c r="BU844" s="222"/>
      <c r="BV844" s="222"/>
      <c r="BW844" s="222"/>
      <c r="BX844" s="222"/>
      <c r="BY844" s="222"/>
      <c r="BZ844" s="222"/>
      <c r="CA844" s="222"/>
      <c r="CB844" s="222"/>
      <c r="CC844" s="222"/>
      <c r="CD844" s="222"/>
      <c r="CE844" s="222"/>
      <c r="CF844" s="222"/>
      <c r="CG844" s="222"/>
      <c r="CH844" s="222"/>
      <c r="CI844" s="222"/>
      <c r="CJ844" s="222"/>
      <c r="CK844" s="222"/>
      <c r="CL844" s="222"/>
      <c r="CM844" s="222"/>
      <c r="CN844" s="222"/>
      <c r="CO844" s="222"/>
      <c r="CP844" s="222"/>
      <c r="CQ844" s="222"/>
      <c r="CR844" s="222"/>
      <c r="CS844" s="222"/>
    </row>
    <row r="845">
      <c r="A845" s="43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  <c r="AC845" s="222"/>
      <c r="AD845" s="222"/>
      <c r="AE845" s="222"/>
      <c r="AF845" s="222"/>
      <c r="AG845" s="222"/>
      <c r="AH845" s="222"/>
      <c r="AI845" s="222"/>
      <c r="AJ845" s="222"/>
      <c r="AK845" s="222"/>
      <c r="AL845" s="222"/>
      <c r="AM845" s="222"/>
      <c r="AN845" s="222"/>
      <c r="AO845" s="222"/>
      <c r="AP845" s="222"/>
      <c r="AQ845" s="222"/>
      <c r="AR845" s="222"/>
      <c r="AS845" s="222"/>
      <c r="AT845" s="222"/>
      <c r="AU845" s="222"/>
      <c r="AV845" s="222"/>
      <c r="AW845" s="222"/>
      <c r="AX845" s="222"/>
      <c r="AY845" s="222"/>
      <c r="AZ845" s="222"/>
      <c r="BA845" s="222"/>
      <c r="BB845" s="222"/>
      <c r="BC845" s="222"/>
      <c r="BD845" s="222"/>
      <c r="BE845" s="222"/>
      <c r="BF845" s="222"/>
      <c r="BG845" s="222"/>
      <c r="BH845" s="222"/>
      <c r="BI845" s="222"/>
      <c r="BJ845" s="222"/>
      <c r="BK845" s="222"/>
      <c r="BL845" s="222"/>
      <c r="BM845" s="222"/>
      <c r="BN845" s="222"/>
      <c r="BO845" s="222"/>
      <c r="BP845" s="222"/>
      <c r="BQ845" s="222"/>
      <c r="BR845" s="222"/>
      <c r="BS845" s="222"/>
      <c r="BT845" s="222"/>
      <c r="BU845" s="222"/>
      <c r="BV845" s="222"/>
      <c r="BW845" s="222"/>
      <c r="BX845" s="222"/>
      <c r="BY845" s="222"/>
      <c r="BZ845" s="222"/>
      <c r="CA845" s="222"/>
      <c r="CB845" s="222"/>
      <c r="CC845" s="222"/>
      <c r="CD845" s="222"/>
      <c r="CE845" s="222"/>
      <c r="CF845" s="222"/>
      <c r="CG845" s="222"/>
      <c r="CH845" s="222"/>
      <c r="CI845" s="222"/>
      <c r="CJ845" s="222"/>
      <c r="CK845" s="222"/>
      <c r="CL845" s="222"/>
      <c r="CM845" s="222"/>
      <c r="CN845" s="222"/>
      <c r="CO845" s="222"/>
      <c r="CP845" s="222"/>
      <c r="CQ845" s="222"/>
      <c r="CR845" s="222"/>
      <c r="CS845" s="222"/>
    </row>
    <row r="846">
      <c r="A846" s="43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  <c r="AC846" s="222"/>
      <c r="AD846" s="222"/>
      <c r="AE846" s="222"/>
      <c r="AF846" s="222"/>
      <c r="AG846" s="222"/>
      <c r="AH846" s="222"/>
      <c r="AI846" s="222"/>
      <c r="AJ846" s="222"/>
      <c r="AK846" s="222"/>
      <c r="AL846" s="222"/>
      <c r="AM846" s="222"/>
      <c r="AN846" s="222"/>
      <c r="AO846" s="222"/>
      <c r="AP846" s="222"/>
      <c r="AQ846" s="222"/>
      <c r="AR846" s="222"/>
      <c r="AS846" s="222"/>
      <c r="AT846" s="222"/>
      <c r="AU846" s="222"/>
      <c r="AV846" s="222"/>
      <c r="AW846" s="222"/>
      <c r="AX846" s="222"/>
      <c r="AY846" s="222"/>
      <c r="AZ846" s="222"/>
      <c r="BA846" s="222"/>
      <c r="BB846" s="222"/>
      <c r="BC846" s="222"/>
      <c r="BD846" s="222"/>
      <c r="BE846" s="222"/>
      <c r="BF846" s="222"/>
      <c r="BG846" s="222"/>
      <c r="BH846" s="222"/>
      <c r="BI846" s="222"/>
      <c r="BJ846" s="222"/>
      <c r="BK846" s="222"/>
      <c r="BL846" s="222"/>
      <c r="BM846" s="222"/>
      <c r="BN846" s="222"/>
      <c r="BO846" s="222"/>
      <c r="BP846" s="222"/>
      <c r="BQ846" s="222"/>
      <c r="BR846" s="222"/>
      <c r="BS846" s="222"/>
      <c r="BT846" s="222"/>
      <c r="BU846" s="222"/>
      <c r="BV846" s="222"/>
      <c r="BW846" s="222"/>
      <c r="BX846" s="222"/>
      <c r="BY846" s="222"/>
      <c r="BZ846" s="222"/>
      <c r="CA846" s="222"/>
      <c r="CB846" s="222"/>
      <c r="CC846" s="222"/>
      <c r="CD846" s="222"/>
      <c r="CE846" s="222"/>
      <c r="CF846" s="222"/>
      <c r="CG846" s="222"/>
      <c r="CH846" s="222"/>
      <c r="CI846" s="222"/>
      <c r="CJ846" s="222"/>
      <c r="CK846" s="222"/>
      <c r="CL846" s="222"/>
      <c r="CM846" s="222"/>
      <c r="CN846" s="222"/>
      <c r="CO846" s="222"/>
      <c r="CP846" s="222"/>
      <c r="CQ846" s="222"/>
      <c r="CR846" s="222"/>
      <c r="CS846" s="222"/>
    </row>
    <row r="847">
      <c r="A847" s="43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  <c r="AC847" s="222"/>
      <c r="AD847" s="222"/>
      <c r="AE847" s="222"/>
      <c r="AF847" s="222"/>
      <c r="AG847" s="222"/>
      <c r="AH847" s="222"/>
      <c r="AI847" s="222"/>
      <c r="AJ847" s="222"/>
      <c r="AK847" s="222"/>
      <c r="AL847" s="222"/>
      <c r="AM847" s="222"/>
      <c r="AN847" s="222"/>
      <c r="AO847" s="222"/>
      <c r="AP847" s="222"/>
      <c r="AQ847" s="222"/>
      <c r="AR847" s="222"/>
      <c r="AS847" s="222"/>
      <c r="AT847" s="222"/>
      <c r="AU847" s="222"/>
      <c r="AV847" s="222"/>
      <c r="AW847" s="222"/>
      <c r="AX847" s="222"/>
      <c r="AY847" s="222"/>
      <c r="AZ847" s="222"/>
      <c r="BA847" s="222"/>
      <c r="BB847" s="222"/>
      <c r="BC847" s="222"/>
      <c r="BD847" s="222"/>
      <c r="BE847" s="222"/>
      <c r="BF847" s="222"/>
      <c r="BG847" s="222"/>
      <c r="BH847" s="222"/>
      <c r="BI847" s="222"/>
      <c r="BJ847" s="222"/>
      <c r="BK847" s="222"/>
      <c r="BL847" s="222"/>
      <c r="BM847" s="222"/>
      <c r="BN847" s="222"/>
      <c r="BO847" s="222"/>
      <c r="BP847" s="222"/>
      <c r="BQ847" s="222"/>
      <c r="BR847" s="222"/>
      <c r="BS847" s="222"/>
      <c r="BT847" s="222"/>
      <c r="BU847" s="222"/>
      <c r="BV847" s="222"/>
      <c r="BW847" s="222"/>
      <c r="BX847" s="222"/>
      <c r="BY847" s="222"/>
      <c r="BZ847" s="222"/>
      <c r="CA847" s="222"/>
      <c r="CB847" s="222"/>
      <c r="CC847" s="222"/>
      <c r="CD847" s="222"/>
      <c r="CE847" s="222"/>
      <c r="CF847" s="222"/>
      <c r="CG847" s="222"/>
      <c r="CH847" s="222"/>
      <c r="CI847" s="222"/>
      <c r="CJ847" s="222"/>
      <c r="CK847" s="222"/>
      <c r="CL847" s="222"/>
      <c r="CM847" s="222"/>
      <c r="CN847" s="222"/>
      <c r="CO847" s="222"/>
      <c r="CP847" s="222"/>
      <c r="CQ847" s="222"/>
      <c r="CR847" s="222"/>
      <c r="CS847" s="222"/>
    </row>
    <row r="848">
      <c r="A848" s="43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  <c r="AC848" s="222"/>
      <c r="AD848" s="222"/>
      <c r="AE848" s="222"/>
      <c r="AF848" s="222"/>
      <c r="AG848" s="222"/>
      <c r="AH848" s="222"/>
      <c r="AI848" s="222"/>
      <c r="AJ848" s="222"/>
      <c r="AK848" s="222"/>
      <c r="AL848" s="222"/>
      <c r="AM848" s="222"/>
      <c r="AN848" s="222"/>
      <c r="AO848" s="222"/>
      <c r="AP848" s="222"/>
      <c r="AQ848" s="222"/>
      <c r="AR848" s="222"/>
      <c r="AS848" s="222"/>
      <c r="AT848" s="222"/>
      <c r="AU848" s="222"/>
      <c r="AV848" s="222"/>
      <c r="AW848" s="222"/>
      <c r="AX848" s="222"/>
      <c r="AY848" s="222"/>
      <c r="AZ848" s="222"/>
      <c r="BA848" s="222"/>
      <c r="BB848" s="222"/>
      <c r="BC848" s="222"/>
      <c r="BD848" s="222"/>
      <c r="BE848" s="222"/>
      <c r="BF848" s="222"/>
      <c r="BG848" s="222"/>
      <c r="BH848" s="222"/>
      <c r="BI848" s="222"/>
      <c r="BJ848" s="222"/>
      <c r="BK848" s="222"/>
      <c r="BL848" s="222"/>
      <c r="BM848" s="222"/>
      <c r="BN848" s="222"/>
      <c r="BO848" s="222"/>
      <c r="BP848" s="222"/>
      <c r="BQ848" s="222"/>
      <c r="BR848" s="222"/>
      <c r="BS848" s="222"/>
      <c r="BT848" s="222"/>
      <c r="BU848" s="222"/>
      <c r="BV848" s="222"/>
      <c r="BW848" s="222"/>
      <c r="BX848" s="222"/>
      <c r="BY848" s="222"/>
      <c r="BZ848" s="222"/>
      <c r="CA848" s="222"/>
      <c r="CB848" s="222"/>
      <c r="CC848" s="222"/>
      <c r="CD848" s="222"/>
      <c r="CE848" s="222"/>
      <c r="CF848" s="222"/>
      <c r="CG848" s="222"/>
      <c r="CH848" s="222"/>
      <c r="CI848" s="222"/>
      <c r="CJ848" s="222"/>
      <c r="CK848" s="222"/>
      <c r="CL848" s="222"/>
      <c r="CM848" s="222"/>
      <c r="CN848" s="222"/>
      <c r="CO848" s="222"/>
      <c r="CP848" s="222"/>
      <c r="CQ848" s="222"/>
      <c r="CR848" s="222"/>
      <c r="CS848" s="222"/>
    </row>
    <row r="849">
      <c r="A849" s="43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  <c r="AC849" s="222"/>
      <c r="AD849" s="222"/>
      <c r="AE849" s="222"/>
      <c r="AF849" s="222"/>
      <c r="AG849" s="222"/>
      <c r="AH849" s="222"/>
      <c r="AI849" s="222"/>
      <c r="AJ849" s="222"/>
      <c r="AK849" s="222"/>
      <c r="AL849" s="222"/>
      <c r="AM849" s="222"/>
      <c r="AN849" s="222"/>
      <c r="AO849" s="222"/>
      <c r="AP849" s="222"/>
      <c r="AQ849" s="222"/>
      <c r="AR849" s="222"/>
      <c r="AS849" s="222"/>
      <c r="AT849" s="222"/>
      <c r="AU849" s="222"/>
      <c r="AV849" s="222"/>
      <c r="AW849" s="222"/>
      <c r="AX849" s="222"/>
      <c r="AY849" s="222"/>
      <c r="AZ849" s="222"/>
      <c r="BA849" s="222"/>
      <c r="BB849" s="222"/>
      <c r="BC849" s="222"/>
      <c r="BD849" s="222"/>
      <c r="BE849" s="222"/>
      <c r="BF849" s="222"/>
      <c r="BG849" s="222"/>
      <c r="BH849" s="222"/>
      <c r="BI849" s="222"/>
      <c r="BJ849" s="222"/>
      <c r="BK849" s="222"/>
      <c r="BL849" s="222"/>
      <c r="BM849" s="222"/>
      <c r="BN849" s="222"/>
      <c r="BO849" s="222"/>
      <c r="BP849" s="222"/>
      <c r="BQ849" s="222"/>
      <c r="BR849" s="222"/>
      <c r="BS849" s="222"/>
      <c r="BT849" s="222"/>
      <c r="BU849" s="222"/>
      <c r="BV849" s="222"/>
      <c r="BW849" s="222"/>
      <c r="BX849" s="222"/>
      <c r="BY849" s="222"/>
      <c r="BZ849" s="222"/>
      <c r="CA849" s="222"/>
      <c r="CB849" s="222"/>
      <c r="CC849" s="222"/>
      <c r="CD849" s="222"/>
      <c r="CE849" s="222"/>
      <c r="CF849" s="222"/>
      <c r="CG849" s="222"/>
      <c r="CH849" s="222"/>
      <c r="CI849" s="222"/>
      <c r="CJ849" s="222"/>
      <c r="CK849" s="222"/>
      <c r="CL849" s="222"/>
      <c r="CM849" s="222"/>
      <c r="CN849" s="222"/>
      <c r="CO849" s="222"/>
      <c r="CP849" s="222"/>
      <c r="CQ849" s="222"/>
      <c r="CR849" s="222"/>
      <c r="CS849" s="222"/>
    </row>
    <row r="850">
      <c r="A850" s="43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  <c r="AC850" s="222"/>
      <c r="AD850" s="222"/>
      <c r="AE850" s="222"/>
      <c r="AF850" s="222"/>
      <c r="AG850" s="222"/>
      <c r="AH850" s="222"/>
      <c r="AI850" s="222"/>
      <c r="AJ850" s="222"/>
      <c r="AK850" s="222"/>
      <c r="AL850" s="222"/>
      <c r="AM850" s="222"/>
      <c r="AN850" s="222"/>
      <c r="AO850" s="222"/>
      <c r="AP850" s="222"/>
      <c r="AQ850" s="222"/>
      <c r="AR850" s="222"/>
      <c r="AS850" s="222"/>
      <c r="AT850" s="222"/>
      <c r="AU850" s="222"/>
      <c r="AV850" s="222"/>
      <c r="AW850" s="222"/>
      <c r="AX850" s="222"/>
      <c r="AY850" s="222"/>
      <c r="AZ850" s="222"/>
      <c r="BA850" s="222"/>
      <c r="BB850" s="222"/>
      <c r="BC850" s="222"/>
      <c r="BD850" s="222"/>
      <c r="BE850" s="222"/>
      <c r="BF850" s="222"/>
      <c r="BG850" s="222"/>
      <c r="BH850" s="222"/>
      <c r="BI850" s="222"/>
      <c r="BJ850" s="222"/>
      <c r="BK850" s="222"/>
      <c r="BL850" s="222"/>
      <c r="BM850" s="222"/>
      <c r="BN850" s="222"/>
      <c r="BO850" s="222"/>
      <c r="BP850" s="222"/>
      <c r="BQ850" s="222"/>
      <c r="BR850" s="222"/>
      <c r="BS850" s="222"/>
      <c r="BT850" s="222"/>
      <c r="BU850" s="222"/>
      <c r="BV850" s="222"/>
      <c r="BW850" s="222"/>
      <c r="BX850" s="222"/>
      <c r="BY850" s="222"/>
      <c r="BZ850" s="222"/>
      <c r="CA850" s="222"/>
      <c r="CB850" s="222"/>
      <c r="CC850" s="222"/>
      <c r="CD850" s="222"/>
      <c r="CE850" s="222"/>
      <c r="CF850" s="222"/>
      <c r="CG850" s="222"/>
      <c r="CH850" s="222"/>
      <c r="CI850" s="222"/>
      <c r="CJ850" s="222"/>
      <c r="CK850" s="222"/>
      <c r="CL850" s="222"/>
      <c r="CM850" s="222"/>
      <c r="CN850" s="222"/>
      <c r="CO850" s="222"/>
      <c r="CP850" s="222"/>
      <c r="CQ850" s="222"/>
      <c r="CR850" s="222"/>
      <c r="CS850" s="222"/>
    </row>
    <row r="851">
      <c r="A851" s="43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  <c r="AC851" s="222"/>
      <c r="AD851" s="222"/>
      <c r="AE851" s="222"/>
      <c r="AF851" s="222"/>
      <c r="AG851" s="222"/>
      <c r="AH851" s="222"/>
      <c r="AI851" s="222"/>
      <c r="AJ851" s="222"/>
      <c r="AK851" s="222"/>
      <c r="AL851" s="222"/>
      <c r="AM851" s="222"/>
      <c r="AN851" s="222"/>
      <c r="AO851" s="222"/>
      <c r="AP851" s="222"/>
      <c r="AQ851" s="222"/>
      <c r="AR851" s="222"/>
      <c r="AS851" s="222"/>
      <c r="AT851" s="222"/>
      <c r="AU851" s="222"/>
      <c r="AV851" s="222"/>
      <c r="AW851" s="222"/>
      <c r="AX851" s="222"/>
      <c r="AY851" s="222"/>
      <c r="AZ851" s="222"/>
      <c r="BA851" s="222"/>
      <c r="BB851" s="222"/>
      <c r="BC851" s="222"/>
      <c r="BD851" s="222"/>
      <c r="BE851" s="222"/>
      <c r="BF851" s="222"/>
      <c r="BG851" s="222"/>
      <c r="BH851" s="222"/>
      <c r="BI851" s="222"/>
      <c r="BJ851" s="222"/>
      <c r="BK851" s="222"/>
      <c r="BL851" s="222"/>
      <c r="BM851" s="222"/>
      <c r="BN851" s="222"/>
      <c r="BO851" s="222"/>
      <c r="BP851" s="222"/>
      <c r="BQ851" s="222"/>
      <c r="BR851" s="222"/>
      <c r="BS851" s="222"/>
      <c r="BT851" s="222"/>
      <c r="BU851" s="222"/>
      <c r="BV851" s="222"/>
      <c r="BW851" s="222"/>
      <c r="BX851" s="222"/>
      <c r="BY851" s="222"/>
      <c r="BZ851" s="222"/>
      <c r="CA851" s="222"/>
      <c r="CB851" s="222"/>
      <c r="CC851" s="222"/>
      <c r="CD851" s="222"/>
      <c r="CE851" s="222"/>
      <c r="CF851" s="222"/>
      <c r="CG851" s="222"/>
      <c r="CH851" s="222"/>
      <c r="CI851" s="222"/>
      <c r="CJ851" s="222"/>
      <c r="CK851" s="222"/>
      <c r="CL851" s="222"/>
      <c r="CM851" s="222"/>
      <c r="CN851" s="222"/>
      <c r="CO851" s="222"/>
      <c r="CP851" s="222"/>
      <c r="CQ851" s="222"/>
      <c r="CR851" s="222"/>
      <c r="CS851" s="222"/>
    </row>
    <row r="852">
      <c r="A852" s="43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  <c r="AC852" s="222"/>
      <c r="AD852" s="222"/>
      <c r="AE852" s="222"/>
      <c r="AF852" s="222"/>
      <c r="AG852" s="222"/>
      <c r="AH852" s="222"/>
      <c r="AI852" s="222"/>
      <c r="AJ852" s="222"/>
      <c r="AK852" s="222"/>
      <c r="AL852" s="222"/>
      <c r="AM852" s="222"/>
      <c r="AN852" s="222"/>
      <c r="AO852" s="222"/>
      <c r="AP852" s="222"/>
      <c r="AQ852" s="222"/>
      <c r="AR852" s="222"/>
      <c r="AS852" s="222"/>
      <c r="AT852" s="222"/>
      <c r="AU852" s="222"/>
      <c r="AV852" s="222"/>
      <c r="AW852" s="222"/>
      <c r="AX852" s="222"/>
      <c r="AY852" s="222"/>
      <c r="AZ852" s="222"/>
      <c r="BA852" s="222"/>
      <c r="BB852" s="222"/>
      <c r="BC852" s="222"/>
      <c r="BD852" s="222"/>
      <c r="BE852" s="222"/>
      <c r="BF852" s="222"/>
      <c r="BG852" s="222"/>
      <c r="BH852" s="222"/>
      <c r="BI852" s="222"/>
      <c r="BJ852" s="222"/>
      <c r="BK852" s="222"/>
      <c r="BL852" s="222"/>
      <c r="BM852" s="222"/>
      <c r="BN852" s="222"/>
      <c r="BO852" s="222"/>
      <c r="BP852" s="222"/>
      <c r="BQ852" s="222"/>
      <c r="BR852" s="222"/>
      <c r="BS852" s="222"/>
      <c r="BT852" s="222"/>
      <c r="BU852" s="222"/>
      <c r="BV852" s="222"/>
      <c r="BW852" s="222"/>
      <c r="BX852" s="222"/>
      <c r="BY852" s="222"/>
      <c r="BZ852" s="222"/>
      <c r="CA852" s="222"/>
      <c r="CB852" s="222"/>
      <c r="CC852" s="222"/>
      <c r="CD852" s="222"/>
      <c r="CE852" s="222"/>
      <c r="CF852" s="222"/>
      <c r="CG852" s="222"/>
      <c r="CH852" s="222"/>
      <c r="CI852" s="222"/>
      <c r="CJ852" s="222"/>
      <c r="CK852" s="222"/>
      <c r="CL852" s="222"/>
      <c r="CM852" s="222"/>
      <c r="CN852" s="222"/>
      <c r="CO852" s="222"/>
      <c r="CP852" s="222"/>
      <c r="CQ852" s="222"/>
      <c r="CR852" s="222"/>
      <c r="CS852" s="222"/>
    </row>
    <row r="853">
      <c r="A853" s="43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  <c r="AC853" s="222"/>
      <c r="AD853" s="222"/>
      <c r="AE853" s="222"/>
      <c r="AF853" s="222"/>
      <c r="AG853" s="222"/>
      <c r="AH853" s="222"/>
      <c r="AI853" s="222"/>
      <c r="AJ853" s="222"/>
      <c r="AK853" s="222"/>
      <c r="AL853" s="222"/>
      <c r="AM853" s="222"/>
      <c r="AN853" s="222"/>
      <c r="AO853" s="222"/>
      <c r="AP853" s="222"/>
      <c r="AQ853" s="222"/>
      <c r="AR853" s="222"/>
      <c r="AS853" s="222"/>
      <c r="AT853" s="222"/>
      <c r="AU853" s="222"/>
      <c r="AV853" s="222"/>
      <c r="AW853" s="222"/>
      <c r="AX853" s="222"/>
      <c r="AY853" s="222"/>
      <c r="AZ853" s="222"/>
      <c r="BA853" s="222"/>
      <c r="BB853" s="222"/>
      <c r="BC853" s="222"/>
      <c r="BD853" s="222"/>
      <c r="BE853" s="222"/>
      <c r="BF853" s="222"/>
      <c r="BG853" s="222"/>
      <c r="BH853" s="222"/>
      <c r="BI853" s="222"/>
      <c r="BJ853" s="222"/>
      <c r="BK853" s="222"/>
      <c r="BL853" s="222"/>
      <c r="BM853" s="222"/>
      <c r="BN853" s="222"/>
      <c r="BO853" s="222"/>
      <c r="BP853" s="222"/>
      <c r="BQ853" s="222"/>
      <c r="BR853" s="222"/>
      <c r="BS853" s="222"/>
      <c r="BT853" s="222"/>
      <c r="BU853" s="222"/>
      <c r="BV853" s="222"/>
      <c r="BW853" s="222"/>
      <c r="BX853" s="222"/>
      <c r="BY853" s="222"/>
      <c r="BZ853" s="222"/>
      <c r="CA853" s="222"/>
      <c r="CB853" s="222"/>
      <c r="CC853" s="222"/>
      <c r="CD853" s="222"/>
      <c r="CE853" s="222"/>
      <c r="CF853" s="222"/>
      <c r="CG853" s="222"/>
      <c r="CH853" s="222"/>
      <c r="CI853" s="222"/>
      <c r="CJ853" s="222"/>
      <c r="CK853" s="222"/>
      <c r="CL853" s="222"/>
      <c r="CM853" s="222"/>
      <c r="CN853" s="222"/>
      <c r="CO853" s="222"/>
      <c r="CP853" s="222"/>
      <c r="CQ853" s="222"/>
      <c r="CR853" s="222"/>
      <c r="CS853" s="222"/>
    </row>
    <row r="854">
      <c r="A854" s="43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  <c r="AC854" s="222"/>
      <c r="AD854" s="222"/>
      <c r="AE854" s="222"/>
      <c r="AF854" s="222"/>
      <c r="AG854" s="222"/>
      <c r="AH854" s="222"/>
      <c r="AI854" s="222"/>
      <c r="AJ854" s="222"/>
      <c r="AK854" s="222"/>
      <c r="AL854" s="222"/>
      <c r="AM854" s="222"/>
      <c r="AN854" s="222"/>
      <c r="AO854" s="222"/>
      <c r="AP854" s="222"/>
      <c r="AQ854" s="222"/>
      <c r="AR854" s="222"/>
      <c r="AS854" s="222"/>
      <c r="AT854" s="222"/>
      <c r="AU854" s="222"/>
      <c r="AV854" s="222"/>
      <c r="AW854" s="222"/>
      <c r="AX854" s="222"/>
      <c r="AY854" s="222"/>
      <c r="AZ854" s="222"/>
      <c r="BA854" s="222"/>
      <c r="BB854" s="222"/>
      <c r="BC854" s="222"/>
      <c r="BD854" s="222"/>
      <c r="BE854" s="222"/>
      <c r="BF854" s="222"/>
      <c r="BG854" s="222"/>
      <c r="BH854" s="222"/>
      <c r="BI854" s="222"/>
      <c r="BJ854" s="222"/>
      <c r="BK854" s="222"/>
      <c r="BL854" s="222"/>
      <c r="BM854" s="222"/>
      <c r="BN854" s="222"/>
      <c r="BO854" s="222"/>
      <c r="BP854" s="222"/>
      <c r="BQ854" s="222"/>
      <c r="BR854" s="222"/>
      <c r="BS854" s="222"/>
      <c r="BT854" s="222"/>
      <c r="BU854" s="222"/>
      <c r="BV854" s="222"/>
      <c r="BW854" s="222"/>
      <c r="BX854" s="222"/>
      <c r="BY854" s="222"/>
      <c r="BZ854" s="222"/>
      <c r="CA854" s="222"/>
      <c r="CB854" s="222"/>
      <c r="CC854" s="222"/>
      <c r="CD854" s="222"/>
      <c r="CE854" s="222"/>
      <c r="CF854" s="222"/>
      <c r="CG854" s="222"/>
      <c r="CH854" s="222"/>
      <c r="CI854" s="222"/>
      <c r="CJ854" s="222"/>
      <c r="CK854" s="222"/>
      <c r="CL854" s="222"/>
      <c r="CM854" s="222"/>
      <c r="CN854" s="222"/>
      <c r="CO854" s="222"/>
      <c r="CP854" s="222"/>
      <c r="CQ854" s="222"/>
      <c r="CR854" s="222"/>
      <c r="CS854" s="222"/>
    </row>
    <row r="855">
      <c r="A855" s="43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  <c r="AC855" s="222"/>
      <c r="AD855" s="222"/>
      <c r="AE855" s="222"/>
      <c r="AF855" s="222"/>
      <c r="AG855" s="222"/>
      <c r="AH855" s="222"/>
      <c r="AI855" s="222"/>
      <c r="AJ855" s="222"/>
      <c r="AK855" s="222"/>
      <c r="AL855" s="222"/>
      <c r="AM855" s="222"/>
      <c r="AN855" s="222"/>
      <c r="AO855" s="222"/>
      <c r="AP855" s="222"/>
      <c r="AQ855" s="222"/>
      <c r="AR855" s="222"/>
      <c r="AS855" s="222"/>
      <c r="AT855" s="222"/>
      <c r="AU855" s="222"/>
      <c r="AV855" s="222"/>
      <c r="AW855" s="222"/>
      <c r="AX855" s="222"/>
      <c r="AY855" s="222"/>
      <c r="AZ855" s="222"/>
      <c r="BA855" s="222"/>
      <c r="BB855" s="222"/>
      <c r="BC855" s="222"/>
      <c r="BD855" s="222"/>
      <c r="BE855" s="222"/>
      <c r="BF855" s="222"/>
      <c r="BG855" s="222"/>
      <c r="BH855" s="222"/>
      <c r="BI855" s="222"/>
      <c r="BJ855" s="222"/>
      <c r="BK855" s="222"/>
      <c r="BL855" s="222"/>
      <c r="BM855" s="222"/>
      <c r="BN855" s="222"/>
      <c r="BO855" s="222"/>
      <c r="BP855" s="222"/>
      <c r="BQ855" s="222"/>
      <c r="BR855" s="222"/>
      <c r="BS855" s="222"/>
      <c r="BT855" s="222"/>
      <c r="BU855" s="222"/>
      <c r="BV855" s="222"/>
      <c r="BW855" s="222"/>
      <c r="BX855" s="222"/>
      <c r="BY855" s="222"/>
      <c r="BZ855" s="222"/>
      <c r="CA855" s="222"/>
      <c r="CB855" s="222"/>
      <c r="CC855" s="222"/>
      <c r="CD855" s="222"/>
      <c r="CE855" s="222"/>
      <c r="CF855" s="222"/>
      <c r="CG855" s="222"/>
      <c r="CH855" s="222"/>
      <c r="CI855" s="222"/>
      <c r="CJ855" s="222"/>
      <c r="CK855" s="222"/>
      <c r="CL855" s="222"/>
      <c r="CM855" s="222"/>
      <c r="CN855" s="222"/>
      <c r="CO855" s="222"/>
      <c r="CP855" s="222"/>
      <c r="CQ855" s="222"/>
      <c r="CR855" s="222"/>
      <c r="CS855" s="222"/>
    </row>
    <row r="856">
      <c r="A856" s="43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  <c r="AC856" s="222"/>
      <c r="AD856" s="222"/>
      <c r="AE856" s="222"/>
      <c r="AF856" s="222"/>
      <c r="AG856" s="222"/>
      <c r="AH856" s="222"/>
      <c r="AI856" s="222"/>
      <c r="AJ856" s="222"/>
      <c r="AK856" s="222"/>
      <c r="AL856" s="222"/>
      <c r="AM856" s="222"/>
      <c r="AN856" s="222"/>
      <c r="AO856" s="222"/>
      <c r="AP856" s="222"/>
      <c r="AQ856" s="222"/>
      <c r="AR856" s="222"/>
      <c r="AS856" s="222"/>
      <c r="AT856" s="222"/>
      <c r="AU856" s="222"/>
      <c r="AV856" s="222"/>
      <c r="AW856" s="222"/>
      <c r="AX856" s="222"/>
      <c r="AY856" s="222"/>
      <c r="AZ856" s="222"/>
      <c r="BA856" s="222"/>
      <c r="BB856" s="222"/>
      <c r="BC856" s="222"/>
      <c r="BD856" s="222"/>
      <c r="BE856" s="222"/>
      <c r="BF856" s="222"/>
      <c r="BG856" s="222"/>
      <c r="BH856" s="222"/>
      <c r="BI856" s="222"/>
      <c r="BJ856" s="222"/>
      <c r="BK856" s="222"/>
      <c r="BL856" s="222"/>
      <c r="BM856" s="222"/>
      <c r="BN856" s="222"/>
      <c r="BO856" s="222"/>
      <c r="BP856" s="222"/>
      <c r="BQ856" s="222"/>
      <c r="BR856" s="222"/>
      <c r="BS856" s="222"/>
      <c r="BT856" s="222"/>
      <c r="BU856" s="222"/>
      <c r="BV856" s="222"/>
      <c r="BW856" s="222"/>
      <c r="BX856" s="222"/>
      <c r="BY856" s="222"/>
      <c r="BZ856" s="222"/>
      <c r="CA856" s="222"/>
      <c r="CB856" s="222"/>
      <c r="CC856" s="222"/>
      <c r="CD856" s="222"/>
      <c r="CE856" s="222"/>
      <c r="CF856" s="222"/>
      <c r="CG856" s="222"/>
      <c r="CH856" s="222"/>
      <c r="CI856" s="222"/>
      <c r="CJ856" s="222"/>
      <c r="CK856" s="222"/>
      <c r="CL856" s="222"/>
      <c r="CM856" s="222"/>
      <c r="CN856" s="222"/>
      <c r="CO856" s="222"/>
      <c r="CP856" s="222"/>
      <c r="CQ856" s="222"/>
      <c r="CR856" s="222"/>
      <c r="CS856" s="222"/>
    </row>
    <row r="857">
      <c r="A857" s="43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  <c r="AC857" s="222"/>
      <c r="AD857" s="222"/>
      <c r="AE857" s="222"/>
      <c r="AF857" s="222"/>
      <c r="AG857" s="222"/>
      <c r="AH857" s="222"/>
      <c r="AI857" s="222"/>
      <c r="AJ857" s="222"/>
      <c r="AK857" s="222"/>
      <c r="AL857" s="222"/>
      <c r="AM857" s="222"/>
      <c r="AN857" s="222"/>
      <c r="AO857" s="222"/>
      <c r="AP857" s="222"/>
      <c r="AQ857" s="222"/>
      <c r="AR857" s="222"/>
      <c r="AS857" s="222"/>
      <c r="AT857" s="222"/>
      <c r="AU857" s="222"/>
      <c r="AV857" s="222"/>
      <c r="AW857" s="222"/>
      <c r="AX857" s="222"/>
      <c r="AY857" s="222"/>
      <c r="AZ857" s="222"/>
      <c r="BA857" s="222"/>
      <c r="BB857" s="222"/>
      <c r="BC857" s="222"/>
      <c r="BD857" s="222"/>
      <c r="BE857" s="222"/>
      <c r="BF857" s="222"/>
      <c r="BG857" s="222"/>
      <c r="BH857" s="222"/>
      <c r="BI857" s="222"/>
      <c r="BJ857" s="222"/>
      <c r="BK857" s="222"/>
      <c r="BL857" s="222"/>
      <c r="BM857" s="222"/>
      <c r="BN857" s="222"/>
      <c r="BO857" s="222"/>
      <c r="BP857" s="222"/>
      <c r="BQ857" s="222"/>
      <c r="BR857" s="222"/>
      <c r="BS857" s="222"/>
      <c r="BT857" s="222"/>
      <c r="BU857" s="222"/>
      <c r="BV857" s="222"/>
      <c r="BW857" s="222"/>
      <c r="BX857" s="222"/>
      <c r="BY857" s="222"/>
      <c r="BZ857" s="222"/>
      <c r="CA857" s="222"/>
      <c r="CB857" s="222"/>
      <c r="CC857" s="222"/>
      <c r="CD857" s="222"/>
      <c r="CE857" s="222"/>
      <c r="CF857" s="222"/>
      <c r="CG857" s="222"/>
      <c r="CH857" s="222"/>
      <c r="CI857" s="222"/>
      <c r="CJ857" s="222"/>
      <c r="CK857" s="222"/>
      <c r="CL857" s="222"/>
      <c r="CM857" s="222"/>
      <c r="CN857" s="222"/>
      <c r="CO857" s="222"/>
      <c r="CP857" s="222"/>
      <c r="CQ857" s="222"/>
      <c r="CR857" s="222"/>
      <c r="CS857" s="222"/>
    </row>
    <row r="858">
      <c r="A858" s="43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  <c r="AC858" s="222"/>
      <c r="AD858" s="222"/>
      <c r="AE858" s="222"/>
      <c r="AF858" s="222"/>
      <c r="AG858" s="222"/>
      <c r="AH858" s="222"/>
      <c r="AI858" s="222"/>
      <c r="AJ858" s="222"/>
      <c r="AK858" s="222"/>
      <c r="AL858" s="222"/>
      <c r="AM858" s="222"/>
      <c r="AN858" s="222"/>
      <c r="AO858" s="222"/>
      <c r="AP858" s="222"/>
      <c r="AQ858" s="222"/>
      <c r="AR858" s="222"/>
      <c r="AS858" s="222"/>
      <c r="AT858" s="222"/>
      <c r="AU858" s="222"/>
      <c r="AV858" s="222"/>
      <c r="AW858" s="222"/>
      <c r="AX858" s="222"/>
      <c r="AY858" s="222"/>
      <c r="AZ858" s="222"/>
      <c r="BA858" s="222"/>
      <c r="BB858" s="222"/>
      <c r="BC858" s="222"/>
      <c r="BD858" s="222"/>
      <c r="BE858" s="222"/>
      <c r="BF858" s="222"/>
      <c r="BG858" s="222"/>
      <c r="BH858" s="222"/>
      <c r="BI858" s="222"/>
      <c r="BJ858" s="222"/>
      <c r="BK858" s="222"/>
      <c r="BL858" s="222"/>
      <c r="BM858" s="222"/>
      <c r="BN858" s="222"/>
      <c r="BO858" s="222"/>
      <c r="BP858" s="222"/>
      <c r="BQ858" s="222"/>
      <c r="BR858" s="222"/>
      <c r="BS858" s="222"/>
      <c r="BT858" s="222"/>
      <c r="BU858" s="222"/>
      <c r="BV858" s="222"/>
      <c r="BW858" s="222"/>
      <c r="BX858" s="222"/>
      <c r="BY858" s="222"/>
      <c r="BZ858" s="222"/>
      <c r="CA858" s="222"/>
      <c r="CB858" s="222"/>
      <c r="CC858" s="222"/>
      <c r="CD858" s="222"/>
      <c r="CE858" s="222"/>
      <c r="CF858" s="222"/>
      <c r="CG858" s="222"/>
      <c r="CH858" s="222"/>
      <c r="CI858" s="222"/>
      <c r="CJ858" s="222"/>
      <c r="CK858" s="222"/>
      <c r="CL858" s="222"/>
      <c r="CM858" s="222"/>
      <c r="CN858" s="222"/>
      <c r="CO858" s="222"/>
      <c r="CP858" s="222"/>
      <c r="CQ858" s="222"/>
      <c r="CR858" s="222"/>
      <c r="CS858" s="222"/>
    </row>
    <row r="859">
      <c r="A859" s="43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  <c r="AC859" s="222"/>
      <c r="AD859" s="222"/>
      <c r="AE859" s="222"/>
      <c r="AF859" s="222"/>
      <c r="AG859" s="222"/>
      <c r="AH859" s="222"/>
      <c r="AI859" s="222"/>
      <c r="AJ859" s="222"/>
      <c r="AK859" s="222"/>
      <c r="AL859" s="222"/>
      <c r="AM859" s="222"/>
      <c r="AN859" s="222"/>
      <c r="AO859" s="222"/>
      <c r="AP859" s="222"/>
      <c r="AQ859" s="222"/>
      <c r="AR859" s="222"/>
      <c r="AS859" s="222"/>
      <c r="AT859" s="222"/>
      <c r="AU859" s="222"/>
      <c r="AV859" s="222"/>
      <c r="AW859" s="222"/>
      <c r="AX859" s="222"/>
      <c r="AY859" s="222"/>
      <c r="AZ859" s="222"/>
      <c r="BA859" s="222"/>
      <c r="BB859" s="222"/>
      <c r="BC859" s="222"/>
      <c r="BD859" s="222"/>
      <c r="BE859" s="222"/>
      <c r="BF859" s="222"/>
      <c r="BG859" s="222"/>
      <c r="BH859" s="222"/>
      <c r="BI859" s="222"/>
      <c r="BJ859" s="222"/>
      <c r="BK859" s="222"/>
      <c r="BL859" s="222"/>
      <c r="BM859" s="222"/>
      <c r="BN859" s="222"/>
      <c r="BO859" s="222"/>
      <c r="BP859" s="222"/>
      <c r="BQ859" s="222"/>
      <c r="BR859" s="222"/>
      <c r="BS859" s="222"/>
      <c r="BT859" s="222"/>
      <c r="BU859" s="222"/>
      <c r="BV859" s="222"/>
      <c r="BW859" s="222"/>
      <c r="BX859" s="222"/>
      <c r="BY859" s="222"/>
      <c r="BZ859" s="222"/>
      <c r="CA859" s="222"/>
      <c r="CB859" s="222"/>
      <c r="CC859" s="222"/>
      <c r="CD859" s="222"/>
      <c r="CE859" s="222"/>
      <c r="CF859" s="222"/>
      <c r="CG859" s="222"/>
      <c r="CH859" s="222"/>
      <c r="CI859" s="222"/>
      <c r="CJ859" s="222"/>
      <c r="CK859" s="222"/>
      <c r="CL859" s="222"/>
      <c r="CM859" s="222"/>
      <c r="CN859" s="222"/>
      <c r="CO859" s="222"/>
      <c r="CP859" s="222"/>
      <c r="CQ859" s="222"/>
      <c r="CR859" s="222"/>
      <c r="CS859" s="222"/>
    </row>
    <row r="860">
      <c r="A860" s="43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  <c r="AC860" s="222"/>
      <c r="AD860" s="222"/>
      <c r="AE860" s="222"/>
      <c r="AF860" s="222"/>
      <c r="AG860" s="222"/>
      <c r="AH860" s="222"/>
      <c r="AI860" s="222"/>
      <c r="AJ860" s="222"/>
      <c r="AK860" s="222"/>
      <c r="AL860" s="222"/>
      <c r="AM860" s="222"/>
      <c r="AN860" s="222"/>
      <c r="AO860" s="222"/>
      <c r="AP860" s="222"/>
      <c r="AQ860" s="222"/>
      <c r="AR860" s="222"/>
      <c r="AS860" s="222"/>
      <c r="AT860" s="222"/>
      <c r="AU860" s="222"/>
      <c r="AV860" s="222"/>
      <c r="AW860" s="222"/>
      <c r="AX860" s="222"/>
      <c r="AY860" s="222"/>
      <c r="AZ860" s="222"/>
      <c r="BA860" s="222"/>
      <c r="BB860" s="222"/>
      <c r="BC860" s="222"/>
      <c r="BD860" s="222"/>
      <c r="BE860" s="222"/>
      <c r="BF860" s="222"/>
      <c r="BG860" s="222"/>
      <c r="BH860" s="222"/>
      <c r="BI860" s="222"/>
      <c r="BJ860" s="222"/>
      <c r="BK860" s="222"/>
      <c r="BL860" s="222"/>
      <c r="BM860" s="222"/>
      <c r="BN860" s="222"/>
      <c r="BO860" s="222"/>
      <c r="BP860" s="222"/>
      <c r="BQ860" s="222"/>
      <c r="BR860" s="222"/>
      <c r="BS860" s="222"/>
      <c r="BT860" s="222"/>
      <c r="BU860" s="222"/>
      <c r="BV860" s="222"/>
      <c r="BW860" s="222"/>
      <c r="BX860" s="222"/>
      <c r="BY860" s="222"/>
      <c r="BZ860" s="222"/>
      <c r="CA860" s="222"/>
      <c r="CB860" s="222"/>
      <c r="CC860" s="222"/>
      <c r="CD860" s="222"/>
      <c r="CE860" s="222"/>
      <c r="CF860" s="222"/>
      <c r="CG860" s="222"/>
      <c r="CH860" s="222"/>
      <c r="CI860" s="222"/>
      <c r="CJ860" s="222"/>
      <c r="CK860" s="222"/>
      <c r="CL860" s="222"/>
      <c r="CM860" s="222"/>
      <c r="CN860" s="222"/>
      <c r="CO860" s="222"/>
      <c r="CP860" s="222"/>
      <c r="CQ860" s="222"/>
      <c r="CR860" s="222"/>
      <c r="CS860" s="222"/>
    </row>
    <row r="861">
      <c r="A861" s="43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  <c r="AC861" s="222"/>
      <c r="AD861" s="222"/>
      <c r="AE861" s="222"/>
      <c r="AF861" s="222"/>
      <c r="AG861" s="222"/>
      <c r="AH861" s="222"/>
      <c r="AI861" s="222"/>
      <c r="AJ861" s="222"/>
      <c r="AK861" s="222"/>
      <c r="AL861" s="222"/>
      <c r="AM861" s="222"/>
      <c r="AN861" s="222"/>
      <c r="AO861" s="222"/>
      <c r="AP861" s="222"/>
      <c r="AQ861" s="222"/>
      <c r="AR861" s="222"/>
      <c r="AS861" s="222"/>
      <c r="AT861" s="222"/>
      <c r="AU861" s="222"/>
      <c r="AV861" s="222"/>
      <c r="AW861" s="222"/>
      <c r="AX861" s="222"/>
      <c r="AY861" s="222"/>
      <c r="AZ861" s="222"/>
      <c r="BA861" s="222"/>
      <c r="BB861" s="222"/>
      <c r="BC861" s="222"/>
      <c r="BD861" s="222"/>
      <c r="BE861" s="222"/>
      <c r="BF861" s="222"/>
      <c r="BG861" s="222"/>
      <c r="BH861" s="222"/>
      <c r="BI861" s="222"/>
      <c r="BJ861" s="222"/>
      <c r="BK861" s="222"/>
      <c r="BL861" s="222"/>
      <c r="BM861" s="222"/>
      <c r="BN861" s="222"/>
      <c r="BO861" s="222"/>
      <c r="BP861" s="222"/>
      <c r="BQ861" s="222"/>
      <c r="BR861" s="222"/>
      <c r="BS861" s="222"/>
      <c r="BT861" s="222"/>
      <c r="BU861" s="222"/>
      <c r="BV861" s="222"/>
      <c r="BW861" s="222"/>
      <c r="BX861" s="222"/>
      <c r="BY861" s="222"/>
      <c r="BZ861" s="222"/>
      <c r="CA861" s="222"/>
      <c r="CB861" s="222"/>
      <c r="CC861" s="222"/>
      <c r="CD861" s="222"/>
      <c r="CE861" s="222"/>
      <c r="CF861" s="222"/>
      <c r="CG861" s="222"/>
      <c r="CH861" s="222"/>
      <c r="CI861" s="222"/>
      <c r="CJ861" s="222"/>
      <c r="CK861" s="222"/>
      <c r="CL861" s="222"/>
      <c r="CM861" s="222"/>
      <c r="CN861" s="222"/>
      <c r="CO861" s="222"/>
      <c r="CP861" s="222"/>
      <c r="CQ861" s="222"/>
      <c r="CR861" s="222"/>
      <c r="CS861" s="222"/>
    </row>
    <row r="862">
      <c r="A862" s="43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  <c r="AC862" s="222"/>
      <c r="AD862" s="222"/>
      <c r="AE862" s="222"/>
      <c r="AF862" s="222"/>
      <c r="AG862" s="222"/>
      <c r="AH862" s="222"/>
      <c r="AI862" s="222"/>
      <c r="AJ862" s="222"/>
      <c r="AK862" s="222"/>
      <c r="AL862" s="222"/>
      <c r="AM862" s="222"/>
      <c r="AN862" s="222"/>
      <c r="AO862" s="222"/>
      <c r="AP862" s="222"/>
      <c r="AQ862" s="222"/>
      <c r="AR862" s="222"/>
      <c r="AS862" s="222"/>
      <c r="AT862" s="222"/>
      <c r="AU862" s="222"/>
      <c r="AV862" s="222"/>
      <c r="AW862" s="222"/>
      <c r="AX862" s="222"/>
      <c r="AY862" s="222"/>
      <c r="AZ862" s="222"/>
      <c r="BA862" s="222"/>
      <c r="BB862" s="222"/>
      <c r="BC862" s="222"/>
      <c r="BD862" s="222"/>
      <c r="BE862" s="222"/>
      <c r="BF862" s="222"/>
      <c r="BG862" s="222"/>
      <c r="BH862" s="222"/>
      <c r="BI862" s="222"/>
      <c r="BJ862" s="222"/>
      <c r="BK862" s="222"/>
      <c r="BL862" s="222"/>
      <c r="BM862" s="222"/>
      <c r="BN862" s="222"/>
      <c r="BO862" s="222"/>
      <c r="BP862" s="222"/>
      <c r="BQ862" s="222"/>
      <c r="BR862" s="222"/>
      <c r="BS862" s="222"/>
      <c r="BT862" s="222"/>
      <c r="BU862" s="222"/>
      <c r="BV862" s="222"/>
      <c r="BW862" s="222"/>
      <c r="BX862" s="222"/>
      <c r="BY862" s="222"/>
      <c r="BZ862" s="222"/>
      <c r="CA862" s="222"/>
      <c r="CB862" s="222"/>
      <c r="CC862" s="222"/>
      <c r="CD862" s="222"/>
      <c r="CE862" s="222"/>
      <c r="CF862" s="222"/>
      <c r="CG862" s="222"/>
      <c r="CH862" s="222"/>
      <c r="CI862" s="222"/>
      <c r="CJ862" s="222"/>
      <c r="CK862" s="222"/>
      <c r="CL862" s="222"/>
      <c r="CM862" s="222"/>
      <c r="CN862" s="222"/>
      <c r="CO862" s="222"/>
      <c r="CP862" s="222"/>
      <c r="CQ862" s="222"/>
      <c r="CR862" s="222"/>
      <c r="CS862" s="222"/>
    </row>
    <row r="863">
      <c r="A863" s="43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  <c r="AC863" s="222"/>
      <c r="AD863" s="222"/>
      <c r="AE863" s="222"/>
      <c r="AF863" s="222"/>
      <c r="AG863" s="222"/>
      <c r="AH863" s="222"/>
      <c r="AI863" s="222"/>
      <c r="AJ863" s="222"/>
      <c r="AK863" s="222"/>
      <c r="AL863" s="222"/>
      <c r="AM863" s="222"/>
      <c r="AN863" s="222"/>
      <c r="AO863" s="222"/>
      <c r="AP863" s="222"/>
      <c r="AQ863" s="222"/>
      <c r="AR863" s="222"/>
      <c r="AS863" s="222"/>
      <c r="AT863" s="222"/>
      <c r="AU863" s="222"/>
      <c r="AV863" s="222"/>
      <c r="AW863" s="222"/>
      <c r="AX863" s="222"/>
      <c r="AY863" s="222"/>
      <c r="AZ863" s="222"/>
      <c r="BA863" s="222"/>
      <c r="BB863" s="222"/>
      <c r="BC863" s="222"/>
      <c r="BD863" s="222"/>
      <c r="BE863" s="222"/>
      <c r="BF863" s="222"/>
      <c r="BG863" s="222"/>
      <c r="BH863" s="222"/>
      <c r="BI863" s="222"/>
      <c r="BJ863" s="222"/>
      <c r="BK863" s="222"/>
      <c r="BL863" s="222"/>
      <c r="BM863" s="222"/>
      <c r="BN863" s="222"/>
      <c r="BO863" s="222"/>
      <c r="BP863" s="222"/>
      <c r="BQ863" s="222"/>
      <c r="BR863" s="222"/>
      <c r="BS863" s="222"/>
      <c r="BT863" s="222"/>
      <c r="BU863" s="222"/>
      <c r="BV863" s="222"/>
      <c r="BW863" s="222"/>
      <c r="BX863" s="222"/>
      <c r="BY863" s="222"/>
      <c r="BZ863" s="222"/>
      <c r="CA863" s="222"/>
      <c r="CB863" s="222"/>
      <c r="CC863" s="222"/>
      <c r="CD863" s="222"/>
      <c r="CE863" s="222"/>
      <c r="CF863" s="222"/>
      <c r="CG863" s="222"/>
      <c r="CH863" s="222"/>
      <c r="CI863" s="222"/>
      <c r="CJ863" s="222"/>
      <c r="CK863" s="222"/>
      <c r="CL863" s="222"/>
      <c r="CM863" s="222"/>
      <c r="CN863" s="222"/>
      <c r="CO863" s="222"/>
      <c r="CP863" s="222"/>
      <c r="CQ863" s="222"/>
      <c r="CR863" s="222"/>
      <c r="CS863" s="222"/>
    </row>
    <row r="864">
      <c r="A864" s="43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  <c r="AC864" s="222"/>
      <c r="AD864" s="222"/>
      <c r="AE864" s="222"/>
      <c r="AF864" s="222"/>
      <c r="AG864" s="222"/>
      <c r="AH864" s="222"/>
      <c r="AI864" s="222"/>
      <c r="AJ864" s="222"/>
      <c r="AK864" s="222"/>
      <c r="AL864" s="222"/>
      <c r="AM864" s="222"/>
      <c r="AN864" s="222"/>
      <c r="AO864" s="222"/>
      <c r="AP864" s="222"/>
      <c r="AQ864" s="222"/>
      <c r="AR864" s="222"/>
      <c r="AS864" s="222"/>
      <c r="AT864" s="222"/>
      <c r="AU864" s="222"/>
      <c r="AV864" s="222"/>
      <c r="AW864" s="222"/>
      <c r="AX864" s="222"/>
      <c r="AY864" s="222"/>
      <c r="AZ864" s="222"/>
      <c r="BA864" s="222"/>
      <c r="BB864" s="222"/>
      <c r="BC864" s="222"/>
      <c r="BD864" s="222"/>
      <c r="BE864" s="222"/>
      <c r="BF864" s="222"/>
      <c r="BG864" s="222"/>
      <c r="BH864" s="222"/>
      <c r="BI864" s="222"/>
      <c r="BJ864" s="222"/>
      <c r="BK864" s="222"/>
      <c r="BL864" s="222"/>
      <c r="BM864" s="222"/>
      <c r="BN864" s="222"/>
      <c r="BO864" s="222"/>
      <c r="BP864" s="222"/>
      <c r="BQ864" s="222"/>
      <c r="BR864" s="222"/>
      <c r="BS864" s="222"/>
      <c r="BT864" s="222"/>
      <c r="BU864" s="222"/>
      <c r="BV864" s="222"/>
      <c r="BW864" s="222"/>
      <c r="BX864" s="222"/>
      <c r="BY864" s="222"/>
      <c r="BZ864" s="222"/>
      <c r="CA864" s="222"/>
      <c r="CB864" s="222"/>
      <c r="CC864" s="222"/>
      <c r="CD864" s="222"/>
      <c r="CE864" s="222"/>
      <c r="CF864" s="222"/>
      <c r="CG864" s="222"/>
      <c r="CH864" s="222"/>
      <c r="CI864" s="222"/>
      <c r="CJ864" s="222"/>
      <c r="CK864" s="222"/>
      <c r="CL864" s="222"/>
      <c r="CM864" s="222"/>
      <c r="CN864" s="222"/>
      <c r="CO864" s="222"/>
      <c r="CP864" s="222"/>
      <c r="CQ864" s="222"/>
      <c r="CR864" s="222"/>
      <c r="CS864" s="222"/>
    </row>
    <row r="865">
      <c r="A865" s="43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  <c r="AC865" s="222"/>
      <c r="AD865" s="222"/>
      <c r="AE865" s="222"/>
      <c r="AF865" s="222"/>
      <c r="AG865" s="222"/>
      <c r="AH865" s="222"/>
      <c r="AI865" s="222"/>
      <c r="AJ865" s="222"/>
      <c r="AK865" s="222"/>
      <c r="AL865" s="222"/>
      <c r="AM865" s="222"/>
      <c r="AN865" s="222"/>
      <c r="AO865" s="222"/>
      <c r="AP865" s="222"/>
      <c r="AQ865" s="222"/>
      <c r="AR865" s="222"/>
      <c r="AS865" s="222"/>
      <c r="AT865" s="222"/>
      <c r="AU865" s="222"/>
      <c r="AV865" s="222"/>
      <c r="AW865" s="222"/>
      <c r="AX865" s="222"/>
      <c r="AY865" s="222"/>
      <c r="AZ865" s="222"/>
      <c r="BA865" s="222"/>
      <c r="BB865" s="222"/>
      <c r="BC865" s="222"/>
      <c r="BD865" s="222"/>
      <c r="BE865" s="222"/>
      <c r="BF865" s="222"/>
      <c r="BG865" s="222"/>
      <c r="BH865" s="222"/>
      <c r="BI865" s="222"/>
      <c r="BJ865" s="222"/>
      <c r="BK865" s="222"/>
      <c r="BL865" s="222"/>
      <c r="BM865" s="222"/>
      <c r="BN865" s="222"/>
      <c r="BO865" s="222"/>
      <c r="BP865" s="222"/>
      <c r="BQ865" s="222"/>
      <c r="BR865" s="222"/>
      <c r="BS865" s="222"/>
      <c r="BT865" s="222"/>
      <c r="BU865" s="222"/>
      <c r="BV865" s="222"/>
      <c r="BW865" s="222"/>
      <c r="BX865" s="222"/>
      <c r="BY865" s="222"/>
      <c r="BZ865" s="222"/>
      <c r="CA865" s="222"/>
      <c r="CB865" s="222"/>
      <c r="CC865" s="222"/>
      <c r="CD865" s="222"/>
      <c r="CE865" s="222"/>
      <c r="CF865" s="222"/>
      <c r="CG865" s="222"/>
      <c r="CH865" s="222"/>
      <c r="CI865" s="222"/>
      <c r="CJ865" s="222"/>
      <c r="CK865" s="222"/>
      <c r="CL865" s="222"/>
      <c r="CM865" s="222"/>
      <c r="CN865" s="222"/>
      <c r="CO865" s="222"/>
      <c r="CP865" s="222"/>
      <c r="CQ865" s="222"/>
      <c r="CR865" s="222"/>
      <c r="CS865" s="222"/>
    </row>
    <row r="866">
      <c r="A866" s="43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  <c r="AC866" s="222"/>
      <c r="AD866" s="222"/>
      <c r="AE866" s="222"/>
      <c r="AF866" s="222"/>
      <c r="AG866" s="222"/>
      <c r="AH866" s="222"/>
      <c r="AI866" s="222"/>
      <c r="AJ866" s="222"/>
      <c r="AK866" s="222"/>
      <c r="AL866" s="222"/>
      <c r="AM866" s="222"/>
      <c r="AN866" s="222"/>
      <c r="AO866" s="222"/>
      <c r="AP866" s="222"/>
      <c r="AQ866" s="222"/>
      <c r="AR866" s="222"/>
      <c r="AS866" s="222"/>
      <c r="AT866" s="222"/>
      <c r="AU866" s="222"/>
      <c r="AV866" s="222"/>
      <c r="AW866" s="222"/>
      <c r="AX866" s="222"/>
      <c r="AY866" s="222"/>
      <c r="AZ866" s="222"/>
      <c r="BA866" s="222"/>
      <c r="BB866" s="222"/>
      <c r="BC866" s="222"/>
      <c r="BD866" s="222"/>
      <c r="BE866" s="222"/>
      <c r="BF866" s="222"/>
      <c r="BG866" s="222"/>
      <c r="BH866" s="222"/>
      <c r="BI866" s="222"/>
      <c r="BJ866" s="222"/>
      <c r="BK866" s="222"/>
      <c r="BL866" s="222"/>
      <c r="BM866" s="222"/>
      <c r="BN866" s="222"/>
      <c r="BO866" s="222"/>
      <c r="BP866" s="222"/>
      <c r="BQ866" s="222"/>
      <c r="BR866" s="222"/>
      <c r="BS866" s="222"/>
      <c r="BT866" s="222"/>
      <c r="BU866" s="222"/>
      <c r="BV866" s="222"/>
      <c r="BW866" s="222"/>
      <c r="BX866" s="222"/>
      <c r="BY866" s="222"/>
      <c r="BZ866" s="222"/>
      <c r="CA866" s="222"/>
      <c r="CB866" s="222"/>
      <c r="CC866" s="222"/>
      <c r="CD866" s="222"/>
      <c r="CE866" s="222"/>
      <c r="CF866" s="222"/>
      <c r="CG866" s="222"/>
      <c r="CH866" s="222"/>
      <c r="CI866" s="222"/>
      <c r="CJ866" s="222"/>
      <c r="CK866" s="222"/>
      <c r="CL866" s="222"/>
      <c r="CM866" s="222"/>
      <c r="CN866" s="222"/>
      <c r="CO866" s="222"/>
      <c r="CP866" s="222"/>
      <c r="CQ866" s="222"/>
      <c r="CR866" s="222"/>
      <c r="CS866" s="222"/>
    </row>
    <row r="867">
      <c r="A867" s="43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  <c r="AC867" s="222"/>
      <c r="AD867" s="222"/>
      <c r="AE867" s="222"/>
      <c r="AF867" s="222"/>
      <c r="AG867" s="222"/>
      <c r="AH867" s="222"/>
      <c r="AI867" s="222"/>
      <c r="AJ867" s="222"/>
      <c r="AK867" s="222"/>
      <c r="AL867" s="222"/>
      <c r="AM867" s="222"/>
      <c r="AN867" s="222"/>
      <c r="AO867" s="222"/>
      <c r="AP867" s="222"/>
      <c r="AQ867" s="222"/>
      <c r="AR867" s="222"/>
      <c r="AS867" s="222"/>
      <c r="AT867" s="222"/>
      <c r="AU867" s="222"/>
      <c r="AV867" s="222"/>
      <c r="AW867" s="222"/>
      <c r="AX867" s="222"/>
      <c r="AY867" s="222"/>
      <c r="AZ867" s="222"/>
      <c r="BA867" s="222"/>
      <c r="BB867" s="222"/>
      <c r="BC867" s="222"/>
      <c r="BD867" s="222"/>
      <c r="BE867" s="222"/>
      <c r="BF867" s="222"/>
      <c r="BG867" s="222"/>
      <c r="BH867" s="222"/>
      <c r="BI867" s="222"/>
      <c r="BJ867" s="222"/>
      <c r="BK867" s="222"/>
      <c r="BL867" s="222"/>
      <c r="BM867" s="222"/>
      <c r="BN867" s="222"/>
      <c r="BO867" s="222"/>
      <c r="BP867" s="222"/>
      <c r="BQ867" s="222"/>
      <c r="BR867" s="222"/>
      <c r="BS867" s="222"/>
      <c r="BT867" s="222"/>
      <c r="BU867" s="222"/>
      <c r="BV867" s="222"/>
      <c r="BW867" s="222"/>
      <c r="BX867" s="222"/>
      <c r="BY867" s="222"/>
      <c r="BZ867" s="222"/>
      <c r="CA867" s="222"/>
      <c r="CB867" s="222"/>
      <c r="CC867" s="222"/>
      <c r="CD867" s="222"/>
      <c r="CE867" s="222"/>
      <c r="CF867" s="222"/>
      <c r="CG867" s="222"/>
      <c r="CH867" s="222"/>
      <c r="CI867" s="222"/>
      <c r="CJ867" s="222"/>
      <c r="CK867" s="222"/>
      <c r="CL867" s="222"/>
      <c r="CM867" s="222"/>
      <c r="CN867" s="222"/>
      <c r="CO867" s="222"/>
      <c r="CP867" s="222"/>
      <c r="CQ867" s="222"/>
      <c r="CR867" s="222"/>
      <c r="CS867" s="222"/>
    </row>
    <row r="868">
      <c r="A868" s="43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  <c r="AC868" s="222"/>
      <c r="AD868" s="222"/>
      <c r="AE868" s="222"/>
      <c r="AF868" s="222"/>
      <c r="AG868" s="222"/>
      <c r="AH868" s="222"/>
      <c r="AI868" s="222"/>
      <c r="AJ868" s="222"/>
      <c r="AK868" s="222"/>
      <c r="AL868" s="222"/>
      <c r="AM868" s="222"/>
      <c r="AN868" s="222"/>
      <c r="AO868" s="222"/>
      <c r="AP868" s="222"/>
      <c r="AQ868" s="222"/>
      <c r="AR868" s="222"/>
      <c r="AS868" s="222"/>
      <c r="AT868" s="222"/>
      <c r="AU868" s="222"/>
      <c r="AV868" s="222"/>
      <c r="AW868" s="222"/>
      <c r="AX868" s="222"/>
      <c r="AY868" s="222"/>
      <c r="AZ868" s="222"/>
      <c r="BA868" s="222"/>
      <c r="BB868" s="222"/>
      <c r="BC868" s="222"/>
      <c r="BD868" s="222"/>
      <c r="BE868" s="222"/>
      <c r="BF868" s="222"/>
      <c r="BG868" s="222"/>
      <c r="BH868" s="222"/>
      <c r="BI868" s="222"/>
      <c r="BJ868" s="222"/>
      <c r="BK868" s="222"/>
      <c r="BL868" s="222"/>
      <c r="BM868" s="222"/>
      <c r="BN868" s="222"/>
      <c r="BO868" s="222"/>
      <c r="BP868" s="222"/>
      <c r="BQ868" s="222"/>
      <c r="BR868" s="222"/>
      <c r="BS868" s="222"/>
      <c r="BT868" s="222"/>
      <c r="BU868" s="222"/>
      <c r="BV868" s="222"/>
      <c r="BW868" s="222"/>
      <c r="BX868" s="222"/>
      <c r="BY868" s="222"/>
      <c r="BZ868" s="222"/>
      <c r="CA868" s="222"/>
      <c r="CB868" s="222"/>
      <c r="CC868" s="222"/>
      <c r="CD868" s="222"/>
      <c r="CE868" s="222"/>
      <c r="CF868" s="222"/>
      <c r="CG868" s="222"/>
      <c r="CH868" s="222"/>
      <c r="CI868" s="222"/>
      <c r="CJ868" s="222"/>
      <c r="CK868" s="222"/>
      <c r="CL868" s="222"/>
      <c r="CM868" s="222"/>
      <c r="CN868" s="222"/>
      <c r="CO868" s="222"/>
      <c r="CP868" s="222"/>
      <c r="CQ868" s="222"/>
      <c r="CR868" s="222"/>
      <c r="CS868" s="222"/>
    </row>
    <row r="869">
      <c r="A869" s="43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  <c r="AC869" s="222"/>
      <c r="AD869" s="222"/>
      <c r="AE869" s="222"/>
      <c r="AF869" s="222"/>
      <c r="AG869" s="222"/>
      <c r="AH869" s="222"/>
      <c r="AI869" s="222"/>
      <c r="AJ869" s="222"/>
      <c r="AK869" s="222"/>
      <c r="AL869" s="222"/>
      <c r="AM869" s="222"/>
      <c r="AN869" s="222"/>
      <c r="AO869" s="222"/>
      <c r="AP869" s="222"/>
      <c r="AQ869" s="222"/>
      <c r="AR869" s="222"/>
      <c r="AS869" s="222"/>
      <c r="AT869" s="222"/>
      <c r="AU869" s="222"/>
      <c r="AV869" s="222"/>
      <c r="AW869" s="222"/>
      <c r="AX869" s="222"/>
      <c r="AY869" s="222"/>
      <c r="AZ869" s="222"/>
      <c r="BA869" s="222"/>
      <c r="BB869" s="222"/>
      <c r="BC869" s="222"/>
      <c r="BD869" s="222"/>
      <c r="BE869" s="222"/>
      <c r="BF869" s="222"/>
      <c r="BG869" s="222"/>
      <c r="BH869" s="222"/>
      <c r="BI869" s="222"/>
      <c r="BJ869" s="222"/>
      <c r="BK869" s="222"/>
      <c r="BL869" s="222"/>
      <c r="BM869" s="222"/>
      <c r="BN869" s="222"/>
      <c r="BO869" s="222"/>
      <c r="BP869" s="222"/>
      <c r="BQ869" s="222"/>
      <c r="BR869" s="222"/>
      <c r="BS869" s="222"/>
      <c r="BT869" s="222"/>
      <c r="BU869" s="222"/>
      <c r="BV869" s="222"/>
      <c r="BW869" s="222"/>
      <c r="BX869" s="222"/>
      <c r="BY869" s="222"/>
      <c r="BZ869" s="222"/>
      <c r="CA869" s="222"/>
      <c r="CB869" s="222"/>
      <c r="CC869" s="222"/>
      <c r="CD869" s="222"/>
      <c r="CE869" s="222"/>
      <c r="CF869" s="222"/>
      <c r="CG869" s="222"/>
      <c r="CH869" s="222"/>
      <c r="CI869" s="222"/>
      <c r="CJ869" s="222"/>
      <c r="CK869" s="222"/>
      <c r="CL869" s="222"/>
      <c r="CM869" s="222"/>
      <c r="CN869" s="222"/>
      <c r="CO869" s="222"/>
      <c r="CP869" s="222"/>
      <c r="CQ869" s="222"/>
      <c r="CR869" s="222"/>
      <c r="CS869" s="222"/>
    </row>
    <row r="870">
      <c r="A870" s="43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  <c r="AC870" s="222"/>
      <c r="AD870" s="222"/>
      <c r="AE870" s="222"/>
      <c r="AF870" s="222"/>
      <c r="AG870" s="222"/>
      <c r="AH870" s="222"/>
      <c r="AI870" s="222"/>
      <c r="AJ870" s="222"/>
      <c r="AK870" s="222"/>
      <c r="AL870" s="222"/>
      <c r="AM870" s="222"/>
      <c r="AN870" s="222"/>
      <c r="AO870" s="222"/>
      <c r="AP870" s="222"/>
      <c r="AQ870" s="222"/>
      <c r="AR870" s="222"/>
      <c r="AS870" s="222"/>
      <c r="AT870" s="222"/>
      <c r="AU870" s="222"/>
      <c r="AV870" s="222"/>
      <c r="AW870" s="222"/>
      <c r="AX870" s="222"/>
      <c r="AY870" s="222"/>
      <c r="AZ870" s="222"/>
      <c r="BA870" s="222"/>
      <c r="BB870" s="222"/>
      <c r="BC870" s="222"/>
      <c r="BD870" s="222"/>
      <c r="BE870" s="222"/>
      <c r="BF870" s="222"/>
      <c r="BG870" s="222"/>
      <c r="BH870" s="222"/>
      <c r="BI870" s="222"/>
      <c r="BJ870" s="222"/>
      <c r="BK870" s="222"/>
      <c r="BL870" s="222"/>
      <c r="BM870" s="222"/>
      <c r="BN870" s="222"/>
      <c r="BO870" s="222"/>
      <c r="BP870" s="222"/>
      <c r="BQ870" s="222"/>
      <c r="BR870" s="222"/>
      <c r="BS870" s="222"/>
      <c r="BT870" s="222"/>
      <c r="BU870" s="222"/>
      <c r="BV870" s="222"/>
      <c r="BW870" s="222"/>
      <c r="BX870" s="222"/>
      <c r="BY870" s="222"/>
      <c r="BZ870" s="222"/>
      <c r="CA870" s="222"/>
      <c r="CB870" s="222"/>
      <c r="CC870" s="222"/>
      <c r="CD870" s="222"/>
      <c r="CE870" s="222"/>
      <c r="CF870" s="222"/>
      <c r="CG870" s="222"/>
      <c r="CH870" s="222"/>
      <c r="CI870" s="222"/>
      <c r="CJ870" s="222"/>
      <c r="CK870" s="222"/>
      <c r="CL870" s="222"/>
      <c r="CM870" s="222"/>
      <c r="CN870" s="222"/>
      <c r="CO870" s="222"/>
      <c r="CP870" s="222"/>
      <c r="CQ870" s="222"/>
      <c r="CR870" s="222"/>
      <c r="CS870" s="222"/>
    </row>
    <row r="871">
      <c r="A871" s="43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  <c r="AC871" s="222"/>
      <c r="AD871" s="222"/>
      <c r="AE871" s="222"/>
      <c r="AF871" s="222"/>
      <c r="AG871" s="222"/>
      <c r="AH871" s="222"/>
      <c r="AI871" s="222"/>
      <c r="AJ871" s="222"/>
      <c r="AK871" s="222"/>
      <c r="AL871" s="222"/>
      <c r="AM871" s="222"/>
      <c r="AN871" s="222"/>
      <c r="AO871" s="222"/>
      <c r="AP871" s="222"/>
      <c r="AQ871" s="222"/>
      <c r="AR871" s="222"/>
      <c r="AS871" s="222"/>
      <c r="AT871" s="222"/>
      <c r="AU871" s="222"/>
      <c r="AV871" s="222"/>
      <c r="AW871" s="222"/>
      <c r="AX871" s="222"/>
      <c r="AY871" s="222"/>
      <c r="AZ871" s="222"/>
      <c r="BA871" s="222"/>
      <c r="BB871" s="222"/>
      <c r="BC871" s="222"/>
      <c r="BD871" s="222"/>
      <c r="BE871" s="222"/>
      <c r="BF871" s="222"/>
      <c r="BG871" s="222"/>
      <c r="BH871" s="222"/>
      <c r="BI871" s="222"/>
      <c r="BJ871" s="222"/>
      <c r="BK871" s="222"/>
      <c r="BL871" s="222"/>
      <c r="BM871" s="222"/>
      <c r="BN871" s="222"/>
      <c r="BO871" s="222"/>
      <c r="BP871" s="222"/>
      <c r="BQ871" s="222"/>
      <c r="BR871" s="222"/>
      <c r="BS871" s="222"/>
      <c r="BT871" s="222"/>
      <c r="BU871" s="222"/>
      <c r="BV871" s="222"/>
      <c r="BW871" s="222"/>
      <c r="BX871" s="222"/>
      <c r="BY871" s="222"/>
      <c r="BZ871" s="222"/>
      <c r="CA871" s="222"/>
      <c r="CB871" s="222"/>
      <c r="CC871" s="222"/>
      <c r="CD871" s="222"/>
      <c r="CE871" s="222"/>
      <c r="CF871" s="222"/>
      <c r="CG871" s="222"/>
      <c r="CH871" s="222"/>
      <c r="CI871" s="222"/>
      <c r="CJ871" s="222"/>
      <c r="CK871" s="222"/>
      <c r="CL871" s="222"/>
      <c r="CM871" s="222"/>
      <c r="CN871" s="222"/>
      <c r="CO871" s="222"/>
      <c r="CP871" s="222"/>
      <c r="CQ871" s="222"/>
      <c r="CR871" s="222"/>
      <c r="CS871" s="222"/>
    </row>
    <row r="872">
      <c r="A872" s="43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  <c r="AC872" s="222"/>
      <c r="AD872" s="222"/>
      <c r="AE872" s="222"/>
      <c r="AF872" s="222"/>
      <c r="AG872" s="222"/>
      <c r="AH872" s="222"/>
      <c r="AI872" s="222"/>
      <c r="AJ872" s="222"/>
      <c r="AK872" s="222"/>
      <c r="AL872" s="222"/>
      <c r="AM872" s="222"/>
      <c r="AN872" s="222"/>
      <c r="AO872" s="222"/>
      <c r="AP872" s="222"/>
      <c r="AQ872" s="222"/>
      <c r="AR872" s="222"/>
      <c r="AS872" s="222"/>
      <c r="AT872" s="222"/>
      <c r="AU872" s="222"/>
      <c r="AV872" s="222"/>
      <c r="AW872" s="222"/>
      <c r="AX872" s="222"/>
      <c r="AY872" s="222"/>
      <c r="AZ872" s="222"/>
      <c r="BA872" s="222"/>
      <c r="BB872" s="222"/>
      <c r="BC872" s="222"/>
      <c r="BD872" s="222"/>
      <c r="BE872" s="222"/>
      <c r="BF872" s="222"/>
      <c r="BG872" s="222"/>
      <c r="BH872" s="222"/>
      <c r="BI872" s="222"/>
      <c r="BJ872" s="222"/>
      <c r="BK872" s="222"/>
      <c r="BL872" s="222"/>
      <c r="BM872" s="222"/>
      <c r="BN872" s="222"/>
      <c r="BO872" s="222"/>
      <c r="BP872" s="222"/>
      <c r="BQ872" s="222"/>
      <c r="BR872" s="222"/>
      <c r="BS872" s="222"/>
      <c r="BT872" s="222"/>
      <c r="BU872" s="222"/>
      <c r="BV872" s="222"/>
      <c r="BW872" s="222"/>
      <c r="BX872" s="222"/>
      <c r="BY872" s="222"/>
      <c r="BZ872" s="222"/>
      <c r="CA872" s="222"/>
      <c r="CB872" s="222"/>
      <c r="CC872" s="222"/>
      <c r="CD872" s="222"/>
      <c r="CE872" s="222"/>
      <c r="CF872" s="222"/>
      <c r="CG872" s="222"/>
      <c r="CH872" s="222"/>
      <c r="CI872" s="222"/>
      <c r="CJ872" s="222"/>
      <c r="CK872" s="222"/>
      <c r="CL872" s="222"/>
      <c r="CM872" s="222"/>
      <c r="CN872" s="222"/>
      <c r="CO872" s="222"/>
      <c r="CP872" s="222"/>
      <c r="CQ872" s="222"/>
      <c r="CR872" s="222"/>
      <c r="CS872" s="222"/>
    </row>
    <row r="873">
      <c r="A873" s="43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  <c r="AC873" s="222"/>
      <c r="AD873" s="222"/>
      <c r="AE873" s="222"/>
      <c r="AF873" s="222"/>
      <c r="AG873" s="222"/>
      <c r="AH873" s="222"/>
      <c r="AI873" s="222"/>
      <c r="AJ873" s="222"/>
      <c r="AK873" s="222"/>
      <c r="AL873" s="222"/>
      <c r="AM873" s="222"/>
      <c r="AN873" s="222"/>
      <c r="AO873" s="222"/>
      <c r="AP873" s="222"/>
      <c r="AQ873" s="222"/>
      <c r="AR873" s="222"/>
      <c r="AS873" s="222"/>
      <c r="AT873" s="222"/>
      <c r="AU873" s="222"/>
      <c r="AV873" s="222"/>
      <c r="AW873" s="222"/>
      <c r="AX873" s="222"/>
      <c r="AY873" s="222"/>
      <c r="AZ873" s="222"/>
      <c r="BA873" s="222"/>
      <c r="BB873" s="222"/>
      <c r="BC873" s="222"/>
      <c r="BD873" s="222"/>
      <c r="BE873" s="222"/>
      <c r="BF873" s="222"/>
      <c r="BG873" s="222"/>
      <c r="BH873" s="222"/>
      <c r="BI873" s="222"/>
      <c r="BJ873" s="222"/>
      <c r="BK873" s="222"/>
      <c r="BL873" s="222"/>
      <c r="BM873" s="222"/>
      <c r="BN873" s="222"/>
      <c r="BO873" s="222"/>
      <c r="BP873" s="222"/>
      <c r="BQ873" s="222"/>
      <c r="BR873" s="222"/>
      <c r="BS873" s="222"/>
      <c r="BT873" s="222"/>
      <c r="BU873" s="222"/>
      <c r="BV873" s="222"/>
      <c r="BW873" s="222"/>
      <c r="BX873" s="222"/>
      <c r="BY873" s="222"/>
      <c r="BZ873" s="222"/>
      <c r="CA873" s="222"/>
      <c r="CB873" s="222"/>
      <c r="CC873" s="222"/>
      <c r="CD873" s="222"/>
      <c r="CE873" s="222"/>
      <c r="CF873" s="222"/>
      <c r="CG873" s="222"/>
      <c r="CH873" s="222"/>
      <c r="CI873" s="222"/>
      <c r="CJ873" s="222"/>
      <c r="CK873" s="222"/>
      <c r="CL873" s="222"/>
      <c r="CM873" s="222"/>
      <c r="CN873" s="222"/>
      <c r="CO873" s="222"/>
      <c r="CP873" s="222"/>
      <c r="CQ873" s="222"/>
      <c r="CR873" s="222"/>
      <c r="CS873" s="222"/>
    </row>
    <row r="874">
      <c r="A874" s="43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  <c r="AF874" s="222"/>
      <c r="AG874" s="222"/>
      <c r="AH874" s="222"/>
      <c r="AI874" s="222"/>
      <c r="AJ874" s="222"/>
      <c r="AK874" s="222"/>
      <c r="AL874" s="222"/>
      <c r="AM874" s="222"/>
      <c r="AN874" s="222"/>
      <c r="AO874" s="222"/>
      <c r="AP874" s="222"/>
      <c r="AQ874" s="222"/>
      <c r="AR874" s="222"/>
      <c r="AS874" s="222"/>
      <c r="AT874" s="222"/>
      <c r="AU874" s="222"/>
      <c r="AV874" s="222"/>
      <c r="AW874" s="222"/>
      <c r="AX874" s="222"/>
      <c r="AY874" s="222"/>
      <c r="AZ874" s="222"/>
      <c r="BA874" s="222"/>
      <c r="BB874" s="222"/>
      <c r="BC874" s="222"/>
      <c r="BD874" s="222"/>
      <c r="BE874" s="222"/>
      <c r="BF874" s="222"/>
      <c r="BG874" s="222"/>
      <c r="BH874" s="222"/>
      <c r="BI874" s="222"/>
      <c r="BJ874" s="222"/>
      <c r="BK874" s="222"/>
      <c r="BL874" s="222"/>
      <c r="BM874" s="222"/>
      <c r="BN874" s="222"/>
      <c r="BO874" s="222"/>
      <c r="BP874" s="222"/>
      <c r="BQ874" s="222"/>
      <c r="BR874" s="222"/>
      <c r="BS874" s="222"/>
      <c r="BT874" s="222"/>
      <c r="BU874" s="222"/>
      <c r="BV874" s="222"/>
      <c r="BW874" s="222"/>
      <c r="BX874" s="222"/>
      <c r="BY874" s="222"/>
      <c r="BZ874" s="222"/>
      <c r="CA874" s="222"/>
      <c r="CB874" s="222"/>
      <c r="CC874" s="222"/>
      <c r="CD874" s="222"/>
      <c r="CE874" s="222"/>
      <c r="CF874" s="222"/>
      <c r="CG874" s="222"/>
      <c r="CH874" s="222"/>
      <c r="CI874" s="222"/>
      <c r="CJ874" s="222"/>
      <c r="CK874" s="222"/>
      <c r="CL874" s="222"/>
      <c r="CM874" s="222"/>
      <c r="CN874" s="222"/>
      <c r="CO874" s="222"/>
      <c r="CP874" s="222"/>
      <c r="CQ874" s="222"/>
      <c r="CR874" s="222"/>
      <c r="CS874" s="222"/>
    </row>
    <row r="875">
      <c r="A875" s="43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  <c r="AC875" s="222"/>
      <c r="AD875" s="222"/>
      <c r="AE875" s="222"/>
      <c r="AF875" s="222"/>
      <c r="AG875" s="222"/>
      <c r="AH875" s="222"/>
      <c r="AI875" s="222"/>
      <c r="AJ875" s="222"/>
      <c r="AK875" s="222"/>
      <c r="AL875" s="222"/>
      <c r="AM875" s="222"/>
      <c r="AN875" s="222"/>
      <c r="AO875" s="222"/>
      <c r="AP875" s="222"/>
      <c r="AQ875" s="222"/>
      <c r="AR875" s="222"/>
      <c r="AS875" s="222"/>
      <c r="AT875" s="222"/>
      <c r="AU875" s="222"/>
      <c r="AV875" s="222"/>
      <c r="AW875" s="222"/>
      <c r="AX875" s="222"/>
      <c r="AY875" s="222"/>
      <c r="AZ875" s="222"/>
      <c r="BA875" s="222"/>
      <c r="BB875" s="222"/>
      <c r="BC875" s="222"/>
      <c r="BD875" s="222"/>
      <c r="BE875" s="222"/>
      <c r="BF875" s="222"/>
      <c r="BG875" s="222"/>
      <c r="BH875" s="222"/>
      <c r="BI875" s="222"/>
      <c r="BJ875" s="222"/>
      <c r="BK875" s="222"/>
      <c r="BL875" s="222"/>
      <c r="BM875" s="222"/>
      <c r="BN875" s="222"/>
      <c r="BO875" s="222"/>
      <c r="BP875" s="222"/>
      <c r="BQ875" s="222"/>
      <c r="BR875" s="222"/>
      <c r="BS875" s="222"/>
      <c r="BT875" s="222"/>
      <c r="BU875" s="222"/>
      <c r="BV875" s="222"/>
      <c r="BW875" s="222"/>
      <c r="BX875" s="222"/>
      <c r="BY875" s="222"/>
      <c r="BZ875" s="222"/>
      <c r="CA875" s="222"/>
      <c r="CB875" s="222"/>
      <c r="CC875" s="222"/>
      <c r="CD875" s="222"/>
      <c r="CE875" s="222"/>
      <c r="CF875" s="222"/>
      <c r="CG875" s="222"/>
      <c r="CH875" s="222"/>
      <c r="CI875" s="222"/>
      <c r="CJ875" s="222"/>
      <c r="CK875" s="222"/>
      <c r="CL875" s="222"/>
      <c r="CM875" s="222"/>
      <c r="CN875" s="222"/>
      <c r="CO875" s="222"/>
      <c r="CP875" s="222"/>
      <c r="CQ875" s="222"/>
      <c r="CR875" s="222"/>
      <c r="CS875" s="222"/>
    </row>
    <row r="876">
      <c r="A876" s="43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  <c r="AC876" s="222"/>
      <c r="AD876" s="222"/>
      <c r="AE876" s="222"/>
      <c r="AF876" s="222"/>
      <c r="AG876" s="222"/>
      <c r="AH876" s="222"/>
      <c r="AI876" s="222"/>
      <c r="AJ876" s="222"/>
      <c r="AK876" s="222"/>
      <c r="AL876" s="222"/>
      <c r="AM876" s="222"/>
      <c r="AN876" s="222"/>
      <c r="AO876" s="222"/>
      <c r="AP876" s="222"/>
      <c r="AQ876" s="222"/>
      <c r="AR876" s="222"/>
      <c r="AS876" s="222"/>
      <c r="AT876" s="222"/>
      <c r="AU876" s="222"/>
      <c r="AV876" s="222"/>
      <c r="AW876" s="222"/>
      <c r="AX876" s="222"/>
      <c r="AY876" s="222"/>
      <c r="AZ876" s="222"/>
      <c r="BA876" s="222"/>
      <c r="BB876" s="222"/>
      <c r="BC876" s="222"/>
      <c r="BD876" s="222"/>
      <c r="BE876" s="222"/>
      <c r="BF876" s="222"/>
      <c r="BG876" s="222"/>
      <c r="BH876" s="222"/>
      <c r="BI876" s="222"/>
      <c r="BJ876" s="222"/>
      <c r="BK876" s="222"/>
      <c r="BL876" s="222"/>
      <c r="BM876" s="222"/>
      <c r="BN876" s="222"/>
      <c r="BO876" s="222"/>
      <c r="BP876" s="222"/>
      <c r="BQ876" s="222"/>
      <c r="BR876" s="222"/>
      <c r="BS876" s="222"/>
      <c r="BT876" s="222"/>
      <c r="BU876" s="222"/>
      <c r="BV876" s="222"/>
      <c r="BW876" s="222"/>
      <c r="BX876" s="222"/>
      <c r="BY876" s="222"/>
      <c r="BZ876" s="222"/>
      <c r="CA876" s="222"/>
      <c r="CB876" s="222"/>
      <c r="CC876" s="222"/>
      <c r="CD876" s="222"/>
      <c r="CE876" s="222"/>
      <c r="CF876" s="222"/>
      <c r="CG876" s="222"/>
      <c r="CH876" s="222"/>
      <c r="CI876" s="222"/>
      <c r="CJ876" s="222"/>
      <c r="CK876" s="222"/>
      <c r="CL876" s="222"/>
      <c r="CM876" s="222"/>
      <c r="CN876" s="222"/>
      <c r="CO876" s="222"/>
      <c r="CP876" s="222"/>
      <c r="CQ876" s="222"/>
      <c r="CR876" s="222"/>
      <c r="CS876" s="222"/>
    </row>
    <row r="877">
      <c r="A877" s="43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  <c r="AC877" s="222"/>
      <c r="AD877" s="222"/>
      <c r="AE877" s="222"/>
      <c r="AF877" s="222"/>
      <c r="AG877" s="222"/>
      <c r="AH877" s="222"/>
      <c r="AI877" s="222"/>
      <c r="AJ877" s="222"/>
      <c r="AK877" s="222"/>
      <c r="AL877" s="222"/>
      <c r="AM877" s="222"/>
      <c r="AN877" s="222"/>
      <c r="AO877" s="222"/>
      <c r="AP877" s="222"/>
      <c r="AQ877" s="222"/>
      <c r="AR877" s="222"/>
      <c r="AS877" s="222"/>
      <c r="AT877" s="222"/>
      <c r="AU877" s="222"/>
      <c r="AV877" s="222"/>
      <c r="AW877" s="222"/>
      <c r="AX877" s="222"/>
      <c r="AY877" s="222"/>
      <c r="AZ877" s="222"/>
      <c r="BA877" s="222"/>
      <c r="BB877" s="222"/>
      <c r="BC877" s="222"/>
      <c r="BD877" s="222"/>
      <c r="BE877" s="222"/>
      <c r="BF877" s="222"/>
      <c r="BG877" s="222"/>
      <c r="BH877" s="222"/>
      <c r="BI877" s="222"/>
      <c r="BJ877" s="222"/>
      <c r="BK877" s="222"/>
      <c r="BL877" s="222"/>
      <c r="BM877" s="222"/>
      <c r="BN877" s="222"/>
      <c r="BO877" s="222"/>
      <c r="BP877" s="222"/>
      <c r="BQ877" s="222"/>
      <c r="BR877" s="222"/>
      <c r="BS877" s="222"/>
      <c r="BT877" s="222"/>
      <c r="BU877" s="222"/>
      <c r="BV877" s="222"/>
      <c r="BW877" s="222"/>
      <c r="BX877" s="222"/>
      <c r="BY877" s="222"/>
      <c r="BZ877" s="222"/>
      <c r="CA877" s="222"/>
      <c r="CB877" s="222"/>
      <c r="CC877" s="222"/>
      <c r="CD877" s="222"/>
      <c r="CE877" s="222"/>
      <c r="CF877" s="222"/>
      <c r="CG877" s="222"/>
      <c r="CH877" s="222"/>
      <c r="CI877" s="222"/>
      <c r="CJ877" s="222"/>
      <c r="CK877" s="222"/>
      <c r="CL877" s="222"/>
      <c r="CM877" s="222"/>
      <c r="CN877" s="222"/>
      <c r="CO877" s="222"/>
      <c r="CP877" s="222"/>
      <c r="CQ877" s="222"/>
      <c r="CR877" s="222"/>
      <c r="CS877" s="222"/>
    </row>
    <row r="878">
      <c r="A878" s="43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  <c r="AC878" s="222"/>
      <c r="AD878" s="222"/>
      <c r="AE878" s="222"/>
      <c r="AF878" s="222"/>
      <c r="AG878" s="222"/>
      <c r="AH878" s="222"/>
      <c r="AI878" s="222"/>
      <c r="AJ878" s="222"/>
      <c r="AK878" s="222"/>
      <c r="AL878" s="222"/>
      <c r="AM878" s="222"/>
      <c r="AN878" s="222"/>
      <c r="AO878" s="222"/>
      <c r="AP878" s="222"/>
      <c r="AQ878" s="222"/>
      <c r="AR878" s="222"/>
      <c r="AS878" s="222"/>
      <c r="AT878" s="222"/>
      <c r="AU878" s="222"/>
      <c r="AV878" s="222"/>
      <c r="AW878" s="222"/>
      <c r="AX878" s="222"/>
      <c r="AY878" s="222"/>
      <c r="AZ878" s="222"/>
      <c r="BA878" s="222"/>
      <c r="BB878" s="222"/>
      <c r="BC878" s="222"/>
      <c r="BD878" s="222"/>
      <c r="BE878" s="222"/>
      <c r="BF878" s="222"/>
      <c r="BG878" s="222"/>
      <c r="BH878" s="222"/>
      <c r="BI878" s="222"/>
      <c r="BJ878" s="222"/>
      <c r="BK878" s="222"/>
      <c r="BL878" s="222"/>
      <c r="BM878" s="222"/>
      <c r="BN878" s="222"/>
      <c r="BO878" s="222"/>
      <c r="BP878" s="222"/>
      <c r="BQ878" s="222"/>
      <c r="BR878" s="222"/>
      <c r="BS878" s="222"/>
      <c r="BT878" s="222"/>
      <c r="BU878" s="222"/>
      <c r="BV878" s="222"/>
      <c r="BW878" s="222"/>
      <c r="BX878" s="222"/>
      <c r="BY878" s="222"/>
      <c r="BZ878" s="222"/>
      <c r="CA878" s="222"/>
      <c r="CB878" s="222"/>
      <c r="CC878" s="222"/>
      <c r="CD878" s="222"/>
      <c r="CE878" s="222"/>
      <c r="CF878" s="222"/>
      <c r="CG878" s="222"/>
      <c r="CH878" s="222"/>
      <c r="CI878" s="222"/>
      <c r="CJ878" s="222"/>
      <c r="CK878" s="222"/>
      <c r="CL878" s="222"/>
      <c r="CM878" s="222"/>
      <c r="CN878" s="222"/>
      <c r="CO878" s="222"/>
      <c r="CP878" s="222"/>
      <c r="CQ878" s="222"/>
      <c r="CR878" s="222"/>
      <c r="CS878" s="222"/>
    </row>
    <row r="879">
      <c r="A879" s="43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  <c r="AC879" s="222"/>
      <c r="AD879" s="222"/>
      <c r="AE879" s="222"/>
      <c r="AF879" s="222"/>
      <c r="AG879" s="222"/>
      <c r="AH879" s="222"/>
      <c r="AI879" s="222"/>
      <c r="AJ879" s="222"/>
      <c r="AK879" s="222"/>
      <c r="AL879" s="222"/>
      <c r="AM879" s="222"/>
      <c r="AN879" s="222"/>
      <c r="AO879" s="222"/>
      <c r="AP879" s="222"/>
      <c r="AQ879" s="222"/>
      <c r="AR879" s="222"/>
      <c r="AS879" s="222"/>
      <c r="AT879" s="222"/>
      <c r="AU879" s="222"/>
      <c r="AV879" s="222"/>
      <c r="AW879" s="222"/>
      <c r="AX879" s="222"/>
      <c r="AY879" s="222"/>
      <c r="AZ879" s="222"/>
      <c r="BA879" s="222"/>
      <c r="BB879" s="222"/>
      <c r="BC879" s="222"/>
      <c r="BD879" s="222"/>
      <c r="BE879" s="222"/>
      <c r="BF879" s="222"/>
      <c r="BG879" s="222"/>
      <c r="BH879" s="222"/>
      <c r="BI879" s="222"/>
      <c r="BJ879" s="222"/>
      <c r="BK879" s="222"/>
      <c r="BL879" s="222"/>
      <c r="BM879" s="222"/>
      <c r="BN879" s="222"/>
      <c r="BO879" s="222"/>
      <c r="BP879" s="222"/>
      <c r="BQ879" s="222"/>
      <c r="BR879" s="222"/>
      <c r="BS879" s="222"/>
      <c r="BT879" s="222"/>
      <c r="BU879" s="222"/>
      <c r="BV879" s="222"/>
      <c r="BW879" s="222"/>
      <c r="BX879" s="222"/>
      <c r="BY879" s="222"/>
      <c r="BZ879" s="222"/>
      <c r="CA879" s="222"/>
      <c r="CB879" s="222"/>
      <c r="CC879" s="222"/>
      <c r="CD879" s="222"/>
      <c r="CE879" s="222"/>
      <c r="CF879" s="222"/>
      <c r="CG879" s="222"/>
      <c r="CH879" s="222"/>
      <c r="CI879" s="222"/>
      <c r="CJ879" s="222"/>
      <c r="CK879" s="222"/>
      <c r="CL879" s="222"/>
      <c r="CM879" s="222"/>
      <c r="CN879" s="222"/>
      <c r="CO879" s="222"/>
      <c r="CP879" s="222"/>
      <c r="CQ879" s="222"/>
      <c r="CR879" s="222"/>
      <c r="CS879" s="222"/>
    </row>
    <row r="880">
      <c r="A880" s="43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  <c r="AC880" s="222"/>
      <c r="AD880" s="222"/>
      <c r="AE880" s="222"/>
      <c r="AF880" s="222"/>
      <c r="AG880" s="222"/>
      <c r="AH880" s="222"/>
      <c r="AI880" s="222"/>
      <c r="AJ880" s="222"/>
      <c r="AK880" s="222"/>
      <c r="AL880" s="222"/>
      <c r="AM880" s="222"/>
      <c r="AN880" s="222"/>
      <c r="AO880" s="222"/>
      <c r="AP880" s="222"/>
      <c r="AQ880" s="222"/>
      <c r="AR880" s="222"/>
      <c r="AS880" s="222"/>
      <c r="AT880" s="222"/>
      <c r="AU880" s="222"/>
      <c r="AV880" s="222"/>
      <c r="AW880" s="222"/>
      <c r="AX880" s="222"/>
      <c r="AY880" s="222"/>
      <c r="AZ880" s="222"/>
      <c r="BA880" s="222"/>
      <c r="BB880" s="222"/>
      <c r="BC880" s="222"/>
      <c r="BD880" s="222"/>
      <c r="BE880" s="222"/>
      <c r="BF880" s="222"/>
      <c r="BG880" s="222"/>
      <c r="BH880" s="222"/>
      <c r="BI880" s="222"/>
      <c r="BJ880" s="222"/>
      <c r="BK880" s="222"/>
      <c r="BL880" s="222"/>
      <c r="BM880" s="222"/>
      <c r="BN880" s="222"/>
      <c r="BO880" s="222"/>
      <c r="BP880" s="222"/>
      <c r="BQ880" s="222"/>
      <c r="BR880" s="222"/>
      <c r="BS880" s="222"/>
      <c r="BT880" s="222"/>
      <c r="BU880" s="222"/>
      <c r="BV880" s="222"/>
      <c r="BW880" s="222"/>
      <c r="BX880" s="222"/>
      <c r="BY880" s="222"/>
      <c r="BZ880" s="222"/>
      <c r="CA880" s="222"/>
      <c r="CB880" s="222"/>
      <c r="CC880" s="222"/>
      <c r="CD880" s="222"/>
      <c r="CE880" s="222"/>
      <c r="CF880" s="222"/>
      <c r="CG880" s="222"/>
      <c r="CH880" s="222"/>
      <c r="CI880" s="222"/>
      <c r="CJ880" s="222"/>
      <c r="CK880" s="222"/>
      <c r="CL880" s="222"/>
      <c r="CM880" s="222"/>
      <c r="CN880" s="222"/>
      <c r="CO880" s="222"/>
      <c r="CP880" s="222"/>
      <c r="CQ880" s="222"/>
      <c r="CR880" s="222"/>
      <c r="CS880" s="222"/>
    </row>
    <row r="881">
      <c r="A881" s="43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  <c r="AC881" s="222"/>
      <c r="AD881" s="222"/>
      <c r="AE881" s="222"/>
      <c r="AF881" s="222"/>
      <c r="AG881" s="222"/>
      <c r="AH881" s="222"/>
      <c r="AI881" s="222"/>
      <c r="AJ881" s="222"/>
      <c r="AK881" s="222"/>
      <c r="AL881" s="222"/>
      <c r="AM881" s="222"/>
      <c r="AN881" s="222"/>
      <c r="AO881" s="222"/>
      <c r="AP881" s="222"/>
      <c r="AQ881" s="222"/>
      <c r="AR881" s="222"/>
      <c r="AS881" s="222"/>
      <c r="AT881" s="222"/>
      <c r="AU881" s="222"/>
      <c r="AV881" s="222"/>
      <c r="AW881" s="222"/>
      <c r="AX881" s="222"/>
      <c r="AY881" s="222"/>
      <c r="AZ881" s="222"/>
      <c r="BA881" s="222"/>
      <c r="BB881" s="222"/>
      <c r="BC881" s="222"/>
      <c r="BD881" s="222"/>
      <c r="BE881" s="222"/>
      <c r="BF881" s="222"/>
      <c r="BG881" s="222"/>
      <c r="BH881" s="222"/>
      <c r="BI881" s="222"/>
      <c r="BJ881" s="222"/>
      <c r="BK881" s="222"/>
      <c r="BL881" s="222"/>
      <c r="BM881" s="222"/>
      <c r="BN881" s="222"/>
      <c r="BO881" s="222"/>
      <c r="BP881" s="222"/>
      <c r="BQ881" s="222"/>
      <c r="BR881" s="222"/>
      <c r="BS881" s="222"/>
      <c r="BT881" s="222"/>
      <c r="BU881" s="222"/>
      <c r="BV881" s="222"/>
      <c r="BW881" s="222"/>
      <c r="BX881" s="222"/>
      <c r="BY881" s="222"/>
      <c r="BZ881" s="222"/>
      <c r="CA881" s="222"/>
      <c r="CB881" s="222"/>
      <c r="CC881" s="222"/>
      <c r="CD881" s="222"/>
      <c r="CE881" s="222"/>
      <c r="CF881" s="222"/>
      <c r="CG881" s="222"/>
      <c r="CH881" s="222"/>
      <c r="CI881" s="222"/>
      <c r="CJ881" s="222"/>
      <c r="CK881" s="222"/>
      <c r="CL881" s="222"/>
      <c r="CM881" s="222"/>
      <c r="CN881" s="222"/>
      <c r="CO881" s="222"/>
      <c r="CP881" s="222"/>
      <c r="CQ881" s="222"/>
      <c r="CR881" s="222"/>
      <c r="CS881" s="222"/>
    </row>
    <row r="882">
      <c r="A882" s="43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  <c r="AC882" s="222"/>
      <c r="AD882" s="222"/>
      <c r="AE882" s="222"/>
      <c r="AF882" s="222"/>
      <c r="AG882" s="222"/>
      <c r="AH882" s="222"/>
      <c r="AI882" s="222"/>
      <c r="AJ882" s="222"/>
      <c r="AK882" s="222"/>
      <c r="AL882" s="222"/>
      <c r="AM882" s="222"/>
      <c r="AN882" s="222"/>
      <c r="AO882" s="222"/>
      <c r="AP882" s="222"/>
      <c r="AQ882" s="222"/>
      <c r="AR882" s="222"/>
      <c r="AS882" s="222"/>
      <c r="AT882" s="222"/>
      <c r="AU882" s="222"/>
      <c r="AV882" s="222"/>
      <c r="AW882" s="222"/>
      <c r="AX882" s="222"/>
      <c r="AY882" s="222"/>
      <c r="AZ882" s="222"/>
      <c r="BA882" s="222"/>
      <c r="BB882" s="222"/>
      <c r="BC882" s="222"/>
      <c r="BD882" s="222"/>
      <c r="BE882" s="222"/>
      <c r="BF882" s="222"/>
      <c r="BG882" s="222"/>
      <c r="BH882" s="222"/>
      <c r="BI882" s="222"/>
      <c r="BJ882" s="222"/>
      <c r="BK882" s="222"/>
      <c r="BL882" s="222"/>
      <c r="BM882" s="222"/>
      <c r="BN882" s="222"/>
      <c r="BO882" s="222"/>
      <c r="BP882" s="222"/>
      <c r="BQ882" s="222"/>
      <c r="BR882" s="222"/>
      <c r="BS882" s="222"/>
      <c r="BT882" s="222"/>
      <c r="BU882" s="222"/>
      <c r="BV882" s="222"/>
      <c r="BW882" s="222"/>
      <c r="BX882" s="222"/>
      <c r="BY882" s="222"/>
      <c r="BZ882" s="222"/>
      <c r="CA882" s="222"/>
      <c r="CB882" s="222"/>
      <c r="CC882" s="222"/>
      <c r="CD882" s="222"/>
      <c r="CE882" s="222"/>
      <c r="CF882" s="222"/>
      <c r="CG882" s="222"/>
      <c r="CH882" s="222"/>
      <c r="CI882" s="222"/>
      <c r="CJ882" s="222"/>
      <c r="CK882" s="222"/>
      <c r="CL882" s="222"/>
      <c r="CM882" s="222"/>
      <c r="CN882" s="222"/>
      <c r="CO882" s="222"/>
      <c r="CP882" s="222"/>
      <c r="CQ882" s="222"/>
      <c r="CR882" s="222"/>
      <c r="CS882" s="222"/>
    </row>
    <row r="883">
      <c r="A883" s="43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  <c r="AC883" s="222"/>
      <c r="AD883" s="222"/>
      <c r="AE883" s="222"/>
      <c r="AF883" s="222"/>
      <c r="AG883" s="222"/>
      <c r="AH883" s="222"/>
      <c r="AI883" s="222"/>
      <c r="AJ883" s="222"/>
      <c r="AK883" s="222"/>
      <c r="AL883" s="222"/>
      <c r="AM883" s="222"/>
      <c r="AN883" s="222"/>
      <c r="AO883" s="222"/>
      <c r="AP883" s="222"/>
      <c r="AQ883" s="222"/>
      <c r="AR883" s="222"/>
      <c r="AS883" s="222"/>
      <c r="AT883" s="222"/>
      <c r="AU883" s="222"/>
      <c r="AV883" s="222"/>
      <c r="AW883" s="222"/>
      <c r="AX883" s="222"/>
      <c r="AY883" s="222"/>
      <c r="AZ883" s="222"/>
      <c r="BA883" s="222"/>
      <c r="BB883" s="222"/>
      <c r="BC883" s="222"/>
      <c r="BD883" s="222"/>
      <c r="BE883" s="222"/>
      <c r="BF883" s="222"/>
      <c r="BG883" s="222"/>
      <c r="BH883" s="222"/>
      <c r="BI883" s="222"/>
      <c r="BJ883" s="222"/>
      <c r="BK883" s="222"/>
      <c r="BL883" s="222"/>
      <c r="BM883" s="222"/>
      <c r="BN883" s="222"/>
      <c r="BO883" s="222"/>
      <c r="BP883" s="222"/>
      <c r="BQ883" s="222"/>
      <c r="BR883" s="222"/>
      <c r="BS883" s="222"/>
      <c r="BT883" s="222"/>
      <c r="BU883" s="222"/>
      <c r="BV883" s="222"/>
      <c r="BW883" s="222"/>
      <c r="BX883" s="222"/>
      <c r="BY883" s="222"/>
      <c r="BZ883" s="222"/>
      <c r="CA883" s="222"/>
      <c r="CB883" s="222"/>
      <c r="CC883" s="222"/>
      <c r="CD883" s="222"/>
      <c r="CE883" s="222"/>
      <c r="CF883" s="222"/>
      <c r="CG883" s="222"/>
      <c r="CH883" s="222"/>
      <c r="CI883" s="222"/>
      <c r="CJ883" s="222"/>
      <c r="CK883" s="222"/>
      <c r="CL883" s="222"/>
      <c r="CM883" s="222"/>
      <c r="CN883" s="222"/>
      <c r="CO883" s="222"/>
      <c r="CP883" s="222"/>
      <c r="CQ883" s="222"/>
      <c r="CR883" s="222"/>
      <c r="CS883" s="222"/>
    </row>
    <row r="884">
      <c r="A884" s="43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  <c r="AC884" s="222"/>
      <c r="AD884" s="222"/>
      <c r="AE884" s="222"/>
      <c r="AF884" s="222"/>
      <c r="AG884" s="222"/>
      <c r="AH884" s="222"/>
      <c r="AI884" s="222"/>
      <c r="AJ884" s="222"/>
      <c r="AK884" s="222"/>
      <c r="AL884" s="222"/>
      <c r="AM884" s="222"/>
      <c r="AN884" s="222"/>
      <c r="AO884" s="222"/>
      <c r="AP884" s="222"/>
      <c r="AQ884" s="222"/>
      <c r="AR884" s="222"/>
      <c r="AS884" s="222"/>
      <c r="AT884" s="222"/>
      <c r="AU884" s="222"/>
      <c r="AV884" s="222"/>
      <c r="AW884" s="222"/>
      <c r="AX884" s="222"/>
      <c r="AY884" s="222"/>
      <c r="AZ884" s="222"/>
      <c r="BA884" s="222"/>
      <c r="BB884" s="222"/>
      <c r="BC884" s="222"/>
      <c r="BD884" s="222"/>
      <c r="BE884" s="222"/>
      <c r="BF884" s="222"/>
      <c r="BG884" s="222"/>
      <c r="BH884" s="222"/>
      <c r="BI884" s="222"/>
      <c r="BJ884" s="222"/>
      <c r="BK884" s="222"/>
      <c r="BL884" s="222"/>
      <c r="BM884" s="222"/>
      <c r="BN884" s="222"/>
      <c r="BO884" s="222"/>
      <c r="BP884" s="222"/>
      <c r="BQ884" s="222"/>
      <c r="BR884" s="222"/>
      <c r="BS884" s="222"/>
      <c r="BT884" s="222"/>
      <c r="BU884" s="222"/>
      <c r="BV884" s="222"/>
      <c r="BW884" s="222"/>
      <c r="BX884" s="222"/>
      <c r="BY884" s="222"/>
      <c r="BZ884" s="222"/>
      <c r="CA884" s="222"/>
      <c r="CB884" s="222"/>
      <c r="CC884" s="222"/>
      <c r="CD884" s="222"/>
      <c r="CE884" s="222"/>
      <c r="CF884" s="222"/>
      <c r="CG884" s="222"/>
      <c r="CH884" s="222"/>
      <c r="CI884" s="222"/>
      <c r="CJ884" s="222"/>
      <c r="CK884" s="222"/>
      <c r="CL884" s="222"/>
      <c r="CM884" s="222"/>
      <c r="CN884" s="222"/>
      <c r="CO884" s="222"/>
      <c r="CP884" s="222"/>
      <c r="CQ884" s="222"/>
      <c r="CR884" s="222"/>
      <c r="CS884" s="222"/>
    </row>
    <row r="885">
      <c r="A885" s="43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  <c r="AC885" s="222"/>
      <c r="AD885" s="222"/>
      <c r="AE885" s="222"/>
      <c r="AF885" s="222"/>
      <c r="AG885" s="222"/>
      <c r="AH885" s="222"/>
      <c r="AI885" s="222"/>
      <c r="AJ885" s="222"/>
      <c r="AK885" s="222"/>
      <c r="AL885" s="222"/>
      <c r="AM885" s="222"/>
      <c r="AN885" s="222"/>
      <c r="AO885" s="222"/>
      <c r="AP885" s="222"/>
      <c r="AQ885" s="222"/>
      <c r="AR885" s="222"/>
      <c r="AS885" s="222"/>
      <c r="AT885" s="222"/>
      <c r="AU885" s="222"/>
      <c r="AV885" s="222"/>
      <c r="AW885" s="222"/>
      <c r="AX885" s="222"/>
      <c r="AY885" s="222"/>
      <c r="AZ885" s="222"/>
      <c r="BA885" s="222"/>
      <c r="BB885" s="222"/>
      <c r="BC885" s="222"/>
      <c r="BD885" s="222"/>
      <c r="BE885" s="222"/>
      <c r="BF885" s="222"/>
      <c r="BG885" s="222"/>
      <c r="BH885" s="222"/>
      <c r="BI885" s="222"/>
      <c r="BJ885" s="222"/>
      <c r="BK885" s="222"/>
      <c r="BL885" s="222"/>
      <c r="BM885" s="222"/>
      <c r="BN885" s="222"/>
      <c r="BO885" s="222"/>
      <c r="BP885" s="222"/>
      <c r="BQ885" s="222"/>
      <c r="BR885" s="222"/>
      <c r="BS885" s="222"/>
      <c r="BT885" s="222"/>
      <c r="BU885" s="222"/>
      <c r="BV885" s="222"/>
      <c r="BW885" s="222"/>
      <c r="BX885" s="222"/>
      <c r="BY885" s="222"/>
      <c r="BZ885" s="222"/>
      <c r="CA885" s="222"/>
      <c r="CB885" s="222"/>
      <c r="CC885" s="222"/>
      <c r="CD885" s="222"/>
      <c r="CE885" s="222"/>
      <c r="CF885" s="222"/>
      <c r="CG885" s="222"/>
      <c r="CH885" s="222"/>
      <c r="CI885" s="222"/>
      <c r="CJ885" s="222"/>
      <c r="CK885" s="222"/>
      <c r="CL885" s="222"/>
      <c r="CM885" s="222"/>
      <c r="CN885" s="222"/>
      <c r="CO885" s="222"/>
      <c r="CP885" s="222"/>
      <c r="CQ885" s="222"/>
      <c r="CR885" s="222"/>
      <c r="CS885" s="222"/>
    </row>
    <row r="886">
      <c r="A886" s="43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  <c r="AC886" s="222"/>
      <c r="AD886" s="222"/>
      <c r="AE886" s="222"/>
      <c r="AF886" s="222"/>
      <c r="AG886" s="222"/>
      <c r="AH886" s="222"/>
      <c r="AI886" s="222"/>
      <c r="AJ886" s="222"/>
      <c r="AK886" s="222"/>
      <c r="AL886" s="222"/>
      <c r="AM886" s="222"/>
      <c r="AN886" s="222"/>
      <c r="AO886" s="222"/>
      <c r="AP886" s="222"/>
      <c r="AQ886" s="222"/>
      <c r="AR886" s="222"/>
      <c r="AS886" s="222"/>
      <c r="AT886" s="222"/>
      <c r="AU886" s="222"/>
      <c r="AV886" s="222"/>
      <c r="AW886" s="222"/>
      <c r="AX886" s="222"/>
      <c r="AY886" s="222"/>
      <c r="AZ886" s="222"/>
      <c r="BA886" s="222"/>
      <c r="BB886" s="222"/>
      <c r="BC886" s="222"/>
      <c r="BD886" s="222"/>
      <c r="BE886" s="222"/>
      <c r="BF886" s="222"/>
      <c r="BG886" s="222"/>
      <c r="BH886" s="222"/>
      <c r="BI886" s="222"/>
      <c r="BJ886" s="222"/>
      <c r="BK886" s="222"/>
      <c r="BL886" s="222"/>
      <c r="BM886" s="222"/>
      <c r="BN886" s="222"/>
      <c r="BO886" s="222"/>
      <c r="BP886" s="222"/>
      <c r="BQ886" s="222"/>
      <c r="BR886" s="222"/>
      <c r="BS886" s="222"/>
      <c r="BT886" s="222"/>
      <c r="BU886" s="222"/>
      <c r="BV886" s="222"/>
      <c r="BW886" s="222"/>
      <c r="BX886" s="222"/>
      <c r="BY886" s="222"/>
      <c r="BZ886" s="222"/>
      <c r="CA886" s="222"/>
      <c r="CB886" s="222"/>
      <c r="CC886" s="222"/>
      <c r="CD886" s="222"/>
      <c r="CE886" s="222"/>
      <c r="CF886" s="222"/>
      <c r="CG886" s="222"/>
      <c r="CH886" s="222"/>
      <c r="CI886" s="222"/>
      <c r="CJ886" s="222"/>
      <c r="CK886" s="222"/>
      <c r="CL886" s="222"/>
      <c r="CM886" s="222"/>
      <c r="CN886" s="222"/>
      <c r="CO886" s="222"/>
      <c r="CP886" s="222"/>
      <c r="CQ886" s="222"/>
      <c r="CR886" s="222"/>
      <c r="CS886" s="222"/>
    </row>
    <row r="887">
      <c r="A887" s="43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  <c r="AC887" s="222"/>
      <c r="AD887" s="222"/>
      <c r="AE887" s="222"/>
      <c r="AF887" s="222"/>
      <c r="AG887" s="222"/>
      <c r="AH887" s="222"/>
      <c r="AI887" s="222"/>
      <c r="AJ887" s="222"/>
      <c r="AK887" s="222"/>
      <c r="AL887" s="222"/>
      <c r="AM887" s="222"/>
      <c r="AN887" s="222"/>
      <c r="AO887" s="222"/>
      <c r="AP887" s="222"/>
      <c r="AQ887" s="222"/>
      <c r="AR887" s="222"/>
      <c r="AS887" s="222"/>
      <c r="AT887" s="222"/>
      <c r="AU887" s="222"/>
      <c r="AV887" s="222"/>
      <c r="AW887" s="222"/>
      <c r="AX887" s="222"/>
      <c r="AY887" s="222"/>
      <c r="AZ887" s="222"/>
      <c r="BA887" s="222"/>
      <c r="BB887" s="222"/>
      <c r="BC887" s="222"/>
      <c r="BD887" s="222"/>
      <c r="BE887" s="222"/>
      <c r="BF887" s="222"/>
      <c r="BG887" s="222"/>
      <c r="BH887" s="222"/>
      <c r="BI887" s="222"/>
      <c r="BJ887" s="222"/>
      <c r="BK887" s="222"/>
      <c r="BL887" s="222"/>
      <c r="BM887" s="222"/>
      <c r="BN887" s="222"/>
      <c r="BO887" s="222"/>
      <c r="BP887" s="222"/>
      <c r="BQ887" s="222"/>
      <c r="BR887" s="222"/>
      <c r="BS887" s="222"/>
      <c r="BT887" s="222"/>
      <c r="BU887" s="222"/>
      <c r="BV887" s="222"/>
      <c r="BW887" s="222"/>
      <c r="BX887" s="222"/>
      <c r="BY887" s="222"/>
      <c r="BZ887" s="222"/>
      <c r="CA887" s="222"/>
      <c r="CB887" s="222"/>
      <c r="CC887" s="222"/>
      <c r="CD887" s="222"/>
      <c r="CE887" s="222"/>
      <c r="CF887" s="222"/>
      <c r="CG887" s="222"/>
      <c r="CH887" s="222"/>
      <c r="CI887" s="222"/>
      <c r="CJ887" s="222"/>
      <c r="CK887" s="222"/>
      <c r="CL887" s="222"/>
      <c r="CM887" s="222"/>
      <c r="CN887" s="222"/>
      <c r="CO887" s="222"/>
      <c r="CP887" s="222"/>
      <c r="CQ887" s="222"/>
      <c r="CR887" s="222"/>
      <c r="CS887" s="222"/>
    </row>
    <row r="888">
      <c r="A888" s="43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  <c r="AC888" s="222"/>
      <c r="AD888" s="222"/>
      <c r="AE888" s="222"/>
      <c r="AF888" s="222"/>
      <c r="AG888" s="222"/>
      <c r="AH888" s="222"/>
      <c r="AI888" s="222"/>
      <c r="AJ888" s="222"/>
      <c r="AK888" s="222"/>
      <c r="AL888" s="222"/>
      <c r="AM888" s="222"/>
      <c r="AN888" s="222"/>
      <c r="AO888" s="222"/>
      <c r="AP888" s="222"/>
      <c r="AQ888" s="222"/>
      <c r="AR888" s="222"/>
      <c r="AS888" s="222"/>
      <c r="AT888" s="222"/>
      <c r="AU888" s="222"/>
      <c r="AV888" s="222"/>
      <c r="AW888" s="222"/>
      <c r="AX888" s="222"/>
      <c r="AY888" s="222"/>
      <c r="AZ888" s="222"/>
      <c r="BA888" s="222"/>
      <c r="BB888" s="222"/>
      <c r="BC888" s="222"/>
      <c r="BD888" s="222"/>
      <c r="BE888" s="222"/>
      <c r="BF888" s="222"/>
      <c r="BG888" s="222"/>
      <c r="BH888" s="222"/>
      <c r="BI888" s="222"/>
      <c r="BJ888" s="222"/>
      <c r="BK888" s="222"/>
      <c r="BL888" s="222"/>
      <c r="BM888" s="222"/>
      <c r="BN888" s="222"/>
      <c r="BO888" s="222"/>
      <c r="BP888" s="222"/>
      <c r="BQ888" s="222"/>
      <c r="BR888" s="222"/>
      <c r="BS888" s="222"/>
      <c r="BT888" s="222"/>
      <c r="BU888" s="222"/>
      <c r="BV888" s="222"/>
      <c r="BW888" s="222"/>
      <c r="BX888" s="222"/>
      <c r="BY888" s="222"/>
      <c r="BZ888" s="222"/>
      <c r="CA888" s="222"/>
      <c r="CB888" s="222"/>
      <c r="CC888" s="222"/>
      <c r="CD888" s="222"/>
      <c r="CE888" s="222"/>
      <c r="CF888" s="222"/>
      <c r="CG888" s="222"/>
      <c r="CH888" s="222"/>
      <c r="CI888" s="222"/>
      <c r="CJ888" s="222"/>
      <c r="CK888" s="222"/>
      <c r="CL888" s="222"/>
      <c r="CM888" s="222"/>
      <c r="CN888" s="222"/>
      <c r="CO888" s="222"/>
      <c r="CP888" s="222"/>
      <c r="CQ888" s="222"/>
      <c r="CR888" s="222"/>
      <c r="CS888" s="222"/>
    </row>
    <row r="889">
      <c r="A889" s="43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  <c r="AC889" s="222"/>
      <c r="AD889" s="222"/>
      <c r="AE889" s="222"/>
      <c r="AF889" s="222"/>
      <c r="AG889" s="222"/>
      <c r="AH889" s="222"/>
      <c r="AI889" s="222"/>
      <c r="AJ889" s="222"/>
      <c r="AK889" s="222"/>
      <c r="AL889" s="222"/>
      <c r="AM889" s="222"/>
      <c r="AN889" s="222"/>
      <c r="AO889" s="222"/>
      <c r="AP889" s="222"/>
      <c r="AQ889" s="222"/>
      <c r="AR889" s="222"/>
      <c r="AS889" s="222"/>
      <c r="AT889" s="222"/>
      <c r="AU889" s="222"/>
      <c r="AV889" s="222"/>
      <c r="AW889" s="222"/>
      <c r="AX889" s="222"/>
      <c r="AY889" s="222"/>
      <c r="AZ889" s="222"/>
      <c r="BA889" s="222"/>
      <c r="BB889" s="222"/>
      <c r="BC889" s="222"/>
      <c r="BD889" s="222"/>
      <c r="BE889" s="222"/>
      <c r="BF889" s="222"/>
      <c r="BG889" s="222"/>
      <c r="BH889" s="222"/>
      <c r="BI889" s="222"/>
      <c r="BJ889" s="222"/>
      <c r="BK889" s="222"/>
      <c r="BL889" s="222"/>
      <c r="BM889" s="222"/>
      <c r="BN889" s="222"/>
      <c r="BO889" s="222"/>
      <c r="BP889" s="222"/>
      <c r="BQ889" s="222"/>
      <c r="BR889" s="222"/>
      <c r="BS889" s="222"/>
      <c r="BT889" s="222"/>
      <c r="BU889" s="222"/>
      <c r="BV889" s="222"/>
      <c r="BW889" s="222"/>
      <c r="BX889" s="222"/>
      <c r="BY889" s="222"/>
      <c r="BZ889" s="222"/>
      <c r="CA889" s="222"/>
      <c r="CB889" s="222"/>
      <c r="CC889" s="222"/>
      <c r="CD889" s="222"/>
      <c r="CE889" s="222"/>
      <c r="CF889" s="222"/>
      <c r="CG889" s="222"/>
      <c r="CH889" s="222"/>
      <c r="CI889" s="222"/>
      <c r="CJ889" s="222"/>
      <c r="CK889" s="222"/>
      <c r="CL889" s="222"/>
      <c r="CM889" s="222"/>
      <c r="CN889" s="222"/>
      <c r="CO889" s="222"/>
      <c r="CP889" s="222"/>
      <c r="CQ889" s="222"/>
      <c r="CR889" s="222"/>
      <c r="CS889" s="222"/>
    </row>
    <row r="890">
      <c r="A890" s="43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  <c r="AC890" s="222"/>
      <c r="AD890" s="222"/>
      <c r="AE890" s="222"/>
      <c r="AF890" s="222"/>
      <c r="AG890" s="222"/>
      <c r="AH890" s="222"/>
      <c r="AI890" s="222"/>
      <c r="AJ890" s="222"/>
      <c r="AK890" s="222"/>
      <c r="AL890" s="222"/>
      <c r="AM890" s="222"/>
      <c r="AN890" s="222"/>
      <c r="AO890" s="222"/>
      <c r="AP890" s="222"/>
      <c r="AQ890" s="222"/>
      <c r="AR890" s="222"/>
      <c r="AS890" s="222"/>
      <c r="AT890" s="222"/>
      <c r="AU890" s="222"/>
      <c r="AV890" s="222"/>
      <c r="AW890" s="222"/>
      <c r="AX890" s="222"/>
      <c r="AY890" s="222"/>
      <c r="AZ890" s="222"/>
      <c r="BA890" s="222"/>
      <c r="BB890" s="222"/>
      <c r="BC890" s="222"/>
      <c r="BD890" s="222"/>
      <c r="BE890" s="222"/>
      <c r="BF890" s="222"/>
      <c r="BG890" s="222"/>
      <c r="BH890" s="222"/>
      <c r="BI890" s="222"/>
      <c r="BJ890" s="222"/>
      <c r="BK890" s="222"/>
      <c r="BL890" s="222"/>
      <c r="BM890" s="222"/>
      <c r="BN890" s="222"/>
      <c r="BO890" s="222"/>
      <c r="BP890" s="222"/>
      <c r="BQ890" s="222"/>
      <c r="BR890" s="222"/>
      <c r="BS890" s="222"/>
      <c r="BT890" s="222"/>
      <c r="BU890" s="222"/>
      <c r="BV890" s="222"/>
      <c r="BW890" s="222"/>
      <c r="BX890" s="222"/>
      <c r="BY890" s="222"/>
      <c r="BZ890" s="222"/>
      <c r="CA890" s="222"/>
      <c r="CB890" s="222"/>
      <c r="CC890" s="222"/>
      <c r="CD890" s="222"/>
      <c r="CE890" s="222"/>
      <c r="CF890" s="222"/>
      <c r="CG890" s="222"/>
      <c r="CH890" s="222"/>
      <c r="CI890" s="222"/>
      <c r="CJ890" s="222"/>
      <c r="CK890" s="222"/>
      <c r="CL890" s="222"/>
      <c r="CM890" s="222"/>
      <c r="CN890" s="222"/>
      <c r="CO890" s="222"/>
      <c r="CP890" s="222"/>
      <c r="CQ890" s="222"/>
      <c r="CR890" s="222"/>
      <c r="CS890" s="222"/>
    </row>
    <row r="891">
      <c r="A891" s="43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  <c r="AC891" s="222"/>
      <c r="AD891" s="222"/>
      <c r="AE891" s="222"/>
      <c r="AF891" s="222"/>
      <c r="AG891" s="222"/>
      <c r="AH891" s="222"/>
      <c r="AI891" s="222"/>
      <c r="AJ891" s="222"/>
      <c r="AK891" s="222"/>
      <c r="AL891" s="222"/>
      <c r="AM891" s="222"/>
      <c r="AN891" s="222"/>
      <c r="AO891" s="222"/>
      <c r="AP891" s="222"/>
      <c r="AQ891" s="222"/>
      <c r="AR891" s="222"/>
      <c r="AS891" s="222"/>
      <c r="AT891" s="222"/>
      <c r="AU891" s="222"/>
      <c r="AV891" s="222"/>
      <c r="AW891" s="222"/>
      <c r="AX891" s="222"/>
      <c r="AY891" s="222"/>
      <c r="AZ891" s="222"/>
      <c r="BA891" s="222"/>
      <c r="BB891" s="222"/>
      <c r="BC891" s="222"/>
      <c r="BD891" s="222"/>
      <c r="BE891" s="222"/>
      <c r="BF891" s="222"/>
      <c r="BG891" s="222"/>
      <c r="BH891" s="222"/>
      <c r="BI891" s="222"/>
      <c r="BJ891" s="222"/>
      <c r="BK891" s="222"/>
      <c r="BL891" s="222"/>
      <c r="BM891" s="222"/>
      <c r="BN891" s="222"/>
      <c r="BO891" s="222"/>
      <c r="BP891" s="222"/>
      <c r="BQ891" s="222"/>
      <c r="BR891" s="222"/>
      <c r="BS891" s="222"/>
      <c r="BT891" s="222"/>
      <c r="BU891" s="222"/>
      <c r="BV891" s="222"/>
      <c r="BW891" s="222"/>
      <c r="BX891" s="222"/>
      <c r="BY891" s="222"/>
      <c r="BZ891" s="222"/>
      <c r="CA891" s="222"/>
      <c r="CB891" s="222"/>
      <c r="CC891" s="222"/>
      <c r="CD891" s="222"/>
      <c r="CE891" s="222"/>
      <c r="CF891" s="222"/>
      <c r="CG891" s="222"/>
      <c r="CH891" s="222"/>
      <c r="CI891" s="222"/>
      <c r="CJ891" s="222"/>
      <c r="CK891" s="222"/>
      <c r="CL891" s="222"/>
      <c r="CM891" s="222"/>
      <c r="CN891" s="222"/>
      <c r="CO891" s="222"/>
      <c r="CP891" s="222"/>
      <c r="CQ891" s="222"/>
      <c r="CR891" s="222"/>
      <c r="CS891" s="222"/>
    </row>
    <row r="892">
      <c r="A892" s="43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  <c r="AC892" s="222"/>
      <c r="AD892" s="222"/>
      <c r="AE892" s="222"/>
      <c r="AF892" s="222"/>
      <c r="AG892" s="222"/>
      <c r="AH892" s="222"/>
      <c r="AI892" s="222"/>
      <c r="AJ892" s="222"/>
      <c r="AK892" s="222"/>
      <c r="AL892" s="222"/>
      <c r="AM892" s="222"/>
      <c r="AN892" s="222"/>
      <c r="AO892" s="222"/>
      <c r="AP892" s="222"/>
      <c r="AQ892" s="222"/>
      <c r="AR892" s="222"/>
      <c r="AS892" s="222"/>
      <c r="AT892" s="222"/>
      <c r="AU892" s="222"/>
      <c r="AV892" s="222"/>
      <c r="AW892" s="222"/>
      <c r="AX892" s="222"/>
      <c r="AY892" s="222"/>
      <c r="AZ892" s="222"/>
      <c r="BA892" s="222"/>
      <c r="BB892" s="222"/>
      <c r="BC892" s="222"/>
      <c r="BD892" s="222"/>
      <c r="BE892" s="222"/>
      <c r="BF892" s="222"/>
      <c r="BG892" s="222"/>
      <c r="BH892" s="222"/>
      <c r="BI892" s="222"/>
      <c r="BJ892" s="222"/>
      <c r="BK892" s="222"/>
      <c r="BL892" s="222"/>
      <c r="BM892" s="222"/>
      <c r="BN892" s="222"/>
      <c r="BO892" s="222"/>
      <c r="BP892" s="222"/>
      <c r="BQ892" s="222"/>
      <c r="BR892" s="222"/>
      <c r="BS892" s="222"/>
      <c r="BT892" s="222"/>
      <c r="BU892" s="222"/>
      <c r="BV892" s="222"/>
      <c r="BW892" s="222"/>
      <c r="BX892" s="222"/>
      <c r="BY892" s="222"/>
      <c r="BZ892" s="222"/>
      <c r="CA892" s="222"/>
      <c r="CB892" s="222"/>
      <c r="CC892" s="222"/>
      <c r="CD892" s="222"/>
      <c r="CE892" s="222"/>
      <c r="CF892" s="222"/>
      <c r="CG892" s="222"/>
      <c r="CH892" s="222"/>
      <c r="CI892" s="222"/>
      <c r="CJ892" s="222"/>
      <c r="CK892" s="222"/>
      <c r="CL892" s="222"/>
      <c r="CM892" s="222"/>
      <c r="CN892" s="222"/>
      <c r="CO892" s="222"/>
      <c r="CP892" s="222"/>
      <c r="CQ892" s="222"/>
      <c r="CR892" s="222"/>
      <c r="CS892" s="222"/>
    </row>
    <row r="893">
      <c r="A893" s="43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  <c r="AC893" s="222"/>
      <c r="AD893" s="222"/>
      <c r="AE893" s="222"/>
      <c r="AF893" s="222"/>
      <c r="AG893" s="222"/>
      <c r="AH893" s="222"/>
      <c r="AI893" s="222"/>
      <c r="AJ893" s="222"/>
      <c r="AK893" s="222"/>
      <c r="AL893" s="222"/>
      <c r="AM893" s="222"/>
      <c r="AN893" s="222"/>
      <c r="AO893" s="222"/>
      <c r="AP893" s="222"/>
      <c r="AQ893" s="222"/>
      <c r="AR893" s="222"/>
      <c r="AS893" s="222"/>
      <c r="AT893" s="222"/>
      <c r="AU893" s="222"/>
      <c r="AV893" s="222"/>
      <c r="AW893" s="222"/>
      <c r="AX893" s="222"/>
      <c r="AY893" s="222"/>
      <c r="AZ893" s="222"/>
      <c r="BA893" s="222"/>
      <c r="BB893" s="222"/>
      <c r="BC893" s="222"/>
      <c r="BD893" s="222"/>
      <c r="BE893" s="222"/>
      <c r="BF893" s="222"/>
      <c r="BG893" s="222"/>
      <c r="BH893" s="222"/>
      <c r="BI893" s="222"/>
      <c r="BJ893" s="222"/>
      <c r="BK893" s="222"/>
      <c r="BL893" s="222"/>
      <c r="BM893" s="222"/>
      <c r="BN893" s="222"/>
      <c r="BO893" s="222"/>
      <c r="BP893" s="222"/>
      <c r="BQ893" s="222"/>
      <c r="BR893" s="222"/>
      <c r="BS893" s="222"/>
      <c r="BT893" s="222"/>
      <c r="BU893" s="222"/>
      <c r="BV893" s="222"/>
      <c r="BW893" s="222"/>
      <c r="BX893" s="222"/>
      <c r="BY893" s="222"/>
      <c r="BZ893" s="222"/>
      <c r="CA893" s="222"/>
      <c r="CB893" s="222"/>
      <c r="CC893" s="222"/>
      <c r="CD893" s="222"/>
      <c r="CE893" s="222"/>
      <c r="CF893" s="222"/>
      <c r="CG893" s="222"/>
      <c r="CH893" s="222"/>
      <c r="CI893" s="222"/>
      <c r="CJ893" s="222"/>
      <c r="CK893" s="222"/>
      <c r="CL893" s="222"/>
      <c r="CM893" s="222"/>
      <c r="CN893" s="222"/>
      <c r="CO893" s="222"/>
      <c r="CP893" s="222"/>
      <c r="CQ893" s="222"/>
      <c r="CR893" s="222"/>
      <c r="CS893" s="222"/>
    </row>
    <row r="894">
      <c r="A894" s="43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  <c r="AC894" s="222"/>
      <c r="AD894" s="222"/>
      <c r="AE894" s="222"/>
      <c r="AF894" s="222"/>
      <c r="AG894" s="222"/>
      <c r="AH894" s="222"/>
      <c r="AI894" s="222"/>
      <c r="AJ894" s="222"/>
      <c r="AK894" s="222"/>
      <c r="AL894" s="222"/>
      <c r="AM894" s="222"/>
      <c r="AN894" s="222"/>
      <c r="AO894" s="222"/>
      <c r="AP894" s="222"/>
      <c r="AQ894" s="222"/>
      <c r="AR894" s="222"/>
      <c r="AS894" s="222"/>
      <c r="AT894" s="222"/>
      <c r="AU894" s="222"/>
      <c r="AV894" s="222"/>
      <c r="AW894" s="222"/>
      <c r="AX894" s="222"/>
      <c r="AY894" s="222"/>
      <c r="AZ894" s="222"/>
      <c r="BA894" s="222"/>
      <c r="BB894" s="222"/>
      <c r="BC894" s="222"/>
      <c r="BD894" s="222"/>
      <c r="BE894" s="222"/>
      <c r="BF894" s="222"/>
      <c r="BG894" s="222"/>
      <c r="BH894" s="222"/>
      <c r="BI894" s="222"/>
      <c r="BJ894" s="222"/>
      <c r="BK894" s="222"/>
      <c r="BL894" s="222"/>
      <c r="BM894" s="222"/>
      <c r="BN894" s="222"/>
      <c r="BO894" s="222"/>
      <c r="BP894" s="222"/>
      <c r="BQ894" s="222"/>
      <c r="BR894" s="222"/>
      <c r="BS894" s="222"/>
      <c r="BT894" s="222"/>
      <c r="BU894" s="222"/>
      <c r="BV894" s="222"/>
      <c r="BW894" s="222"/>
      <c r="BX894" s="222"/>
      <c r="BY894" s="222"/>
      <c r="BZ894" s="222"/>
      <c r="CA894" s="222"/>
      <c r="CB894" s="222"/>
      <c r="CC894" s="222"/>
      <c r="CD894" s="222"/>
      <c r="CE894" s="222"/>
      <c r="CF894" s="222"/>
      <c r="CG894" s="222"/>
      <c r="CH894" s="222"/>
      <c r="CI894" s="222"/>
      <c r="CJ894" s="222"/>
      <c r="CK894" s="222"/>
      <c r="CL894" s="222"/>
      <c r="CM894" s="222"/>
      <c r="CN894" s="222"/>
      <c r="CO894" s="222"/>
      <c r="CP894" s="222"/>
      <c r="CQ894" s="222"/>
      <c r="CR894" s="222"/>
      <c r="CS894" s="222"/>
    </row>
    <row r="895">
      <c r="A895" s="432"/>
      <c r="B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  <c r="AC895" s="222"/>
      <c r="AD895" s="222"/>
      <c r="AE895" s="222"/>
      <c r="AF895" s="222"/>
      <c r="AG895" s="222"/>
      <c r="AH895" s="222"/>
      <c r="AI895" s="222"/>
      <c r="AJ895" s="222"/>
      <c r="AK895" s="222"/>
      <c r="AL895" s="222"/>
      <c r="AM895" s="222"/>
      <c r="AN895" s="222"/>
      <c r="AO895" s="222"/>
      <c r="AP895" s="222"/>
      <c r="AQ895" s="222"/>
      <c r="AR895" s="222"/>
      <c r="AS895" s="222"/>
      <c r="AT895" s="222"/>
      <c r="AU895" s="222"/>
      <c r="AV895" s="222"/>
      <c r="AW895" s="222"/>
      <c r="AX895" s="222"/>
      <c r="AY895" s="222"/>
      <c r="AZ895" s="222"/>
      <c r="BA895" s="222"/>
      <c r="BB895" s="222"/>
      <c r="BC895" s="222"/>
      <c r="BD895" s="222"/>
      <c r="BE895" s="222"/>
      <c r="BF895" s="222"/>
      <c r="BG895" s="222"/>
      <c r="BH895" s="222"/>
      <c r="BI895" s="222"/>
      <c r="BJ895" s="222"/>
      <c r="BK895" s="222"/>
      <c r="BL895" s="222"/>
      <c r="BM895" s="222"/>
      <c r="BN895" s="222"/>
      <c r="BO895" s="222"/>
      <c r="BP895" s="222"/>
      <c r="BQ895" s="222"/>
      <c r="BR895" s="222"/>
      <c r="BS895" s="222"/>
      <c r="BT895" s="222"/>
      <c r="BU895" s="222"/>
      <c r="BV895" s="222"/>
      <c r="BW895" s="222"/>
      <c r="BX895" s="222"/>
      <c r="BY895" s="222"/>
      <c r="BZ895" s="222"/>
      <c r="CA895" s="222"/>
      <c r="CB895" s="222"/>
      <c r="CC895" s="222"/>
      <c r="CD895" s="222"/>
      <c r="CE895" s="222"/>
      <c r="CF895" s="222"/>
      <c r="CG895" s="222"/>
      <c r="CH895" s="222"/>
      <c r="CI895" s="222"/>
      <c r="CJ895" s="222"/>
      <c r="CK895" s="222"/>
      <c r="CL895" s="222"/>
      <c r="CM895" s="222"/>
      <c r="CN895" s="222"/>
      <c r="CO895" s="222"/>
      <c r="CP895" s="222"/>
      <c r="CQ895" s="222"/>
      <c r="CR895" s="222"/>
      <c r="CS895" s="222"/>
    </row>
    <row r="896">
      <c r="A896" s="432"/>
      <c r="B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  <c r="AC896" s="222"/>
      <c r="AD896" s="222"/>
      <c r="AE896" s="222"/>
      <c r="AF896" s="222"/>
      <c r="AG896" s="222"/>
      <c r="AH896" s="222"/>
      <c r="AI896" s="222"/>
      <c r="AJ896" s="222"/>
      <c r="AK896" s="222"/>
      <c r="AL896" s="222"/>
      <c r="AM896" s="222"/>
      <c r="AN896" s="222"/>
      <c r="AO896" s="222"/>
      <c r="AP896" s="222"/>
      <c r="AQ896" s="222"/>
      <c r="AR896" s="222"/>
      <c r="AS896" s="222"/>
      <c r="AT896" s="222"/>
      <c r="AU896" s="222"/>
      <c r="AV896" s="222"/>
      <c r="AW896" s="222"/>
      <c r="AX896" s="222"/>
      <c r="AY896" s="222"/>
      <c r="AZ896" s="222"/>
      <c r="BA896" s="222"/>
      <c r="BB896" s="222"/>
      <c r="BC896" s="222"/>
      <c r="BD896" s="222"/>
      <c r="BE896" s="222"/>
      <c r="BF896" s="222"/>
      <c r="BG896" s="222"/>
      <c r="BH896" s="222"/>
      <c r="BI896" s="222"/>
      <c r="BJ896" s="222"/>
      <c r="BK896" s="222"/>
      <c r="BL896" s="222"/>
      <c r="BM896" s="222"/>
      <c r="BN896" s="222"/>
      <c r="BO896" s="222"/>
      <c r="BP896" s="222"/>
      <c r="BQ896" s="222"/>
      <c r="BR896" s="222"/>
      <c r="BS896" s="222"/>
      <c r="BT896" s="222"/>
      <c r="BU896" s="222"/>
      <c r="BV896" s="222"/>
      <c r="BW896" s="222"/>
      <c r="BX896" s="222"/>
      <c r="BY896" s="222"/>
      <c r="BZ896" s="222"/>
      <c r="CA896" s="222"/>
      <c r="CB896" s="222"/>
      <c r="CC896" s="222"/>
      <c r="CD896" s="222"/>
      <c r="CE896" s="222"/>
      <c r="CF896" s="222"/>
      <c r="CG896" s="222"/>
      <c r="CH896" s="222"/>
      <c r="CI896" s="222"/>
      <c r="CJ896" s="222"/>
      <c r="CK896" s="222"/>
      <c r="CL896" s="222"/>
      <c r="CM896" s="222"/>
      <c r="CN896" s="222"/>
      <c r="CO896" s="222"/>
      <c r="CP896" s="222"/>
      <c r="CQ896" s="222"/>
      <c r="CR896" s="222"/>
      <c r="CS896" s="222"/>
    </row>
    <row r="897">
      <c r="A897" s="432"/>
      <c r="B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  <c r="AC897" s="222"/>
      <c r="AD897" s="222"/>
      <c r="AE897" s="222"/>
      <c r="AF897" s="222"/>
      <c r="AG897" s="222"/>
      <c r="AH897" s="222"/>
      <c r="AI897" s="222"/>
      <c r="AJ897" s="222"/>
      <c r="AK897" s="222"/>
      <c r="AL897" s="222"/>
      <c r="AM897" s="222"/>
      <c r="AN897" s="222"/>
      <c r="AO897" s="222"/>
      <c r="AP897" s="222"/>
      <c r="AQ897" s="222"/>
      <c r="AR897" s="222"/>
      <c r="AS897" s="222"/>
      <c r="AT897" s="222"/>
      <c r="AU897" s="222"/>
      <c r="AV897" s="222"/>
      <c r="AW897" s="222"/>
      <c r="AX897" s="222"/>
      <c r="AY897" s="222"/>
      <c r="AZ897" s="222"/>
      <c r="BA897" s="222"/>
      <c r="BB897" s="222"/>
      <c r="BC897" s="222"/>
      <c r="BD897" s="222"/>
      <c r="BE897" s="222"/>
      <c r="BF897" s="222"/>
      <c r="BG897" s="222"/>
      <c r="BH897" s="222"/>
      <c r="BI897" s="222"/>
      <c r="BJ897" s="222"/>
      <c r="BK897" s="222"/>
      <c r="BL897" s="222"/>
      <c r="BM897" s="222"/>
      <c r="BN897" s="222"/>
      <c r="BO897" s="222"/>
      <c r="BP897" s="222"/>
      <c r="BQ897" s="222"/>
      <c r="BR897" s="222"/>
      <c r="BS897" s="222"/>
      <c r="BT897" s="222"/>
      <c r="BU897" s="222"/>
      <c r="BV897" s="222"/>
      <c r="BW897" s="222"/>
      <c r="BX897" s="222"/>
      <c r="BY897" s="222"/>
      <c r="BZ897" s="222"/>
      <c r="CA897" s="222"/>
      <c r="CB897" s="222"/>
      <c r="CC897" s="222"/>
      <c r="CD897" s="222"/>
      <c r="CE897" s="222"/>
      <c r="CF897" s="222"/>
      <c r="CG897" s="222"/>
      <c r="CH897" s="222"/>
      <c r="CI897" s="222"/>
      <c r="CJ897" s="222"/>
      <c r="CK897" s="222"/>
      <c r="CL897" s="222"/>
      <c r="CM897" s="222"/>
      <c r="CN897" s="222"/>
      <c r="CO897" s="222"/>
      <c r="CP897" s="222"/>
      <c r="CQ897" s="222"/>
      <c r="CR897" s="222"/>
      <c r="CS897" s="222"/>
    </row>
    <row r="898">
      <c r="A898" s="432"/>
      <c r="B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2"/>
      <c r="AE898" s="222"/>
      <c r="AF898" s="222"/>
      <c r="AG898" s="222"/>
      <c r="AH898" s="222"/>
      <c r="AI898" s="222"/>
      <c r="AJ898" s="222"/>
      <c r="AK898" s="222"/>
      <c r="AL898" s="222"/>
      <c r="AM898" s="222"/>
      <c r="AN898" s="222"/>
      <c r="AO898" s="222"/>
      <c r="AP898" s="222"/>
      <c r="AQ898" s="222"/>
      <c r="AR898" s="222"/>
      <c r="AS898" s="222"/>
      <c r="AT898" s="222"/>
      <c r="AU898" s="222"/>
      <c r="AV898" s="222"/>
      <c r="AW898" s="222"/>
      <c r="AX898" s="222"/>
      <c r="AY898" s="222"/>
      <c r="AZ898" s="222"/>
      <c r="BA898" s="222"/>
      <c r="BB898" s="222"/>
      <c r="BC898" s="222"/>
      <c r="BD898" s="222"/>
      <c r="BE898" s="222"/>
      <c r="BF898" s="222"/>
      <c r="BG898" s="222"/>
      <c r="BH898" s="222"/>
      <c r="BI898" s="222"/>
      <c r="BJ898" s="222"/>
      <c r="BK898" s="222"/>
      <c r="BL898" s="222"/>
      <c r="BM898" s="222"/>
      <c r="BN898" s="222"/>
      <c r="BO898" s="222"/>
      <c r="BP898" s="222"/>
      <c r="BQ898" s="222"/>
      <c r="BR898" s="222"/>
      <c r="BS898" s="222"/>
      <c r="BT898" s="222"/>
      <c r="BU898" s="222"/>
      <c r="BV898" s="222"/>
      <c r="BW898" s="222"/>
      <c r="BX898" s="222"/>
      <c r="BY898" s="222"/>
      <c r="BZ898" s="222"/>
      <c r="CA898" s="222"/>
      <c r="CB898" s="222"/>
      <c r="CC898" s="222"/>
      <c r="CD898" s="222"/>
      <c r="CE898" s="222"/>
      <c r="CF898" s="222"/>
      <c r="CG898" s="222"/>
      <c r="CH898" s="222"/>
      <c r="CI898" s="222"/>
      <c r="CJ898" s="222"/>
      <c r="CK898" s="222"/>
      <c r="CL898" s="222"/>
      <c r="CM898" s="222"/>
      <c r="CN898" s="222"/>
      <c r="CO898" s="222"/>
      <c r="CP898" s="222"/>
      <c r="CQ898" s="222"/>
      <c r="CR898" s="222"/>
      <c r="CS898" s="222"/>
    </row>
    <row r="899">
      <c r="A899" s="43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  <c r="AC899" s="222"/>
      <c r="AD899" s="222"/>
      <c r="AE899" s="222"/>
      <c r="AF899" s="222"/>
      <c r="AG899" s="222"/>
      <c r="AH899" s="222"/>
      <c r="AI899" s="222"/>
      <c r="AJ899" s="222"/>
      <c r="AK899" s="222"/>
      <c r="AL899" s="222"/>
      <c r="AM899" s="222"/>
      <c r="AN899" s="222"/>
      <c r="AO899" s="222"/>
      <c r="AP899" s="222"/>
      <c r="AQ899" s="222"/>
      <c r="AR899" s="222"/>
      <c r="AS899" s="222"/>
      <c r="AT899" s="222"/>
      <c r="AU899" s="222"/>
      <c r="AV899" s="222"/>
      <c r="AW899" s="222"/>
      <c r="AX899" s="222"/>
      <c r="AY899" s="222"/>
      <c r="AZ899" s="222"/>
      <c r="BA899" s="222"/>
      <c r="BB899" s="222"/>
      <c r="BC899" s="222"/>
      <c r="BD899" s="222"/>
      <c r="BE899" s="222"/>
      <c r="BF899" s="222"/>
      <c r="BG899" s="222"/>
      <c r="BH899" s="222"/>
      <c r="BI899" s="222"/>
      <c r="BJ899" s="222"/>
      <c r="BK899" s="222"/>
      <c r="BL899" s="222"/>
      <c r="BM899" s="222"/>
      <c r="BN899" s="222"/>
      <c r="BO899" s="222"/>
      <c r="BP899" s="222"/>
      <c r="BQ899" s="222"/>
      <c r="BR899" s="222"/>
      <c r="BS899" s="222"/>
      <c r="BT899" s="222"/>
      <c r="BU899" s="222"/>
      <c r="BV899" s="222"/>
      <c r="BW899" s="222"/>
      <c r="BX899" s="222"/>
      <c r="BY899" s="222"/>
      <c r="BZ899" s="222"/>
      <c r="CA899" s="222"/>
      <c r="CB899" s="222"/>
      <c r="CC899" s="222"/>
      <c r="CD899" s="222"/>
      <c r="CE899" s="222"/>
      <c r="CF899" s="222"/>
      <c r="CG899" s="222"/>
      <c r="CH899" s="222"/>
      <c r="CI899" s="222"/>
      <c r="CJ899" s="222"/>
      <c r="CK899" s="222"/>
      <c r="CL899" s="222"/>
      <c r="CM899" s="222"/>
      <c r="CN899" s="222"/>
      <c r="CO899" s="222"/>
      <c r="CP899" s="222"/>
      <c r="CQ899" s="222"/>
      <c r="CR899" s="222"/>
      <c r="CS899" s="222"/>
    </row>
    <row r="900">
      <c r="A900" s="493"/>
    </row>
    <row r="901">
      <c r="A901" s="493"/>
    </row>
    <row r="902">
      <c r="A902" s="493"/>
    </row>
    <row r="903">
      <c r="A903" s="493"/>
    </row>
    <row r="904">
      <c r="A904" s="493"/>
    </row>
    <row r="905">
      <c r="A905" s="493"/>
    </row>
    <row r="906">
      <c r="A906" s="493"/>
    </row>
    <row r="907">
      <c r="A907" s="493"/>
    </row>
    <row r="908">
      <c r="A908" s="493"/>
    </row>
    <row r="909">
      <c r="A909" s="493"/>
    </row>
    <row r="910">
      <c r="A910" s="493"/>
    </row>
    <row r="911">
      <c r="A911" s="493"/>
    </row>
    <row r="912">
      <c r="A912" s="493"/>
    </row>
    <row r="913">
      <c r="A913" s="493"/>
    </row>
    <row r="914">
      <c r="A914" s="493"/>
    </row>
    <row r="915">
      <c r="A915" s="493"/>
    </row>
    <row r="916">
      <c r="A916" s="493"/>
    </row>
    <row r="917">
      <c r="A917" s="493"/>
    </row>
    <row r="918">
      <c r="A918" s="493"/>
    </row>
    <row r="919">
      <c r="A919" s="493"/>
    </row>
    <row r="920">
      <c r="A920" s="493"/>
    </row>
    <row r="921">
      <c r="A921" s="493"/>
    </row>
    <row r="922">
      <c r="A922" s="493"/>
    </row>
    <row r="923">
      <c r="A923" s="493"/>
    </row>
    <row r="924">
      <c r="A924" s="493"/>
    </row>
    <row r="925">
      <c r="A925" s="493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79"/>
      <c r="B1" s="211"/>
      <c r="C1" s="212"/>
      <c r="D1" s="212"/>
      <c r="E1" s="212"/>
      <c r="F1" s="212"/>
      <c r="G1" s="212"/>
      <c r="H1" s="213"/>
      <c r="I1" s="213"/>
      <c r="J1" s="214"/>
      <c r="K1" s="494"/>
      <c r="L1" s="494"/>
      <c r="M1" s="215"/>
      <c r="N1" s="234"/>
      <c r="O1" s="215"/>
      <c r="P1" s="216"/>
      <c r="Q1" s="217"/>
      <c r="R1" s="218"/>
      <c r="S1" s="211"/>
      <c r="T1" s="211"/>
      <c r="U1" s="211"/>
      <c r="V1" s="495"/>
      <c r="W1" s="211"/>
      <c r="X1" s="211"/>
      <c r="Y1" s="211"/>
      <c r="Z1" s="211"/>
      <c r="AA1" s="211"/>
      <c r="AB1" s="211"/>
      <c r="AC1" s="211"/>
      <c r="AD1" s="211"/>
      <c r="AE1" s="211"/>
      <c r="AF1" s="220"/>
      <c r="AG1" s="211"/>
      <c r="AH1" s="211"/>
      <c r="AI1" s="211"/>
      <c r="AJ1" s="211"/>
      <c r="AK1" s="219"/>
      <c r="AL1" s="211"/>
      <c r="AM1" s="211"/>
      <c r="AN1" s="211"/>
      <c r="AO1" s="496"/>
      <c r="AP1" s="211"/>
      <c r="AQ1" s="211"/>
      <c r="AR1" s="211"/>
      <c r="AS1" s="211"/>
      <c r="AT1" s="211"/>
      <c r="AU1" s="211"/>
      <c r="AV1" s="211"/>
      <c r="AW1" s="211"/>
      <c r="AX1" s="211"/>
      <c r="AY1" s="222"/>
      <c r="AZ1" s="222"/>
    </row>
    <row r="2" ht="15.75" customHeight="1">
      <c r="A2" s="221" t="s">
        <v>61</v>
      </c>
      <c r="B2" s="221"/>
      <c r="C2" s="221"/>
      <c r="D2" s="221"/>
      <c r="E2" s="212"/>
      <c r="F2" s="212"/>
      <c r="G2" s="212"/>
      <c r="H2" s="213"/>
      <c r="I2" s="213"/>
      <c r="J2" s="224"/>
      <c r="K2" s="494"/>
      <c r="L2" s="494"/>
      <c r="M2" s="215"/>
      <c r="N2" s="215"/>
      <c r="O2" s="215"/>
      <c r="P2" s="216"/>
      <c r="Q2" s="225"/>
      <c r="R2" s="219"/>
      <c r="S2" s="211"/>
      <c r="T2" s="211"/>
      <c r="U2" s="211"/>
      <c r="V2" s="495"/>
      <c r="W2" s="211"/>
      <c r="X2" s="211"/>
      <c r="Y2" s="211"/>
      <c r="Z2" s="211"/>
      <c r="AA2" s="211"/>
      <c r="AB2" s="211"/>
      <c r="AC2" s="211"/>
      <c r="AD2" s="211"/>
      <c r="AE2" s="211"/>
      <c r="AF2" s="220"/>
      <c r="AG2" s="211"/>
      <c r="AH2" s="211"/>
      <c r="AI2" s="211"/>
      <c r="AJ2" s="211"/>
      <c r="AK2" s="219"/>
      <c r="AL2" s="211"/>
      <c r="AM2" s="211"/>
      <c r="AN2" s="211"/>
      <c r="AO2" s="221" t="s">
        <v>0</v>
      </c>
      <c r="AP2" s="211"/>
      <c r="AQ2" s="211"/>
      <c r="AR2" s="211"/>
      <c r="AS2" s="211"/>
      <c r="AT2" s="211" t="s">
        <v>1</v>
      </c>
      <c r="AU2" s="211" t="s">
        <v>2</v>
      </c>
      <c r="AX2" s="211"/>
    </row>
    <row r="3" ht="15.75" customHeight="1">
      <c r="A3" s="221" t="s">
        <v>203</v>
      </c>
      <c r="B3" s="221"/>
      <c r="C3" s="221"/>
      <c r="D3" s="221"/>
      <c r="E3" s="221"/>
      <c r="F3" s="212"/>
      <c r="G3" s="212"/>
      <c r="H3" s="213"/>
      <c r="I3" s="213"/>
      <c r="J3" s="224"/>
      <c r="K3" s="494"/>
      <c r="L3" s="494"/>
      <c r="M3" s="215"/>
      <c r="N3" s="215"/>
      <c r="O3" s="215"/>
      <c r="P3" s="216"/>
      <c r="Q3" s="225"/>
      <c r="R3" s="219"/>
      <c r="S3" s="211"/>
      <c r="T3" s="211"/>
      <c r="U3" s="211"/>
      <c r="V3" s="495"/>
      <c r="W3" s="211"/>
      <c r="X3" s="211"/>
      <c r="Y3" s="211"/>
      <c r="Z3" s="211"/>
      <c r="AA3" s="211"/>
      <c r="AB3" s="227"/>
      <c r="AC3" s="227"/>
      <c r="AD3" s="228"/>
      <c r="AE3" s="228"/>
      <c r="AF3" s="229"/>
      <c r="AG3" s="218"/>
      <c r="AH3" s="215"/>
      <c r="AI3" s="215"/>
      <c r="AJ3" s="215"/>
      <c r="AK3" s="219"/>
      <c r="AL3" s="211"/>
      <c r="AM3" s="211"/>
      <c r="AN3" s="211"/>
      <c r="AO3" s="497" t="s">
        <v>204</v>
      </c>
      <c r="AP3" s="211"/>
      <c r="AQ3" s="227"/>
      <c r="AR3" s="227"/>
      <c r="AS3" s="228"/>
      <c r="AT3" s="228">
        <v>45108.0</v>
      </c>
      <c r="AU3" s="228">
        <v>45120.0</v>
      </c>
      <c r="AV3" s="222">
        <v>100.0</v>
      </c>
      <c r="AX3" s="227">
        <v>490.0</v>
      </c>
      <c r="AZ3" s="222">
        <v>450.0</v>
      </c>
      <c r="BB3" s="222">
        <v>400.0</v>
      </c>
      <c r="BD3" s="222">
        <v>490.0</v>
      </c>
    </row>
    <row r="4" ht="15.75" customHeight="1">
      <c r="A4" s="281"/>
      <c r="B4" s="219"/>
      <c r="C4" s="231"/>
      <c r="D4" s="231"/>
      <c r="E4" s="212"/>
      <c r="F4" s="212"/>
      <c r="G4" s="212"/>
      <c r="H4" s="213"/>
      <c r="I4" s="213"/>
      <c r="J4" s="214"/>
      <c r="K4" s="279"/>
      <c r="L4" s="279"/>
      <c r="M4" s="214"/>
      <c r="N4" s="214"/>
      <c r="O4" s="214"/>
      <c r="P4" s="217"/>
      <c r="Q4" s="217"/>
      <c r="R4" s="214"/>
      <c r="S4" s="214"/>
      <c r="T4" s="214"/>
      <c r="U4" s="214"/>
      <c r="V4" s="498"/>
      <c r="W4" s="228"/>
      <c r="X4" s="228"/>
      <c r="Y4" s="228"/>
      <c r="Z4" s="280"/>
      <c r="AA4" s="228"/>
      <c r="AB4" s="228"/>
      <c r="AC4" s="228"/>
      <c r="AD4" s="228"/>
      <c r="AE4" s="228"/>
      <c r="AF4" s="229"/>
      <c r="AG4" s="218"/>
      <c r="AH4" s="215"/>
      <c r="AI4" s="215"/>
      <c r="AJ4" s="215"/>
      <c r="AK4" s="215"/>
      <c r="AL4" s="228"/>
      <c r="AM4" s="228"/>
      <c r="AN4" s="228"/>
      <c r="AO4" s="497" t="s">
        <v>205</v>
      </c>
      <c r="AP4" s="228"/>
      <c r="AQ4" s="228"/>
      <c r="AR4" s="228"/>
      <c r="AS4" s="228"/>
      <c r="AT4" s="228">
        <f t="shared" ref="AT4:AT5" si="1">AU3+1</f>
        <v>45121</v>
      </c>
      <c r="AU4" s="228">
        <v>45135.0</v>
      </c>
      <c r="AV4" s="222">
        <v>100.0</v>
      </c>
      <c r="AX4" s="227">
        <v>520.0</v>
      </c>
      <c r="AZ4" s="222">
        <v>450.0</v>
      </c>
      <c r="BB4" s="222">
        <v>400.0</v>
      </c>
      <c r="BD4" s="222">
        <v>490.0</v>
      </c>
    </row>
    <row r="5" ht="15.75" customHeight="1">
      <c r="A5" s="234" t="s">
        <v>6</v>
      </c>
      <c r="B5" s="234"/>
      <c r="C5" s="234"/>
      <c r="D5" s="234"/>
      <c r="E5" s="234" t="s">
        <v>206</v>
      </c>
      <c r="F5" s="234"/>
      <c r="G5" s="234"/>
      <c r="H5" s="234"/>
      <c r="I5" s="234"/>
      <c r="J5" s="234"/>
      <c r="K5" s="231"/>
      <c r="L5" s="231"/>
      <c r="M5" s="234"/>
      <c r="O5" s="234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6"/>
      <c r="AG5" s="232"/>
      <c r="AH5" s="232"/>
      <c r="AI5" s="232"/>
      <c r="AJ5" s="232"/>
      <c r="AK5" s="232"/>
      <c r="AL5" s="232"/>
      <c r="AM5" s="228"/>
      <c r="AN5" s="232"/>
      <c r="AO5" s="497" t="s">
        <v>207</v>
      </c>
      <c r="AP5" s="232"/>
      <c r="AQ5" s="232"/>
      <c r="AR5" s="232"/>
      <c r="AS5" s="232"/>
      <c r="AT5" s="228">
        <f t="shared" si="1"/>
        <v>45136</v>
      </c>
      <c r="AU5" s="228">
        <v>45138.0</v>
      </c>
      <c r="AV5" s="222">
        <v>100.0</v>
      </c>
      <c r="AX5" s="232">
        <v>550.0</v>
      </c>
      <c r="AZ5" s="222">
        <v>500.0</v>
      </c>
      <c r="BB5" s="222">
        <v>450.0</v>
      </c>
      <c r="BD5" s="222">
        <v>600.0</v>
      </c>
    </row>
    <row r="6" ht="14.25" customHeight="1">
      <c r="A6" s="279"/>
      <c r="B6" s="211"/>
      <c r="C6" s="212"/>
      <c r="D6" s="212"/>
      <c r="E6" s="212"/>
      <c r="F6" s="212"/>
      <c r="G6" s="212"/>
      <c r="H6" s="213"/>
      <c r="I6" s="213"/>
      <c r="J6" s="214"/>
      <c r="K6" s="279"/>
      <c r="L6" s="279"/>
      <c r="M6" s="214"/>
      <c r="N6" s="214"/>
      <c r="O6" s="214"/>
      <c r="P6" s="217"/>
      <c r="Q6" s="217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29"/>
      <c r="AG6" s="218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4"/>
      <c r="AX6" s="218"/>
    </row>
    <row r="7" ht="18.75" customHeight="1">
      <c r="A7" s="499" t="s">
        <v>208</v>
      </c>
      <c r="B7" s="500" t="s">
        <v>8</v>
      </c>
      <c r="C7" s="38"/>
      <c r="D7" s="38"/>
      <c r="E7" s="38"/>
      <c r="F7" s="38"/>
      <c r="G7" s="38"/>
      <c r="H7" s="38"/>
      <c r="I7" s="38"/>
      <c r="J7" s="39"/>
      <c r="K7" s="501" t="s">
        <v>9</v>
      </c>
      <c r="L7" s="38"/>
      <c r="M7" s="38"/>
      <c r="N7" s="38"/>
      <c r="O7" s="39"/>
      <c r="P7" s="502" t="s">
        <v>10</v>
      </c>
      <c r="Q7" s="38"/>
      <c r="R7" s="38"/>
      <c r="S7" s="38"/>
      <c r="T7" s="39"/>
      <c r="U7" s="503" t="s">
        <v>11</v>
      </c>
      <c r="V7" s="38"/>
      <c r="W7" s="38"/>
      <c r="X7" s="38"/>
      <c r="Y7" s="39"/>
      <c r="Z7" s="504" t="s">
        <v>12</v>
      </c>
      <c r="AA7" s="505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506" t="s">
        <v>14</v>
      </c>
      <c r="AM7" s="507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508"/>
      <c r="BI7" s="508"/>
    </row>
    <row r="8" ht="45.75" customHeight="1">
      <c r="A8" s="509" t="s">
        <v>16</v>
      </c>
      <c r="B8" s="510" t="s">
        <v>17</v>
      </c>
      <c r="C8" s="511" t="s">
        <v>18</v>
      </c>
      <c r="D8" s="511" t="s">
        <v>19</v>
      </c>
      <c r="E8" s="511" t="s">
        <v>2</v>
      </c>
      <c r="F8" s="511" t="s">
        <v>20</v>
      </c>
      <c r="G8" s="512" t="s">
        <v>21</v>
      </c>
      <c r="H8" s="513" t="s">
        <v>22</v>
      </c>
      <c r="I8" s="513" t="s">
        <v>23</v>
      </c>
      <c r="J8" s="514" t="s">
        <v>25</v>
      </c>
      <c r="K8" s="515" t="s">
        <v>19</v>
      </c>
      <c r="L8" s="515" t="s">
        <v>2</v>
      </c>
      <c r="M8" s="516" t="s">
        <v>26</v>
      </c>
      <c r="N8" s="515" t="s">
        <v>23</v>
      </c>
      <c r="O8" s="515" t="s">
        <v>27</v>
      </c>
      <c r="P8" s="517" t="s">
        <v>19</v>
      </c>
      <c r="Q8" s="517" t="s">
        <v>2</v>
      </c>
      <c r="R8" s="518" t="s">
        <v>26</v>
      </c>
      <c r="S8" s="517" t="s">
        <v>23</v>
      </c>
      <c r="T8" s="517" t="s">
        <v>27</v>
      </c>
      <c r="U8" s="519" t="s">
        <v>19</v>
      </c>
      <c r="V8" s="519" t="s">
        <v>2</v>
      </c>
      <c r="W8" s="516" t="s">
        <v>26</v>
      </c>
      <c r="X8" s="515" t="s">
        <v>28</v>
      </c>
      <c r="Y8" s="520" t="s">
        <v>27</v>
      </c>
      <c r="Z8" s="60"/>
      <c r="AA8" s="521" t="s">
        <v>29</v>
      </c>
      <c r="AB8" s="521" t="s">
        <v>30</v>
      </c>
      <c r="AC8" s="522" t="s">
        <v>31</v>
      </c>
      <c r="AD8" s="521" t="s">
        <v>32</v>
      </c>
      <c r="AE8" s="523" t="s">
        <v>33</v>
      </c>
      <c r="AF8" s="39"/>
      <c r="AG8" s="523" t="s">
        <v>34</v>
      </c>
      <c r="AH8" s="39"/>
      <c r="AI8" s="523" t="s">
        <v>35</v>
      </c>
      <c r="AJ8" s="39"/>
      <c r="AK8" s="524" t="s">
        <v>36</v>
      </c>
      <c r="AL8" s="60"/>
      <c r="AM8" s="525" t="s">
        <v>37</v>
      </c>
      <c r="AN8" s="526" t="s">
        <v>209</v>
      </c>
      <c r="AO8" s="527" t="s">
        <v>39</v>
      </c>
      <c r="AP8" s="527" t="s">
        <v>40</v>
      </c>
      <c r="AQ8" s="527" t="s">
        <v>41</v>
      </c>
      <c r="AR8" s="527" t="s">
        <v>42</v>
      </c>
      <c r="AS8" s="527" t="s">
        <v>104</v>
      </c>
      <c r="AT8" s="527" t="s">
        <v>44</v>
      </c>
      <c r="AU8" s="528" t="s">
        <v>33</v>
      </c>
      <c r="AV8" s="39"/>
      <c r="AW8" s="528" t="s">
        <v>45</v>
      </c>
      <c r="AX8" s="39"/>
      <c r="AY8" s="528" t="s">
        <v>46</v>
      </c>
      <c r="AZ8" s="39"/>
      <c r="BA8" s="528" t="s">
        <v>165</v>
      </c>
      <c r="BB8" s="39"/>
      <c r="BC8" s="528" t="s">
        <v>35</v>
      </c>
      <c r="BD8" s="39"/>
      <c r="BE8" s="527" t="s">
        <v>49</v>
      </c>
      <c r="BF8" s="529" t="s">
        <v>50</v>
      </c>
      <c r="BG8" s="530" t="s">
        <v>14</v>
      </c>
      <c r="BH8" s="531"/>
      <c r="BI8" s="531"/>
    </row>
    <row r="9" ht="15.75" customHeight="1">
      <c r="A9" s="532">
        <v>45108.0</v>
      </c>
      <c r="B9" s="533"/>
      <c r="C9" s="533"/>
      <c r="D9" s="533"/>
      <c r="E9" s="533"/>
      <c r="F9" s="533"/>
      <c r="G9" s="534"/>
      <c r="H9" s="330"/>
      <c r="I9" s="535"/>
      <c r="J9" s="536">
        <f t="shared" ref="J9:J12" si="2">H9+I9</f>
        <v>0</v>
      </c>
      <c r="K9" s="537"/>
      <c r="L9" s="537"/>
      <c r="M9" s="537"/>
      <c r="N9" s="537"/>
      <c r="O9" s="538">
        <f t="shared" ref="O9:O40" si="3">+M9+N9</f>
        <v>0</v>
      </c>
      <c r="P9" s="537"/>
      <c r="Q9" s="537"/>
      <c r="R9" s="537"/>
      <c r="S9" s="537"/>
      <c r="T9" s="539">
        <f t="shared" ref="T9:T40" si="4">SUM(R9:S9)</f>
        <v>0</v>
      </c>
      <c r="U9" s="540"/>
      <c r="V9" s="540"/>
      <c r="W9" s="537"/>
      <c r="X9" s="537"/>
      <c r="Y9" s="538">
        <f t="shared" ref="Y9:Y18" si="5">SUM(W9:X9)</f>
        <v>0</v>
      </c>
      <c r="Z9" s="541">
        <f t="shared" ref="Z9:Z40" si="6">+J9+O9+T9-Y9</f>
        <v>0</v>
      </c>
      <c r="AA9" s="542"/>
      <c r="AB9" s="542"/>
      <c r="AC9" s="542"/>
      <c r="AD9" s="542"/>
      <c r="AE9" s="543"/>
      <c r="AF9" s="286">
        <f>(AE9*AD$1)</f>
        <v>0</v>
      </c>
      <c r="AG9" s="543"/>
      <c r="AH9" s="286">
        <f t="shared" ref="AH9:AH13" si="7">AG9*AE$2</f>
        <v>0</v>
      </c>
      <c r="AI9" s="543"/>
      <c r="AJ9" s="286">
        <f t="shared" ref="AJ9:AJ13" si="8">AI9*AD$2</f>
        <v>0</v>
      </c>
      <c r="AK9" s="544">
        <f t="shared" ref="AK9:AK38" si="9">AB9+AC9+AD9+AF9+AH9+AJ9</f>
        <v>0</v>
      </c>
      <c r="AL9" s="545">
        <f t="shared" ref="AL9:AL38" si="10">SUM(AK9-BE9)</f>
        <v>0</v>
      </c>
      <c r="AM9" s="546"/>
      <c r="AN9" s="338"/>
      <c r="AO9" s="547" t="str">
        <f t="shared" ref="AO9:AO40" si="11">AC9</f>
        <v/>
      </c>
      <c r="AP9" s="548">
        <f t="shared" ref="AP9:AP10" si="12">SUM(AQ9:AR9)</f>
        <v>0</v>
      </c>
      <c r="AQ9" s="186"/>
      <c r="AR9" s="186"/>
      <c r="AS9" s="549" t="str">
        <f t="shared" ref="AS9:AS40" si="13">AD9</f>
        <v/>
      </c>
      <c r="AT9" s="186"/>
      <c r="AU9" s="186"/>
      <c r="AV9" s="549">
        <f t="shared" ref="AV9:AV21" si="14">AU9*AV$3</f>
        <v>0</v>
      </c>
      <c r="AW9" s="186"/>
      <c r="AX9" s="549">
        <f t="shared" ref="AX9:AX21" si="15">AW9*AX$3</f>
        <v>0</v>
      </c>
      <c r="AY9" s="186"/>
      <c r="AZ9" s="549">
        <f t="shared" ref="AZ9:AZ21" si="16">AY9*AZ$3</f>
        <v>0</v>
      </c>
      <c r="BA9" s="186"/>
      <c r="BB9" s="549">
        <f t="shared" ref="BB9:BB21" si="17">BA9*BB$3</f>
        <v>0</v>
      </c>
      <c r="BC9" s="186"/>
      <c r="BD9" s="549">
        <f t="shared" ref="BD9:BD21" si="18">BC9*BD$3</f>
        <v>0</v>
      </c>
      <c r="BE9" s="550">
        <f t="shared" ref="BE9:BE40" si="19">+AM9+AN9+AP9+AS9+AT9+AV9+AX9+AZ9+BB9+BD9</f>
        <v>0</v>
      </c>
      <c r="BF9" s="551">
        <f t="shared" ref="BF9:BF40" si="20">Z9</f>
        <v>0</v>
      </c>
      <c r="BG9" s="552">
        <f t="shared" ref="BG9:BG40" si="21">SUM(BE9-BF9)</f>
        <v>0</v>
      </c>
      <c r="BH9" s="553"/>
      <c r="BI9" s="553"/>
    </row>
    <row r="10" ht="15.75" customHeight="1">
      <c r="A10" s="532">
        <v>45109.0</v>
      </c>
      <c r="B10" s="533"/>
      <c r="C10" s="533"/>
      <c r="D10" s="533"/>
      <c r="E10" s="533"/>
      <c r="F10" s="533"/>
      <c r="G10" s="534"/>
      <c r="H10" s="330"/>
      <c r="I10" s="535"/>
      <c r="J10" s="536">
        <f t="shared" si="2"/>
        <v>0</v>
      </c>
      <c r="K10" s="537"/>
      <c r="L10" s="537"/>
      <c r="M10" s="537"/>
      <c r="N10" s="537"/>
      <c r="O10" s="538">
        <f t="shared" si="3"/>
        <v>0</v>
      </c>
      <c r="P10" s="537"/>
      <c r="Q10" s="537"/>
      <c r="R10" s="537"/>
      <c r="S10" s="537"/>
      <c r="T10" s="539">
        <f t="shared" si="4"/>
        <v>0</v>
      </c>
      <c r="U10" s="540"/>
      <c r="V10" s="540"/>
      <c r="W10" s="537"/>
      <c r="X10" s="537"/>
      <c r="Y10" s="538">
        <f t="shared" si="5"/>
        <v>0</v>
      </c>
      <c r="Z10" s="541">
        <f t="shared" si="6"/>
        <v>0</v>
      </c>
      <c r="AA10" s="542"/>
      <c r="AB10" s="542"/>
      <c r="AC10" s="542"/>
      <c r="AD10" s="542"/>
      <c r="AE10" s="543"/>
      <c r="AF10" s="286">
        <f t="shared" ref="AF10:AF13" si="22">(AE10*AF$1)</f>
        <v>0</v>
      </c>
      <c r="AG10" s="543"/>
      <c r="AH10" s="286">
        <f t="shared" si="7"/>
        <v>0</v>
      </c>
      <c r="AI10" s="543"/>
      <c r="AJ10" s="286">
        <f t="shared" si="8"/>
        <v>0</v>
      </c>
      <c r="AK10" s="544">
        <f t="shared" si="9"/>
        <v>0</v>
      </c>
      <c r="AL10" s="545">
        <f t="shared" si="10"/>
        <v>0</v>
      </c>
      <c r="AM10" s="546"/>
      <c r="AN10" s="338"/>
      <c r="AO10" s="547" t="str">
        <f t="shared" si="11"/>
        <v/>
      </c>
      <c r="AP10" s="548">
        <f t="shared" si="12"/>
        <v>0</v>
      </c>
      <c r="AQ10" s="186"/>
      <c r="AR10" s="186"/>
      <c r="AS10" s="549" t="str">
        <f t="shared" si="13"/>
        <v/>
      </c>
      <c r="AT10" s="186"/>
      <c r="AU10" s="186"/>
      <c r="AV10" s="549">
        <f t="shared" si="14"/>
        <v>0</v>
      </c>
      <c r="AW10" s="186"/>
      <c r="AX10" s="549">
        <f t="shared" si="15"/>
        <v>0</v>
      </c>
      <c r="AY10" s="186"/>
      <c r="AZ10" s="549">
        <f t="shared" si="16"/>
        <v>0</v>
      </c>
      <c r="BA10" s="186"/>
      <c r="BB10" s="549">
        <f t="shared" si="17"/>
        <v>0</v>
      </c>
      <c r="BC10" s="186"/>
      <c r="BD10" s="549">
        <f t="shared" si="18"/>
        <v>0</v>
      </c>
      <c r="BE10" s="550">
        <f t="shared" si="19"/>
        <v>0</v>
      </c>
      <c r="BF10" s="551">
        <f t="shared" si="20"/>
        <v>0</v>
      </c>
      <c r="BG10" s="552">
        <f t="shared" si="21"/>
        <v>0</v>
      </c>
      <c r="BH10" s="553"/>
      <c r="BI10" s="553"/>
    </row>
    <row r="11" ht="15.75" customHeight="1">
      <c r="A11" s="532">
        <v>45110.0</v>
      </c>
      <c r="B11" s="533"/>
      <c r="C11" s="533"/>
      <c r="D11" s="533"/>
      <c r="E11" s="533"/>
      <c r="F11" s="533"/>
      <c r="G11" s="534"/>
      <c r="H11" s="330"/>
      <c r="I11" s="535"/>
      <c r="J11" s="536">
        <f t="shared" si="2"/>
        <v>0</v>
      </c>
      <c r="K11" s="537"/>
      <c r="L11" s="537"/>
      <c r="M11" s="537"/>
      <c r="N11" s="537"/>
      <c r="O11" s="538">
        <f t="shared" si="3"/>
        <v>0</v>
      </c>
      <c r="P11" s="537"/>
      <c r="Q11" s="537"/>
      <c r="R11" s="537"/>
      <c r="S11" s="537"/>
      <c r="T11" s="539">
        <f t="shared" si="4"/>
        <v>0</v>
      </c>
      <c r="U11" s="540"/>
      <c r="V11" s="540"/>
      <c r="W11" s="537"/>
      <c r="X11" s="537"/>
      <c r="Y11" s="538">
        <f t="shared" si="5"/>
        <v>0</v>
      </c>
      <c r="Z11" s="541">
        <f t="shared" si="6"/>
        <v>0</v>
      </c>
      <c r="AA11" s="542"/>
      <c r="AB11" s="542"/>
      <c r="AC11" s="542"/>
      <c r="AD11" s="542"/>
      <c r="AE11" s="543"/>
      <c r="AF11" s="286">
        <f t="shared" si="22"/>
        <v>0</v>
      </c>
      <c r="AG11" s="543"/>
      <c r="AH11" s="286">
        <f t="shared" si="7"/>
        <v>0</v>
      </c>
      <c r="AI11" s="543"/>
      <c r="AJ11" s="286">
        <f t="shared" si="8"/>
        <v>0</v>
      </c>
      <c r="AK11" s="544">
        <f t="shared" si="9"/>
        <v>0</v>
      </c>
      <c r="AL11" s="545">
        <f t="shared" si="10"/>
        <v>0</v>
      </c>
      <c r="AM11" s="546"/>
      <c r="AN11" s="338"/>
      <c r="AO11" s="547" t="str">
        <f t="shared" si="11"/>
        <v/>
      </c>
      <c r="AP11" s="548">
        <f>AQ11+AR11</f>
        <v>0</v>
      </c>
      <c r="AQ11" s="186"/>
      <c r="AR11" s="186"/>
      <c r="AS11" s="549" t="str">
        <f t="shared" si="13"/>
        <v/>
      </c>
      <c r="AT11" s="186"/>
      <c r="AU11" s="186"/>
      <c r="AV11" s="549">
        <f t="shared" si="14"/>
        <v>0</v>
      </c>
      <c r="AW11" s="186"/>
      <c r="AX11" s="549">
        <f t="shared" si="15"/>
        <v>0</v>
      </c>
      <c r="AY11" s="186"/>
      <c r="AZ11" s="549">
        <f t="shared" si="16"/>
        <v>0</v>
      </c>
      <c r="BA11" s="186"/>
      <c r="BB11" s="549">
        <f t="shared" si="17"/>
        <v>0</v>
      </c>
      <c r="BC11" s="186"/>
      <c r="BD11" s="549">
        <f t="shared" si="18"/>
        <v>0</v>
      </c>
      <c r="BE11" s="550">
        <f t="shared" si="19"/>
        <v>0</v>
      </c>
      <c r="BF11" s="551">
        <f t="shared" si="20"/>
        <v>0</v>
      </c>
      <c r="BG11" s="552">
        <f t="shared" si="21"/>
        <v>0</v>
      </c>
      <c r="BH11" s="553"/>
      <c r="BI11" s="553"/>
    </row>
    <row r="12" ht="15.75" customHeight="1">
      <c r="A12" s="532">
        <v>45111.0</v>
      </c>
      <c r="B12" s="533"/>
      <c r="C12" s="533"/>
      <c r="D12" s="533"/>
      <c r="E12" s="533"/>
      <c r="F12" s="533"/>
      <c r="G12" s="534"/>
      <c r="H12" s="330"/>
      <c r="I12" s="535"/>
      <c r="J12" s="536">
        <f t="shared" si="2"/>
        <v>0</v>
      </c>
      <c r="K12" s="537"/>
      <c r="L12" s="537"/>
      <c r="M12" s="537"/>
      <c r="N12" s="537"/>
      <c r="O12" s="538">
        <f t="shared" si="3"/>
        <v>0</v>
      </c>
      <c r="P12" s="537"/>
      <c r="Q12" s="537"/>
      <c r="R12" s="537"/>
      <c r="S12" s="537"/>
      <c r="T12" s="539">
        <f t="shared" si="4"/>
        <v>0</v>
      </c>
      <c r="U12" s="540"/>
      <c r="V12" s="540"/>
      <c r="W12" s="537"/>
      <c r="X12" s="537"/>
      <c r="Y12" s="538">
        <f t="shared" si="5"/>
        <v>0</v>
      </c>
      <c r="Z12" s="541">
        <f t="shared" si="6"/>
        <v>0</v>
      </c>
      <c r="AA12" s="542"/>
      <c r="AB12" s="542"/>
      <c r="AC12" s="542"/>
      <c r="AD12" s="542"/>
      <c r="AE12" s="543"/>
      <c r="AF12" s="286">
        <f t="shared" si="22"/>
        <v>0</v>
      </c>
      <c r="AG12" s="543"/>
      <c r="AH12" s="286">
        <f t="shared" si="7"/>
        <v>0</v>
      </c>
      <c r="AI12" s="543"/>
      <c r="AJ12" s="286">
        <f t="shared" si="8"/>
        <v>0</v>
      </c>
      <c r="AK12" s="544">
        <f t="shared" si="9"/>
        <v>0</v>
      </c>
      <c r="AL12" s="545">
        <f t="shared" si="10"/>
        <v>0</v>
      </c>
      <c r="AM12" s="546"/>
      <c r="AN12" s="338"/>
      <c r="AO12" s="547" t="str">
        <f t="shared" si="11"/>
        <v/>
      </c>
      <c r="AP12" s="548">
        <f t="shared" ref="AP12:AP40" si="23">SUM(AQ12:AR12)</f>
        <v>0</v>
      </c>
      <c r="AQ12" s="186"/>
      <c r="AR12" s="186"/>
      <c r="AS12" s="549" t="str">
        <f t="shared" si="13"/>
        <v/>
      </c>
      <c r="AT12" s="186"/>
      <c r="AU12" s="186"/>
      <c r="AV12" s="549">
        <f t="shared" si="14"/>
        <v>0</v>
      </c>
      <c r="AW12" s="186"/>
      <c r="AX12" s="549">
        <f t="shared" si="15"/>
        <v>0</v>
      </c>
      <c r="AY12" s="186"/>
      <c r="AZ12" s="549">
        <f t="shared" si="16"/>
        <v>0</v>
      </c>
      <c r="BA12" s="186"/>
      <c r="BB12" s="549">
        <f t="shared" si="17"/>
        <v>0</v>
      </c>
      <c r="BC12" s="186"/>
      <c r="BD12" s="549">
        <f t="shared" si="18"/>
        <v>0</v>
      </c>
      <c r="BE12" s="550">
        <f t="shared" si="19"/>
        <v>0</v>
      </c>
      <c r="BF12" s="551">
        <f t="shared" si="20"/>
        <v>0</v>
      </c>
      <c r="BG12" s="552">
        <f t="shared" si="21"/>
        <v>0</v>
      </c>
      <c r="BH12" s="553"/>
      <c r="BI12" s="553"/>
    </row>
    <row r="13" ht="15.75" customHeight="1">
      <c r="A13" s="532">
        <v>45112.0</v>
      </c>
      <c r="B13" s="533"/>
      <c r="C13" s="533"/>
      <c r="D13" s="533"/>
      <c r="E13" s="533"/>
      <c r="F13" s="533"/>
      <c r="G13" s="534"/>
      <c r="H13" s="330"/>
      <c r="I13" s="535"/>
      <c r="J13" s="536">
        <v>0.0</v>
      </c>
      <c r="K13" s="537"/>
      <c r="L13" s="537"/>
      <c r="M13" s="537"/>
      <c r="N13" s="537"/>
      <c r="O13" s="538">
        <f t="shared" si="3"/>
        <v>0</v>
      </c>
      <c r="P13" s="537"/>
      <c r="Q13" s="537"/>
      <c r="R13" s="537"/>
      <c r="S13" s="537"/>
      <c r="T13" s="539">
        <f t="shared" si="4"/>
        <v>0</v>
      </c>
      <c r="U13" s="540"/>
      <c r="V13" s="540"/>
      <c r="W13" s="537"/>
      <c r="X13" s="537"/>
      <c r="Y13" s="538">
        <f t="shared" si="5"/>
        <v>0</v>
      </c>
      <c r="Z13" s="541">
        <f t="shared" si="6"/>
        <v>0</v>
      </c>
      <c r="AA13" s="542"/>
      <c r="AB13" s="542"/>
      <c r="AC13" s="542"/>
      <c r="AD13" s="542"/>
      <c r="AE13" s="543"/>
      <c r="AF13" s="286">
        <f t="shared" si="22"/>
        <v>0</v>
      </c>
      <c r="AG13" s="543"/>
      <c r="AH13" s="286">
        <f t="shared" si="7"/>
        <v>0</v>
      </c>
      <c r="AI13" s="543"/>
      <c r="AJ13" s="286">
        <f t="shared" si="8"/>
        <v>0</v>
      </c>
      <c r="AK13" s="544">
        <f t="shared" si="9"/>
        <v>0</v>
      </c>
      <c r="AL13" s="545">
        <f t="shared" si="10"/>
        <v>0</v>
      </c>
      <c r="AM13" s="186"/>
      <c r="AN13" s="554"/>
      <c r="AO13" s="549" t="str">
        <f t="shared" si="11"/>
        <v/>
      </c>
      <c r="AP13" s="548">
        <f t="shared" si="23"/>
        <v>0</v>
      </c>
      <c r="AQ13" s="186"/>
      <c r="AR13" s="186"/>
      <c r="AS13" s="549" t="str">
        <f t="shared" si="13"/>
        <v/>
      </c>
      <c r="AT13" s="186"/>
      <c r="AU13" s="186"/>
      <c r="AV13" s="549">
        <f t="shared" si="14"/>
        <v>0</v>
      </c>
      <c r="AW13" s="186"/>
      <c r="AX13" s="549">
        <f t="shared" si="15"/>
        <v>0</v>
      </c>
      <c r="AY13" s="186"/>
      <c r="AZ13" s="549">
        <f t="shared" si="16"/>
        <v>0</v>
      </c>
      <c r="BA13" s="186"/>
      <c r="BB13" s="549">
        <f t="shared" si="17"/>
        <v>0</v>
      </c>
      <c r="BC13" s="186"/>
      <c r="BD13" s="549">
        <f t="shared" si="18"/>
        <v>0</v>
      </c>
      <c r="BE13" s="550">
        <f t="shared" si="19"/>
        <v>0</v>
      </c>
      <c r="BF13" s="551">
        <f t="shared" si="20"/>
        <v>0</v>
      </c>
      <c r="BG13" s="552">
        <f t="shared" si="21"/>
        <v>0</v>
      </c>
      <c r="BH13" s="553"/>
      <c r="BI13" s="553"/>
    </row>
    <row r="14" ht="15.75" customHeight="1">
      <c r="A14" s="532">
        <v>45113.0</v>
      </c>
      <c r="B14" s="533"/>
      <c r="C14" s="533"/>
      <c r="D14" s="533"/>
      <c r="E14" s="533"/>
      <c r="F14" s="533"/>
      <c r="G14" s="534"/>
      <c r="H14" s="330"/>
      <c r="I14" s="535"/>
      <c r="J14" s="536">
        <f t="shared" ref="J14:J40" si="24">H14+I14</f>
        <v>0</v>
      </c>
      <c r="K14" s="537"/>
      <c r="L14" s="537"/>
      <c r="M14" s="537"/>
      <c r="N14" s="537"/>
      <c r="O14" s="538">
        <f t="shared" si="3"/>
        <v>0</v>
      </c>
      <c r="P14" s="537"/>
      <c r="Q14" s="537"/>
      <c r="R14" s="537"/>
      <c r="S14" s="537"/>
      <c r="T14" s="539">
        <f t="shared" si="4"/>
        <v>0</v>
      </c>
      <c r="U14" s="540"/>
      <c r="V14" s="540"/>
      <c r="W14" s="537"/>
      <c r="X14" s="537"/>
      <c r="Y14" s="538">
        <f t="shared" si="5"/>
        <v>0</v>
      </c>
      <c r="Z14" s="541">
        <f t="shared" si="6"/>
        <v>0</v>
      </c>
      <c r="AA14" s="542"/>
      <c r="AB14" s="542"/>
      <c r="AC14" s="542"/>
      <c r="AD14" s="542"/>
      <c r="AE14" s="543"/>
      <c r="AF14" s="286">
        <f t="shared" ref="AF14:AF21" si="25">(AE14*AG$1)</f>
        <v>0</v>
      </c>
      <c r="AG14" s="543"/>
      <c r="AH14" s="286">
        <f t="shared" ref="AH14:AH21" si="26">AG14*AG$2</f>
        <v>0</v>
      </c>
      <c r="AI14" s="543"/>
      <c r="AJ14" s="286">
        <f t="shared" ref="AJ14:AJ21" si="27">AI14*AG$2</f>
        <v>0</v>
      </c>
      <c r="AK14" s="544">
        <f t="shared" si="9"/>
        <v>0</v>
      </c>
      <c r="AL14" s="545">
        <f t="shared" si="10"/>
        <v>0</v>
      </c>
      <c r="AM14" s="186"/>
      <c r="AN14" s="186"/>
      <c r="AO14" s="549" t="str">
        <f t="shared" si="11"/>
        <v/>
      </c>
      <c r="AP14" s="548">
        <f t="shared" si="23"/>
        <v>0</v>
      </c>
      <c r="AQ14" s="186"/>
      <c r="AR14" s="186"/>
      <c r="AS14" s="549" t="str">
        <f t="shared" si="13"/>
        <v/>
      </c>
      <c r="AT14" s="186"/>
      <c r="AU14" s="186"/>
      <c r="AV14" s="549">
        <f t="shared" si="14"/>
        <v>0</v>
      </c>
      <c r="AW14" s="186"/>
      <c r="AX14" s="549">
        <f t="shared" si="15"/>
        <v>0</v>
      </c>
      <c r="AY14" s="186"/>
      <c r="AZ14" s="549">
        <f t="shared" si="16"/>
        <v>0</v>
      </c>
      <c r="BA14" s="186"/>
      <c r="BB14" s="549">
        <f t="shared" si="17"/>
        <v>0</v>
      </c>
      <c r="BC14" s="186"/>
      <c r="BD14" s="549">
        <f t="shared" si="18"/>
        <v>0</v>
      </c>
      <c r="BE14" s="550">
        <f t="shared" si="19"/>
        <v>0</v>
      </c>
      <c r="BF14" s="551">
        <f t="shared" si="20"/>
        <v>0</v>
      </c>
      <c r="BG14" s="552">
        <f t="shared" si="21"/>
        <v>0</v>
      </c>
      <c r="BH14" s="553"/>
      <c r="BI14" s="553"/>
    </row>
    <row r="15" ht="15.75" customHeight="1">
      <c r="A15" s="532">
        <v>45114.0</v>
      </c>
      <c r="B15" s="533"/>
      <c r="C15" s="533"/>
      <c r="D15" s="533"/>
      <c r="E15" s="533"/>
      <c r="F15" s="533"/>
      <c r="G15" s="534"/>
      <c r="H15" s="330"/>
      <c r="I15" s="535"/>
      <c r="J15" s="536">
        <f t="shared" si="24"/>
        <v>0</v>
      </c>
      <c r="K15" s="537"/>
      <c r="L15" s="537"/>
      <c r="M15" s="537"/>
      <c r="N15" s="537"/>
      <c r="O15" s="538">
        <f t="shared" si="3"/>
        <v>0</v>
      </c>
      <c r="P15" s="537"/>
      <c r="Q15" s="537"/>
      <c r="R15" s="537"/>
      <c r="S15" s="537"/>
      <c r="T15" s="539">
        <f t="shared" si="4"/>
        <v>0</v>
      </c>
      <c r="U15" s="540"/>
      <c r="V15" s="540"/>
      <c r="W15" s="537"/>
      <c r="X15" s="537"/>
      <c r="Y15" s="538">
        <f t="shared" si="5"/>
        <v>0</v>
      </c>
      <c r="Z15" s="541">
        <f t="shared" si="6"/>
        <v>0</v>
      </c>
      <c r="AA15" s="542"/>
      <c r="AB15" s="542"/>
      <c r="AC15" s="542"/>
      <c r="AD15" s="542"/>
      <c r="AE15" s="543"/>
      <c r="AF15" s="286">
        <f t="shared" si="25"/>
        <v>0</v>
      </c>
      <c r="AG15" s="543"/>
      <c r="AH15" s="286">
        <f t="shared" si="26"/>
        <v>0</v>
      </c>
      <c r="AI15" s="543"/>
      <c r="AJ15" s="286">
        <f t="shared" si="27"/>
        <v>0</v>
      </c>
      <c r="AK15" s="544">
        <f t="shared" si="9"/>
        <v>0</v>
      </c>
      <c r="AL15" s="545">
        <f t="shared" si="10"/>
        <v>0</v>
      </c>
      <c r="AM15" s="186"/>
      <c r="AN15" s="186"/>
      <c r="AO15" s="549" t="str">
        <f t="shared" si="11"/>
        <v/>
      </c>
      <c r="AP15" s="548">
        <f t="shared" si="23"/>
        <v>0</v>
      </c>
      <c r="AQ15" s="186"/>
      <c r="AR15" s="186"/>
      <c r="AS15" s="549" t="str">
        <f t="shared" si="13"/>
        <v/>
      </c>
      <c r="AT15" s="555"/>
      <c r="AU15" s="555"/>
      <c r="AV15" s="549">
        <f t="shared" si="14"/>
        <v>0</v>
      </c>
      <c r="AW15" s="186"/>
      <c r="AX15" s="549">
        <f t="shared" si="15"/>
        <v>0</v>
      </c>
      <c r="AY15" s="186"/>
      <c r="AZ15" s="549">
        <f t="shared" si="16"/>
        <v>0</v>
      </c>
      <c r="BA15" s="186"/>
      <c r="BB15" s="549">
        <f t="shared" si="17"/>
        <v>0</v>
      </c>
      <c r="BC15" s="186"/>
      <c r="BD15" s="549">
        <f t="shared" si="18"/>
        <v>0</v>
      </c>
      <c r="BE15" s="550">
        <f t="shared" si="19"/>
        <v>0</v>
      </c>
      <c r="BF15" s="551">
        <f t="shared" si="20"/>
        <v>0</v>
      </c>
      <c r="BG15" s="552">
        <f t="shared" si="21"/>
        <v>0</v>
      </c>
      <c r="BH15" s="553"/>
      <c r="BI15" s="553"/>
    </row>
    <row r="16" ht="15.75" customHeight="1">
      <c r="A16" s="532">
        <v>45115.0</v>
      </c>
      <c r="B16" s="533"/>
      <c r="C16" s="533"/>
      <c r="D16" s="533"/>
      <c r="E16" s="533"/>
      <c r="F16" s="533"/>
      <c r="G16" s="534"/>
      <c r="H16" s="330"/>
      <c r="I16" s="535"/>
      <c r="J16" s="536">
        <f t="shared" si="24"/>
        <v>0</v>
      </c>
      <c r="K16" s="537"/>
      <c r="L16" s="537"/>
      <c r="M16" s="537"/>
      <c r="N16" s="537"/>
      <c r="O16" s="538">
        <f t="shared" si="3"/>
        <v>0</v>
      </c>
      <c r="P16" s="537"/>
      <c r="Q16" s="537"/>
      <c r="R16" s="537"/>
      <c r="S16" s="537"/>
      <c r="T16" s="539">
        <f t="shared" si="4"/>
        <v>0</v>
      </c>
      <c r="U16" s="540"/>
      <c r="V16" s="540"/>
      <c r="W16" s="537"/>
      <c r="X16" s="537"/>
      <c r="Y16" s="538">
        <f t="shared" si="5"/>
        <v>0</v>
      </c>
      <c r="Z16" s="541">
        <f t="shared" si="6"/>
        <v>0</v>
      </c>
      <c r="AA16" s="542"/>
      <c r="AB16" s="542"/>
      <c r="AC16" s="542"/>
      <c r="AD16" s="542"/>
      <c r="AE16" s="543"/>
      <c r="AF16" s="286">
        <f t="shared" si="25"/>
        <v>0</v>
      </c>
      <c r="AG16" s="543"/>
      <c r="AH16" s="286">
        <f t="shared" si="26"/>
        <v>0</v>
      </c>
      <c r="AI16" s="543"/>
      <c r="AJ16" s="286">
        <f t="shared" si="27"/>
        <v>0</v>
      </c>
      <c r="AK16" s="544">
        <f t="shared" si="9"/>
        <v>0</v>
      </c>
      <c r="AL16" s="545">
        <f t="shared" si="10"/>
        <v>0</v>
      </c>
      <c r="AM16" s="186"/>
      <c r="AN16" s="186"/>
      <c r="AO16" s="549" t="str">
        <f t="shared" si="11"/>
        <v/>
      </c>
      <c r="AP16" s="548">
        <f t="shared" si="23"/>
        <v>0</v>
      </c>
      <c r="AQ16" s="186"/>
      <c r="AR16" s="186"/>
      <c r="AS16" s="549" t="str">
        <f t="shared" si="13"/>
        <v/>
      </c>
      <c r="AT16" s="555"/>
      <c r="AU16" s="555"/>
      <c r="AV16" s="549">
        <f t="shared" si="14"/>
        <v>0</v>
      </c>
      <c r="AW16" s="186"/>
      <c r="AX16" s="549">
        <f t="shared" si="15"/>
        <v>0</v>
      </c>
      <c r="AY16" s="186"/>
      <c r="AZ16" s="549">
        <f t="shared" si="16"/>
        <v>0</v>
      </c>
      <c r="BA16" s="186"/>
      <c r="BB16" s="549">
        <f t="shared" si="17"/>
        <v>0</v>
      </c>
      <c r="BC16" s="186"/>
      <c r="BD16" s="549">
        <f t="shared" si="18"/>
        <v>0</v>
      </c>
      <c r="BE16" s="550">
        <f t="shared" si="19"/>
        <v>0</v>
      </c>
      <c r="BF16" s="551">
        <f t="shared" si="20"/>
        <v>0</v>
      </c>
      <c r="BG16" s="552">
        <f t="shared" si="21"/>
        <v>0</v>
      </c>
      <c r="BH16" s="553"/>
      <c r="BI16" s="553"/>
    </row>
    <row r="17" ht="15.75" customHeight="1">
      <c r="A17" s="532">
        <v>45116.0</v>
      </c>
      <c r="B17" s="533"/>
      <c r="C17" s="533"/>
      <c r="D17" s="533"/>
      <c r="E17" s="533"/>
      <c r="F17" s="533"/>
      <c r="G17" s="534"/>
      <c r="H17" s="330"/>
      <c r="I17" s="535"/>
      <c r="J17" s="536">
        <f t="shared" si="24"/>
        <v>0</v>
      </c>
      <c r="K17" s="537"/>
      <c r="L17" s="537"/>
      <c r="M17" s="537"/>
      <c r="N17" s="537"/>
      <c r="O17" s="538">
        <f t="shared" si="3"/>
        <v>0</v>
      </c>
      <c r="P17" s="537"/>
      <c r="Q17" s="537"/>
      <c r="R17" s="537"/>
      <c r="S17" s="537"/>
      <c r="T17" s="539">
        <f t="shared" si="4"/>
        <v>0</v>
      </c>
      <c r="U17" s="540"/>
      <c r="V17" s="540"/>
      <c r="W17" s="537"/>
      <c r="X17" s="537"/>
      <c r="Y17" s="538">
        <f t="shared" si="5"/>
        <v>0</v>
      </c>
      <c r="Z17" s="541">
        <f t="shared" si="6"/>
        <v>0</v>
      </c>
      <c r="AA17" s="542"/>
      <c r="AB17" s="542"/>
      <c r="AC17" s="542"/>
      <c r="AD17" s="542"/>
      <c r="AE17" s="543"/>
      <c r="AF17" s="286">
        <f t="shared" si="25"/>
        <v>0</v>
      </c>
      <c r="AG17" s="543"/>
      <c r="AH17" s="286">
        <f t="shared" si="26"/>
        <v>0</v>
      </c>
      <c r="AI17" s="543"/>
      <c r="AJ17" s="286">
        <f t="shared" si="27"/>
        <v>0</v>
      </c>
      <c r="AK17" s="544">
        <f t="shared" si="9"/>
        <v>0</v>
      </c>
      <c r="AL17" s="545">
        <f t="shared" si="10"/>
        <v>0</v>
      </c>
      <c r="AM17" s="186"/>
      <c r="AN17" s="186"/>
      <c r="AO17" s="549" t="str">
        <f t="shared" si="11"/>
        <v/>
      </c>
      <c r="AP17" s="548">
        <f t="shared" si="23"/>
        <v>0</v>
      </c>
      <c r="AQ17" s="186"/>
      <c r="AR17" s="186"/>
      <c r="AS17" s="549" t="str">
        <f t="shared" si="13"/>
        <v/>
      </c>
      <c r="AT17" s="186"/>
      <c r="AU17" s="186"/>
      <c r="AV17" s="549">
        <f t="shared" si="14"/>
        <v>0</v>
      </c>
      <c r="AW17" s="186"/>
      <c r="AX17" s="549">
        <f t="shared" si="15"/>
        <v>0</v>
      </c>
      <c r="AY17" s="186"/>
      <c r="AZ17" s="549">
        <f t="shared" si="16"/>
        <v>0</v>
      </c>
      <c r="BA17" s="186"/>
      <c r="BB17" s="549">
        <f t="shared" si="17"/>
        <v>0</v>
      </c>
      <c r="BC17" s="186"/>
      <c r="BD17" s="549">
        <f t="shared" si="18"/>
        <v>0</v>
      </c>
      <c r="BE17" s="550">
        <f t="shared" si="19"/>
        <v>0</v>
      </c>
      <c r="BF17" s="551">
        <f t="shared" si="20"/>
        <v>0</v>
      </c>
      <c r="BG17" s="552">
        <f t="shared" si="21"/>
        <v>0</v>
      </c>
      <c r="BH17" s="553"/>
      <c r="BI17" s="553"/>
    </row>
    <row r="18" ht="15.75" customHeight="1">
      <c r="A18" s="532">
        <v>45117.0</v>
      </c>
      <c r="B18" s="533"/>
      <c r="C18" s="533"/>
      <c r="D18" s="533"/>
      <c r="E18" s="533"/>
      <c r="F18" s="533"/>
      <c r="G18" s="534"/>
      <c r="H18" s="330"/>
      <c r="I18" s="535"/>
      <c r="J18" s="536">
        <f t="shared" si="24"/>
        <v>0</v>
      </c>
      <c r="K18" s="537"/>
      <c r="L18" s="537"/>
      <c r="M18" s="537"/>
      <c r="N18" s="537"/>
      <c r="O18" s="538">
        <f t="shared" si="3"/>
        <v>0</v>
      </c>
      <c r="P18" s="537"/>
      <c r="Q18" s="537"/>
      <c r="R18" s="537"/>
      <c r="S18" s="537"/>
      <c r="T18" s="539">
        <f t="shared" si="4"/>
        <v>0</v>
      </c>
      <c r="U18" s="540"/>
      <c r="V18" s="540"/>
      <c r="W18" s="537"/>
      <c r="X18" s="537"/>
      <c r="Y18" s="538">
        <f t="shared" si="5"/>
        <v>0</v>
      </c>
      <c r="Z18" s="541">
        <f t="shared" si="6"/>
        <v>0</v>
      </c>
      <c r="AA18" s="542"/>
      <c r="AB18" s="542"/>
      <c r="AC18" s="542"/>
      <c r="AD18" s="542"/>
      <c r="AE18" s="543"/>
      <c r="AF18" s="286">
        <f t="shared" si="25"/>
        <v>0</v>
      </c>
      <c r="AG18" s="543"/>
      <c r="AH18" s="286">
        <f t="shared" si="26"/>
        <v>0</v>
      </c>
      <c r="AI18" s="543"/>
      <c r="AJ18" s="286">
        <f t="shared" si="27"/>
        <v>0</v>
      </c>
      <c r="AK18" s="544">
        <f t="shared" si="9"/>
        <v>0</v>
      </c>
      <c r="AL18" s="545">
        <f t="shared" si="10"/>
        <v>0</v>
      </c>
      <c r="AM18" s="186"/>
      <c r="AN18" s="186"/>
      <c r="AO18" s="549" t="str">
        <f t="shared" si="11"/>
        <v/>
      </c>
      <c r="AP18" s="548">
        <f t="shared" si="23"/>
        <v>0</v>
      </c>
      <c r="AQ18" s="186"/>
      <c r="AR18" s="186"/>
      <c r="AS18" s="549" t="str">
        <f t="shared" si="13"/>
        <v/>
      </c>
      <c r="AT18" s="186"/>
      <c r="AU18" s="186"/>
      <c r="AV18" s="549">
        <f t="shared" si="14"/>
        <v>0</v>
      </c>
      <c r="AW18" s="186"/>
      <c r="AX18" s="549">
        <f t="shared" si="15"/>
        <v>0</v>
      </c>
      <c r="AY18" s="186"/>
      <c r="AZ18" s="549">
        <f t="shared" si="16"/>
        <v>0</v>
      </c>
      <c r="BA18" s="186"/>
      <c r="BB18" s="549">
        <f t="shared" si="17"/>
        <v>0</v>
      </c>
      <c r="BC18" s="186"/>
      <c r="BD18" s="549">
        <f t="shared" si="18"/>
        <v>0</v>
      </c>
      <c r="BE18" s="550">
        <f t="shared" si="19"/>
        <v>0</v>
      </c>
      <c r="BF18" s="551">
        <f t="shared" si="20"/>
        <v>0</v>
      </c>
      <c r="BG18" s="552">
        <f t="shared" si="21"/>
        <v>0</v>
      </c>
      <c r="BH18" s="553"/>
      <c r="BI18" s="553"/>
    </row>
    <row r="19" ht="15.75" customHeight="1">
      <c r="A19" s="532">
        <v>45118.0</v>
      </c>
      <c r="B19" s="533"/>
      <c r="C19" s="533"/>
      <c r="D19" s="533"/>
      <c r="E19" s="533"/>
      <c r="F19" s="533"/>
      <c r="G19" s="534"/>
      <c r="H19" s="330"/>
      <c r="I19" s="535"/>
      <c r="J19" s="536">
        <f t="shared" si="24"/>
        <v>0</v>
      </c>
      <c r="K19" s="537"/>
      <c r="L19" s="537"/>
      <c r="M19" s="537"/>
      <c r="N19" s="537"/>
      <c r="O19" s="538">
        <f t="shared" si="3"/>
        <v>0</v>
      </c>
      <c r="P19" s="537"/>
      <c r="Q19" s="537"/>
      <c r="R19" s="537"/>
      <c r="S19" s="537"/>
      <c r="T19" s="539">
        <f t="shared" si="4"/>
        <v>0</v>
      </c>
      <c r="U19" s="540"/>
      <c r="V19" s="540"/>
      <c r="W19" s="537"/>
      <c r="X19" s="537"/>
      <c r="Y19" s="538">
        <f>+W19+X19</f>
        <v>0</v>
      </c>
      <c r="Z19" s="541">
        <f t="shared" si="6"/>
        <v>0</v>
      </c>
      <c r="AA19" s="542"/>
      <c r="AB19" s="542"/>
      <c r="AC19" s="542"/>
      <c r="AD19" s="542"/>
      <c r="AE19" s="543"/>
      <c r="AF19" s="286">
        <f t="shared" si="25"/>
        <v>0</v>
      </c>
      <c r="AG19" s="543"/>
      <c r="AH19" s="286">
        <f t="shared" si="26"/>
        <v>0</v>
      </c>
      <c r="AI19" s="543"/>
      <c r="AJ19" s="286">
        <f t="shared" si="27"/>
        <v>0</v>
      </c>
      <c r="AK19" s="544">
        <f t="shared" si="9"/>
        <v>0</v>
      </c>
      <c r="AL19" s="545">
        <f t="shared" si="10"/>
        <v>0</v>
      </c>
      <c r="AM19" s="186"/>
      <c r="AN19" s="186"/>
      <c r="AO19" s="549" t="str">
        <f t="shared" si="11"/>
        <v/>
      </c>
      <c r="AP19" s="548">
        <f t="shared" si="23"/>
        <v>0</v>
      </c>
      <c r="AQ19" s="186"/>
      <c r="AR19" s="186"/>
      <c r="AS19" s="549" t="str">
        <f t="shared" si="13"/>
        <v/>
      </c>
      <c r="AT19" s="186"/>
      <c r="AU19" s="186"/>
      <c r="AV19" s="549">
        <f t="shared" si="14"/>
        <v>0</v>
      </c>
      <c r="AW19" s="186"/>
      <c r="AX19" s="549">
        <f t="shared" si="15"/>
        <v>0</v>
      </c>
      <c r="AY19" s="186"/>
      <c r="AZ19" s="549">
        <f t="shared" si="16"/>
        <v>0</v>
      </c>
      <c r="BA19" s="186"/>
      <c r="BB19" s="549">
        <f t="shared" si="17"/>
        <v>0</v>
      </c>
      <c r="BC19" s="186"/>
      <c r="BD19" s="549">
        <f t="shared" si="18"/>
        <v>0</v>
      </c>
      <c r="BE19" s="550">
        <f t="shared" si="19"/>
        <v>0</v>
      </c>
      <c r="BF19" s="551">
        <f t="shared" si="20"/>
        <v>0</v>
      </c>
      <c r="BG19" s="552">
        <f t="shared" si="21"/>
        <v>0</v>
      </c>
      <c r="BH19" s="553"/>
      <c r="BI19" s="553"/>
    </row>
    <row r="20" ht="15.75" customHeight="1">
      <c r="A20" s="532">
        <v>45119.0</v>
      </c>
      <c r="B20" s="533"/>
      <c r="C20" s="533"/>
      <c r="D20" s="533"/>
      <c r="E20" s="533"/>
      <c r="F20" s="533"/>
      <c r="G20" s="534"/>
      <c r="H20" s="330"/>
      <c r="I20" s="535"/>
      <c r="J20" s="536">
        <f t="shared" si="24"/>
        <v>0</v>
      </c>
      <c r="K20" s="537"/>
      <c r="L20" s="537"/>
      <c r="M20" s="537"/>
      <c r="N20" s="537"/>
      <c r="O20" s="538">
        <f t="shared" si="3"/>
        <v>0</v>
      </c>
      <c r="P20" s="537"/>
      <c r="Q20" s="537"/>
      <c r="R20" s="537"/>
      <c r="S20" s="537"/>
      <c r="T20" s="539">
        <f t="shared" si="4"/>
        <v>0</v>
      </c>
      <c r="U20" s="540"/>
      <c r="V20" s="540"/>
      <c r="W20" s="537"/>
      <c r="X20" s="537"/>
      <c r="Y20" s="538">
        <f t="shared" ref="Y20:Y40" si="28">SUM(W20:X20)</f>
        <v>0</v>
      </c>
      <c r="Z20" s="541">
        <f t="shared" si="6"/>
        <v>0</v>
      </c>
      <c r="AA20" s="542"/>
      <c r="AB20" s="542"/>
      <c r="AC20" s="542"/>
      <c r="AD20" s="542"/>
      <c r="AE20" s="543"/>
      <c r="AF20" s="286">
        <f t="shared" si="25"/>
        <v>0</v>
      </c>
      <c r="AG20" s="543"/>
      <c r="AH20" s="286">
        <f t="shared" si="26"/>
        <v>0</v>
      </c>
      <c r="AI20" s="543"/>
      <c r="AJ20" s="286">
        <f t="shared" si="27"/>
        <v>0</v>
      </c>
      <c r="AK20" s="544">
        <f t="shared" si="9"/>
        <v>0</v>
      </c>
      <c r="AL20" s="545">
        <f t="shared" si="10"/>
        <v>0</v>
      </c>
      <c r="AM20" s="186"/>
      <c r="AN20" s="186"/>
      <c r="AO20" s="549" t="str">
        <f t="shared" si="11"/>
        <v/>
      </c>
      <c r="AP20" s="548">
        <f t="shared" si="23"/>
        <v>0</v>
      </c>
      <c r="AQ20" s="186"/>
      <c r="AR20" s="186"/>
      <c r="AS20" s="549" t="str">
        <f t="shared" si="13"/>
        <v/>
      </c>
      <c r="AT20" s="186"/>
      <c r="AU20" s="186"/>
      <c r="AV20" s="549">
        <f t="shared" si="14"/>
        <v>0</v>
      </c>
      <c r="AW20" s="186"/>
      <c r="AX20" s="549">
        <f t="shared" si="15"/>
        <v>0</v>
      </c>
      <c r="AY20" s="186"/>
      <c r="AZ20" s="549">
        <f t="shared" si="16"/>
        <v>0</v>
      </c>
      <c r="BA20" s="186"/>
      <c r="BB20" s="549">
        <f t="shared" si="17"/>
        <v>0</v>
      </c>
      <c r="BC20" s="186"/>
      <c r="BD20" s="549">
        <f t="shared" si="18"/>
        <v>0</v>
      </c>
      <c r="BE20" s="550">
        <f t="shared" si="19"/>
        <v>0</v>
      </c>
      <c r="BF20" s="551">
        <f t="shared" si="20"/>
        <v>0</v>
      </c>
      <c r="BG20" s="552">
        <f t="shared" si="21"/>
        <v>0</v>
      </c>
      <c r="BH20" s="553"/>
      <c r="BI20" s="553"/>
    </row>
    <row r="21" ht="15.75" customHeight="1">
      <c r="A21" s="532">
        <v>45120.0</v>
      </c>
      <c r="B21" s="533"/>
      <c r="C21" s="533"/>
      <c r="D21" s="533"/>
      <c r="E21" s="533"/>
      <c r="F21" s="533"/>
      <c r="G21" s="534"/>
      <c r="H21" s="330"/>
      <c r="I21" s="535"/>
      <c r="J21" s="536">
        <f t="shared" si="24"/>
        <v>0</v>
      </c>
      <c r="K21" s="537"/>
      <c r="L21" s="537"/>
      <c r="M21" s="537"/>
      <c r="N21" s="537"/>
      <c r="O21" s="538">
        <f t="shared" si="3"/>
        <v>0</v>
      </c>
      <c r="P21" s="537"/>
      <c r="Q21" s="537"/>
      <c r="R21" s="537"/>
      <c r="S21" s="537"/>
      <c r="T21" s="539">
        <f t="shared" si="4"/>
        <v>0</v>
      </c>
      <c r="U21" s="540"/>
      <c r="V21" s="540"/>
      <c r="W21" s="537"/>
      <c r="X21" s="537"/>
      <c r="Y21" s="538">
        <f t="shared" si="28"/>
        <v>0</v>
      </c>
      <c r="Z21" s="541">
        <f t="shared" si="6"/>
        <v>0</v>
      </c>
      <c r="AA21" s="542"/>
      <c r="AB21" s="542"/>
      <c r="AC21" s="542"/>
      <c r="AD21" s="542"/>
      <c r="AE21" s="543"/>
      <c r="AF21" s="286">
        <f t="shared" si="25"/>
        <v>0</v>
      </c>
      <c r="AG21" s="543"/>
      <c r="AH21" s="286">
        <f t="shared" si="26"/>
        <v>0</v>
      </c>
      <c r="AI21" s="543"/>
      <c r="AJ21" s="286">
        <f t="shared" si="27"/>
        <v>0</v>
      </c>
      <c r="AK21" s="544">
        <f t="shared" si="9"/>
        <v>0</v>
      </c>
      <c r="AL21" s="545">
        <f t="shared" si="10"/>
        <v>0</v>
      </c>
      <c r="AM21" s="186"/>
      <c r="AN21" s="186"/>
      <c r="AO21" s="549" t="str">
        <f t="shared" si="11"/>
        <v/>
      </c>
      <c r="AP21" s="548">
        <f t="shared" si="23"/>
        <v>0</v>
      </c>
      <c r="AQ21" s="186"/>
      <c r="AR21" s="186"/>
      <c r="AS21" s="549" t="str">
        <f t="shared" si="13"/>
        <v/>
      </c>
      <c r="AT21" s="186"/>
      <c r="AU21" s="186"/>
      <c r="AV21" s="549">
        <f t="shared" si="14"/>
        <v>0</v>
      </c>
      <c r="AW21" s="186"/>
      <c r="AX21" s="549">
        <f t="shared" si="15"/>
        <v>0</v>
      </c>
      <c r="AY21" s="186"/>
      <c r="AZ21" s="549">
        <f t="shared" si="16"/>
        <v>0</v>
      </c>
      <c r="BA21" s="186"/>
      <c r="BB21" s="549">
        <f t="shared" si="17"/>
        <v>0</v>
      </c>
      <c r="BC21" s="186"/>
      <c r="BD21" s="549">
        <f t="shared" si="18"/>
        <v>0</v>
      </c>
      <c r="BE21" s="550">
        <f t="shared" si="19"/>
        <v>0</v>
      </c>
      <c r="BF21" s="551">
        <f t="shared" si="20"/>
        <v>0</v>
      </c>
      <c r="BG21" s="552">
        <f t="shared" si="21"/>
        <v>0</v>
      </c>
      <c r="BH21" s="553"/>
      <c r="BI21" s="553"/>
    </row>
    <row r="22" ht="15.75" customHeight="1">
      <c r="A22" s="532">
        <v>45121.0</v>
      </c>
      <c r="B22" s="533"/>
      <c r="C22" s="533"/>
      <c r="D22" s="533"/>
      <c r="E22" s="533"/>
      <c r="F22" s="533"/>
      <c r="G22" s="534"/>
      <c r="H22" s="330"/>
      <c r="I22" s="535"/>
      <c r="J22" s="536">
        <f t="shared" si="24"/>
        <v>0</v>
      </c>
      <c r="K22" s="537"/>
      <c r="L22" s="537"/>
      <c r="M22" s="537"/>
      <c r="N22" s="537"/>
      <c r="O22" s="538">
        <f t="shared" si="3"/>
        <v>0</v>
      </c>
      <c r="P22" s="537"/>
      <c r="Q22" s="537"/>
      <c r="R22" s="537"/>
      <c r="S22" s="537"/>
      <c r="T22" s="539">
        <f t="shared" si="4"/>
        <v>0</v>
      </c>
      <c r="U22" s="540"/>
      <c r="V22" s="540"/>
      <c r="W22" s="537"/>
      <c r="X22" s="537"/>
      <c r="Y22" s="538">
        <f t="shared" si="28"/>
        <v>0</v>
      </c>
      <c r="Z22" s="541">
        <f t="shared" si="6"/>
        <v>0</v>
      </c>
      <c r="AA22" s="542"/>
      <c r="AB22" s="542"/>
      <c r="AC22" s="542"/>
      <c r="AD22" s="542"/>
      <c r="AE22" s="543"/>
      <c r="AF22" s="286">
        <f t="shared" ref="AF22:AF38" si="29">(AE22*AH$1)</f>
        <v>0</v>
      </c>
      <c r="AG22" s="543"/>
      <c r="AH22" s="286">
        <f t="shared" ref="AH22:AH38" si="30">AG22*AH$2</f>
        <v>0</v>
      </c>
      <c r="AI22" s="543"/>
      <c r="AJ22" s="286">
        <f t="shared" ref="AJ22:AJ38" si="31">AI22*AH$2</f>
        <v>0</v>
      </c>
      <c r="AK22" s="544">
        <f t="shared" si="9"/>
        <v>0</v>
      </c>
      <c r="AL22" s="545">
        <f t="shared" si="10"/>
        <v>0</v>
      </c>
      <c r="AM22" s="186"/>
      <c r="AN22" s="186"/>
      <c r="AO22" s="549" t="str">
        <f t="shared" si="11"/>
        <v/>
      </c>
      <c r="AP22" s="548">
        <f t="shared" si="23"/>
        <v>0</v>
      </c>
      <c r="AQ22" s="186"/>
      <c r="AR22" s="186"/>
      <c r="AS22" s="549" t="str">
        <f t="shared" si="13"/>
        <v/>
      </c>
      <c r="AT22" s="186"/>
      <c r="AU22" s="186"/>
      <c r="AV22" s="549">
        <f t="shared" ref="AV22:AV36" si="32">AU22*AV$4</f>
        <v>0</v>
      </c>
      <c r="AW22" s="186"/>
      <c r="AX22" s="549">
        <f t="shared" ref="AX22:AX36" si="33">AW22*AX$4</f>
        <v>0</v>
      </c>
      <c r="AY22" s="186"/>
      <c r="AZ22" s="549">
        <f t="shared" ref="AZ22:AZ36" si="34">AY22*AZ$4</f>
        <v>0</v>
      </c>
      <c r="BA22" s="186"/>
      <c r="BB22" s="549">
        <f t="shared" ref="BB22:BB36" si="35">BA22*BB$4</f>
        <v>0</v>
      </c>
      <c r="BC22" s="186"/>
      <c r="BD22" s="549">
        <f t="shared" ref="BD22:BD36" si="36">BC22*BD$4</f>
        <v>0</v>
      </c>
      <c r="BE22" s="550">
        <f t="shared" si="19"/>
        <v>0</v>
      </c>
      <c r="BF22" s="551">
        <f t="shared" si="20"/>
        <v>0</v>
      </c>
      <c r="BG22" s="552">
        <f t="shared" si="21"/>
        <v>0</v>
      </c>
      <c r="BH22" s="553"/>
      <c r="BI22" s="553"/>
    </row>
    <row r="23" ht="15.75" customHeight="1">
      <c r="A23" s="532">
        <v>45122.0</v>
      </c>
      <c r="B23" s="533"/>
      <c r="C23" s="533"/>
      <c r="D23" s="533"/>
      <c r="E23" s="533"/>
      <c r="F23" s="533"/>
      <c r="G23" s="534"/>
      <c r="H23" s="330"/>
      <c r="I23" s="535"/>
      <c r="J23" s="536">
        <f t="shared" si="24"/>
        <v>0</v>
      </c>
      <c r="K23" s="537"/>
      <c r="L23" s="537"/>
      <c r="M23" s="537"/>
      <c r="N23" s="537"/>
      <c r="O23" s="538">
        <f t="shared" si="3"/>
        <v>0</v>
      </c>
      <c r="P23" s="537"/>
      <c r="Q23" s="537"/>
      <c r="R23" s="537"/>
      <c r="S23" s="537"/>
      <c r="T23" s="539">
        <f t="shared" si="4"/>
        <v>0</v>
      </c>
      <c r="U23" s="540"/>
      <c r="V23" s="540"/>
      <c r="W23" s="537"/>
      <c r="X23" s="537"/>
      <c r="Y23" s="538">
        <f t="shared" si="28"/>
        <v>0</v>
      </c>
      <c r="Z23" s="541">
        <f t="shared" si="6"/>
        <v>0</v>
      </c>
      <c r="AA23" s="542"/>
      <c r="AB23" s="542"/>
      <c r="AC23" s="542"/>
      <c r="AD23" s="542"/>
      <c r="AE23" s="543"/>
      <c r="AF23" s="286">
        <f t="shared" si="29"/>
        <v>0</v>
      </c>
      <c r="AG23" s="543"/>
      <c r="AH23" s="286">
        <f t="shared" si="30"/>
        <v>0</v>
      </c>
      <c r="AI23" s="543"/>
      <c r="AJ23" s="286">
        <f t="shared" si="31"/>
        <v>0</v>
      </c>
      <c r="AK23" s="544">
        <f t="shared" si="9"/>
        <v>0</v>
      </c>
      <c r="AL23" s="545">
        <f t="shared" si="10"/>
        <v>0</v>
      </c>
      <c r="AM23" s="186"/>
      <c r="AN23" s="186"/>
      <c r="AO23" s="549" t="str">
        <f t="shared" si="11"/>
        <v/>
      </c>
      <c r="AP23" s="548">
        <f t="shared" si="23"/>
        <v>0</v>
      </c>
      <c r="AQ23" s="186"/>
      <c r="AR23" s="186"/>
      <c r="AS23" s="549" t="str">
        <f t="shared" si="13"/>
        <v/>
      </c>
      <c r="AT23" s="186"/>
      <c r="AU23" s="186"/>
      <c r="AV23" s="549">
        <f t="shared" si="32"/>
        <v>0</v>
      </c>
      <c r="AW23" s="186"/>
      <c r="AX23" s="549">
        <f t="shared" si="33"/>
        <v>0</v>
      </c>
      <c r="AY23" s="186"/>
      <c r="AZ23" s="549">
        <f t="shared" si="34"/>
        <v>0</v>
      </c>
      <c r="BA23" s="186"/>
      <c r="BB23" s="549">
        <f t="shared" si="35"/>
        <v>0</v>
      </c>
      <c r="BC23" s="186"/>
      <c r="BD23" s="549">
        <f t="shared" si="36"/>
        <v>0</v>
      </c>
      <c r="BE23" s="550">
        <f t="shared" si="19"/>
        <v>0</v>
      </c>
      <c r="BF23" s="551">
        <f t="shared" si="20"/>
        <v>0</v>
      </c>
      <c r="BG23" s="552">
        <f t="shared" si="21"/>
        <v>0</v>
      </c>
      <c r="BH23" s="553"/>
      <c r="BI23" s="553"/>
    </row>
    <row r="24" ht="15.75" customHeight="1">
      <c r="A24" s="532">
        <v>45123.0</v>
      </c>
      <c r="B24" s="533"/>
      <c r="C24" s="533"/>
      <c r="D24" s="533"/>
      <c r="E24" s="533"/>
      <c r="F24" s="533"/>
      <c r="G24" s="534"/>
      <c r="H24" s="330"/>
      <c r="I24" s="535"/>
      <c r="J24" s="536">
        <f t="shared" si="24"/>
        <v>0</v>
      </c>
      <c r="K24" s="537"/>
      <c r="L24" s="537"/>
      <c r="M24" s="537"/>
      <c r="N24" s="537"/>
      <c r="O24" s="538">
        <f t="shared" si="3"/>
        <v>0</v>
      </c>
      <c r="P24" s="537"/>
      <c r="Q24" s="537"/>
      <c r="R24" s="537"/>
      <c r="S24" s="537"/>
      <c r="T24" s="539">
        <f t="shared" si="4"/>
        <v>0</v>
      </c>
      <c r="U24" s="540"/>
      <c r="V24" s="540"/>
      <c r="W24" s="537"/>
      <c r="X24" s="537"/>
      <c r="Y24" s="538">
        <f t="shared" si="28"/>
        <v>0</v>
      </c>
      <c r="Z24" s="541">
        <f t="shared" si="6"/>
        <v>0</v>
      </c>
      <c r="AA24" s="542"/>
      <c r="AB24" s="542"/>
      <c r="AC24" s="542"/>
      <c r="AD24" s="542"/>
      <c r="AE24" s="543"/>
      <c r="AF24" s="286">
        <f t="shared" si="29"/>
        <v>0</v>
      </c>
      <c r="AG24" s="543"/>
      <c r="AH24" s="286">
        <f t="shared" si="30"/>
        <v>0</v>
      </c>
      <c r="AI24" s="543"/>
      <c r="AJ24" s="286">
        <f t="shared" si="31"/>
        <v>0</v>
      </c>
      <c r="AK24" s="544">
        <f t="shared" si="9"/>
        <v>0</v>
      </c>
      <c r="AL24" s="545">
        <f t="shared" si="10"/>
        <v>0</v>
      </c>
      <c r="AM24" s="186"/>
      <c r="AN24" s="186"/>
      <c r="AO24" s="549" t="str">
        <f t="shared" si="11"/>
        <v/>
      </c>
      <c r="AP24" s="548">
        <f t="shared" si="23"/>
        <v>0</v>
      </c>
      <c r="AQ24" s="186"/>
      <c r="AR24" s="186"/>
      <c r="AS24" s="549" t="str">
        <f t="shared" si="13"/>
        <v/>
      </c>
      <c r="AT24" s="186"/>
      <c r="AU24" s="186"/>
      <c r="AV24" s="549">
        <f t="shared" si="32"/>
        <v>0</v>
      </c>
      <c r="AW24" s="186"/>
      <c r="AX24" s="549">
        <f t="shared" si="33"/>
        <v>0</v>
      </c>
      <c r="AY24" s="186"/>
      <c r="AZ24" s="549">
        <f t="shared" si="34"/>
        <v>0</v>
      </c>
      <c r="BA24" s="186"/>
      <c r="BB24" s="549">
        <f t="shared" si="35"/>
        <v>0</v>
      </c>
      <c r="BC24" s="186"/>
      <c r="BD24" s="549">
        <f t="shared" si="36"/>
        <v>0</v>
      </c>
      <c r="BE24" s="550">
        <f t="shared" si="19"/>
        <v>0</v>
      </c>
      <c r="BF24" s="551">
        <f t="shared" si="20"/>
        <v>0</v>
      </c>
      <c r="BG24" s="552">
        <f t="shared" si="21"/>
        <v>0</v>
      </c>
      <c r="BH24" s="553"/>
      <c r="BI24" s="553"/>
    </row>
    <row r="25" ht="15.75" customHeight="1">
      <c r="A25" s="532">
        <v>45124.0</v>
      </c>
      <c r="B25" s="533"/>
      <c r="C25" s="533"/>
      <c r="D25" s="533"/>
      <c r="E25" s="533"/>
      <c r="F25" s="533"/>
      <c r="G25" s="534"/>
      <c r="H25" s="330"/>
      <c r="I25" s="535"/>
      <c r="J25" s="536">
        <f t="shared" si="24"/>
        <v>0</v>
      </c>
      <c r="K25" s="537"/>
      <c r="L25" s="537"/>
      <c r="M25" s="537"/>
      <c r="N25" s="537"/>
      <c r="O25" s="538">
        <f t="shared" si="3"/>
        <v>0</v>
      </c>
      <c r="P25" s="537"/>
      <c r="Q25" s="537"/>
      <c r="R25" s="537"/>
      <c r="S25" s="537"/>
      <c r="T25" s="539">
        <f t="shared" si="4"/>
        <v>0</v>
      </c>
      <c r="U25" s="540"/>
      <c r="V25" s="540"/>
      <c r="W25" s="537"/>
      <c r="X25" s="537"/>
      <c r="Y25" s="538">
        <f t="shared" si="28"/>
        <v>0</v>
      </c>
      <c r="Z25" s="541">
        <f t="shared" si="6"/>
        <v>0</v>
      </c>
      <c r="AA25" s="542"/>
      <c r="AB25" s="542"/>
      <c r="AC25" s="542"/>
      <c r="AD25" s="542"/>
      <c r="AE25" s="543"/>
      <c r="AF25" s="286">
        <f t="shared" si="29"/>
        <v>0</v>
      </c>
      <c r="AG25" s="543"/>
      <c r="AH25" s="286">
        <f t="shared" si="30"/>
        <v>0</v>
      </c>
      <c r="AI25" s="543"/>
      <c r="AJ25" s="286">
        <f t="shared" si="31"/>
        <v>0</v>
      </c>
      <c r="AK25" s="544">
        <f t="shared" si="9"/>
        <v>0</v>
      </c>
      <c r="AL25" s="545">
        <f t="shared" si="10"/>
        <v>0</v>
      </c>
      <c r="AM25" s="186"/>
      <c r="AN25" s="186"/>
      <c r="AO25" s="549" t="str">
        <f t="shared" si="11"/>
        <v/>
      </c>
      <c r="AP25" s="548">
        <f t="shared" si="23"/>
        <v>0</v>
      </c>
      <c r="AQ25" s="186"/>
      <c r="AR25" s="186"/>
      <c r="AS25" s="549" t="str">
        <f t="shared" si="13"/>
        <v/>
      </c>
      <c r="AT25" s="186"/>
      <c r="AU25" s="186"/>
      <c r="AV25" s="549">
        <f t="shared" si="32"/>
        <v>0</v>
      </c>
      <c r="AW25" s="186"/>
      <c r="AX25" s="549">
        <f t="shared" si="33"/>
        <v>0</v>
      </c>
      <c r="AY25" s="186"/>
      <c r="AZ25" s="549">
        <f t="shared" si="34"/>
        <v>0</v>
      </c>
      <c r="BA25" s="186"/>
      <c r="BB25" s="549">
        <f t="shared" si="35"/>
        <v>0</v>
      </c>
      <c r="BC25" s="186"/>
      <c r="BD25" s="549">
        <f t="shared" si="36"/>
        <v>0</v>
      </c>
      <c r="BE25" s="550">
        <f t="shared" si="19"/>
        <v>0</v>
      </c>
      <c r="BF25" s="551">
        <f t="shared" si="20"/>
        <v>0</v>
      </c>
      <c r="BG25" s="552">
        <f t="shared" si="21"/>
        <v>0</v>
      </c>
      <c r="BH25" s="553"/>
      <c r="BI25" s="553"/>
    </row>
    <row r="26" ht="15.75" customHeight="1">
      <c r="A26" s="532">
        <v>45125.0</v>
      </c>
      <c r="B26" s="533"/>
      <c r="C26" s="533"/>
      <c r="D26" s="533"/>
      <c r="E26" s="533"/>
      <c r="F26" s="533"/>
      <c r="G26" s="534"/>
      <c r="H26" s="330"/>
      <c r="I26" s="535"/>
      <c r="J26" s="536">
        <f t="shared" si="24"/>
        <v>0</v>
      </c>
      <c r="K26" s="537"/>
      <c r="L26" s="537"/>
      <c r="M26" s="537"/>
      <c r="N26" s="537"/>
      <c r="O26" s="538">
        <f t="shared" si="3"/>
        <v>0</v>
      </c>
      <c r="P26" s="537"/>
      <c r="Q26" s="537"/>
      <c r="R26" s="537"/>
      <c r="S26" s="537"/>
      <c r="T26" s="539">
        <f t="shared" si="4"/>
        <v>0</v>
      </c>
      <c r="U26" s="540"/>
      <c r="V26" s="540"/>
      <c r="W26" s="537"/>
      <c r="X26" s="537"/>
      <c r="Y26" s="538">
        <f t="shared" si="28"/>
        <v>0</v>
      </c>
      <c r="Z26" s="541">
        <f t="shared" si="6"/>
        <v>0</v>
      </c>
      <c r="AA26" s="542"/>
      <c r="AB26" s="542"/>
      <c r="AC26" s="542"/>
      <c r="AD26" s="542"/>
      <c r="AE26" s="543"/>
      <c r="AF26" s="286">
        <f t="shared" si="29"/>
        <v>0</v>
      </c>
      <c r="AG26" s="543"/>
      <c r="AH26" s="286">
        <f t="shared" si="30"/>
        <v>0</v>
      </c>
      <c r="AI26" s="543"/>
      <c r="AJ26" s="286">
        <f t="shared" si="31"/>
        <v>0</v>
      </c>
      <c r="AK26" s="544">
        <f t="shared" si="9"/>
        <v>0</v>
      </c>
      <c r="AL26" s="545">
        <f t="shared" si="10"/>
        <v>0</v>
      </c>
      <c r="AM26" s="186"/>
      <c r="AN26" s="186"/>
      <c r="AO26" s="549" t="str">
        <f t="shared" si="11"/>
        <v/>
      </c>
      <c r="AP26" s="548">
        <f t="shared" si="23"/>
        <v>0</v>
      </c>
      <c r="AQ26" s="186"/>
      <c r="AR26" s="186"/>
      <c r="AS26" s="549" t="str">
        <f t="shared" si="13"/>
        <v/>
      </c>
      <c r="AT26" s="186"/>
      <c r="AU26" s="186"/>
      <c r="AV26" s="549">
        <f t="shared" si="32"/>
        <v>0</v>
      </c>
      <c r="AW26" s="186"/>
      <c r="AX26" s="549">
        <f t="shared" si="33"/>
        <v>0</v>
      </c>
      <c r="AY26" s="186"/>
      <c r="AZ26" s="549">
        <f t="shared" si="34"/>
        <v>0</v>
      </c>
      <c r="BA26" s="186"/>
      <c r="BB26" s="549">
        <f t="shared" si="35"/>
        <v>0</v>
      </c>
      <c r="BC26" s="186"/>
      <c r="BD26" s="549">
        <f t="shared" si="36"/>
        <v>0</v>
      </c>
      <c r="BE26" s="550">
        <f t="shared" si="19"/>
        <v>0</v>
      </c>
      <c r="BF26" s="551">
        <f t="shared" si="20"/>
        <v>0</v>
      </c>
      <c r="BG26" s="552">
        <f t="shared" si="21"/>
        <v>0</v>
      </c>
      <c r="BH26" s="553"/>
      <c r="BI26" s="553"/>
    </row>
    <row r="27" ht="15.75" customHeight="1">
      <c r="A27" s="532">
        <v>45126.0</v>
      </c>
      <c r="B27" s="533"/>
      <c r="C27" s="533"/>
      <c r="D27" s="533"/>
      <c r="E27" s="533"/>
      <c r="F27" s="533"/>
      <c r="G27" s="534"/>
      <c r="H27" s="330"/>
      <c r="I27" s="535"/>
      <c r="J27" s="536">
        <f t="shared" si="24"/>
        <v>0</v>
      </c>
      <c r="K27" s="537"/>
      <c r="L27" s="537"/>
      <c r="M27" s="537"/>
      <c r="N27" s="537"/>
      <c r="O27" s="538">
        <f t="shared" si="3"/>
        <v>0</v>
      </c>
      <c r="P27" s="537"/>
      <c r="Q27" s="537"/>
      <c r="R27" s="537"/>
      <c r="S27" s="537"/>
      <c r="T27" s="539">
        <f t="shared" si="4"/>
        <v>0</v>
      </c>
      <c r="U27" s="540"/>
      <c r="V27" s="540"/>
      <c r="W27" s="537"/>
      <c r="X27" s="537"/>
      <c r="Y27" s="538">
        <f t="shared" si="28"/>
        <v>0</v>
      </c>
      <c r="Z27" s="541">
        <f t="shared" si="6"/>
        <v>0</v>
      </c>
      <c r="AA27" s="542"/>
      <c r="AB27" s="542"/>
      <c r="AC27" s="542"/>
      <c r="AD27" s="542"/>
      <c r="AE27" s="543"/>
      <c r="AF27" s="286">
        <f t="shared" si="29"/>
        <v>0</v>
      </c>
      <c r="AG27" s="543"/>
      <c r="AH27" s="286">
        <f t="shared" si="30"/>
        <v>0</v>
      </c>
      <c r="AI27" s="543"/>
      <c r="AJ27" s="286">
        <f t="shared" si="31"/>
        <v>0</v>
      </c>
      <c r="AK27" s="544">
        <f t="shared" si="9"/>
        <v>0</v>
      </c>
      <c r="AL27" s="545">
        <f t="shared" si="10"/>
        <v>0</v>
      </c>
      <c r="AM27" s="186"/>
      <c r="AN27" s="186"/>
      <c r="AO27" s="549" t="str">
        <f t="shared" si="11"/>
        <v/>
      </c>
      <c r="AP27" s="548">
        <f t="shared" si="23"/>
        <v>0</v>
      </c>
      <c r="AQ27" s="186"/>
      <c r="AR27" s="186"/>
      <c r="AS27" s="549" t="str">
        <f t="shared" si="13"/>
        <v/>
      </c>
      <c r="AT27" s="186"/>
      <c r="AU27" s="186"/>
      <c r="AV27" s="549">
        <f t="shared" si="32"/>
        <v>0</v>
      </c>
      <c r="AW27" s="186"/>
      <c r="AX27" s="549">
        <f t="shared" si="33"/>
        <v>0</v>
      </c>
      <c r="AY27" s="186"/>
      <c r="AZ27" s="549">
        <f t="shared" si="34"/>
        <v>0</v>
      </c>
      <c r="BA27" s="186"/>
      <c r="BB27" s="549">
        <f t="shared" si="35"/>
        <v>0</v>
      </c>
      <c r="BC27" s="186"/>
      <c r="BD27" s="549">
        <f t="shared" si="36"/>
        <v>0</v>
      </c>
      <c r="BE27" s="550">
        <f t="shared" si="19"/>
        <v>0</v>
      </c>
      <c r="BF27" s="551">
        <f t="shared" si="20"/>
        <v>0</v>
      </c>
      <c r="BG27" s="552">
        <f t="shared" si="21"/>
        <v>0</v>
      </c>
      <c r="BH27" s="553"/>
      <c r="BI27" s="553"/>
    </row>
    <row r="28" ht="15.75" customHeight="1">
      <c r="A28" s="532">
        <v>45127.0</v>
      </c>
      <c r="B28" s="533"/>
      <c r="C28" s="533"/>
      <c r="D28" s="533"/>
      <c r="E28" s="533"/>
      <c r="F28" s="533"/>
      <c r="G28" s="534"/>
      <c r="H28" s="330"/>
      <c r="I28" s="535"/>
      <c r="J28" s="536">
        <f t="shared" si="24"/>
        <v>0</v>
      </c>
      <c r="K28" s="537"/>
      <c r="L28" s="537"/>
      <c r="M28" s="537"/>
      <c r="N28" s="537"/>
      <c r="O28" s="538">
        <f t="shared" si="3"/>
        <v>0</v>
      </c>
      <c r="P28" s="537"/>
      <c r="Q28" s="537"/>
      <c r="R28" s="537"/>
      <c r="S28" s="537"/>
      <c r="T28" s="539">
        <f t="shared" si="4"/>
        <v>0</v>
      </c>
      <c r="U28" s="540"/>
      <c r="V28" s="540"/>
      <c r="W28" s="537"/>
      <c r="X28" s="537"/>
      <c r="Y28" s="538">
        <f t="shared" si="28"/>
        <v>0</v>
      </c>
      <c r="Z28" s="541">
        <f t="shared" si="6"/>
        <v>0</v>
      </c>
      <c r="AA28" s="542"/>
      <c r="AB28" s="542"/>
      <c r="AC28" s="542"/>
      <c r="AD28" s="542"/>
      <c r="AE28" s="543"/>
      <c r="AF28" s="286">
        <f t="shared" si="29"/>
        <v>0</v>
      </c>
      <c r="AG28" s="543"/>
      <c r="AH28" s="286">
        <f t="shared" si="30"/>
        <v>0</v>
      </c>
      <c r="AI28" s="543"/>
      <c r="AJ28" s="286">
        <f t="shared" si="31"/>
        <v>0</v>
      </c>
      <c r="AK28" s="544">
        <f t="shared" si="9"/>
        <v>0</v>
      </c>
      <c r="AL28" s="545">
        <f t="shared" si="10"/>
        <v>0</v>
      </c>
      <c r="AM28" s="186"/>
      <c r="AN28" s="186"/>
      <c r="AO28" s="549" t="str">
        <f t="shared" si="11"/>
        <v/>
      </c>
      <c r="AP28" s="548">
        <f t="shared" si="23"/>
        <v>0</v>
      </c>
      <c r="AQ28" s="186"/>
      <c r="AR28" s="186"/>
      <c r="AS28" s="549" t="str">
        <f t="shared" si="13"/>
        <v/>
      </c>
      <c r="AT28" s="186"/>
      <c r="AU28" s="186"/>
      <c r="AV28" s="549">
        <f t="shared" si="32"/>
        <v>0</v>
      </c>
      <c r="AW28" s="186"/>
      <c r="AX28" s="549">
        <f t="shared" si="33"/>
        <v>0</v>
      </c>
      <c r="AY28" s="186"/>
      <c r="AZ28" s="549">
        <f t="shared" si="34"/>
        <v>0</v>
      </c>
      <c r="BA28" s="186"/>
      <c r="BB28" s="549">
        <f t="shared" si="35"/>
        <v>0</v>
      </c>
      <c r="BC28" s="186"/>
      <c r="BD28" s="549">
        <f t="shared" si="36"/>
        <v>0</v>
      </c>
      <c r="BE28" s="550">
        <f t="shared" si="19"/>
        <v>0</v>
      </c>
      <c r="BF28" s="551">
        <f t="shared" si="20"/>
        <v>0</v>
      </c>
      <c r="BG28" s="552">
        <f t="shared" si="21"/>
        <v>0</v>
      </c>
      <c r="BH28" s="553"/>
      <c r="BI28" s="553"/>
    </row>
    <row r="29" ht="15.75" customHeight="1">
      <c r="A29" s="532">
        <v>45128.0</v>
      </c>
      <c r="B29" s="533"/>
      <c r="C29" s="533"/>
      <c r="D29" s="533"/>
      <c r="E29" s="533"/>
      <c r="F29" s="533"/>
      <c r="G29" s="534"/>
      <c r="H29" s="330"/>
      <c r="I29" s="535"/>
      <c r="J29" s="536">
        <f t="shared" si="24"/>
        <v>0</v>
      </c>
      <c r="K29" s="537"/>
      <c r="L29" s="537"/>
      <c r="M29" s="537"/>
      <c r="N29" s="537"/>
      <c r="O29" s="538">
        <f t="shared" si="3"/>
        <v>0</v>
      </c>
      <c r="P29" s="537"/>
      <c r="Q29" s="537"/>
      <c r="R29" s="537"/>
      <c r="S29" s="537"/>
      <c r="T29" s="539">
        <f t="shared" si="4"/>
        <v>0</v>
      </c>
      <c r="U29" s="540"/>
      <c r="V29" s="540"/>
      <c r="W29" s="537"/>
      <c r="X29" s="537"/>
      <c r="Y29" s="538">
        <f t="shared" si="28"/>
        <v>0</v>
      </c>
      <c r="Z29" s="541">
        <f t="shared" si="6"/>
        <v>0</v>
      </c>
      <c r="AA29" s="542"/>
      <c r="AB29" s="542"/>
      <c r="AC29" s="542"/>
      <c r="AD29" s="542"/>
      <c r="AE29" s="543"/>
      <c r="AF29" s="286">
        <f t="shared" si="29"/>
        <v>0</v>
      </c>
      <c r="AG29" s="543"/>
      <c r="AH29" s="286">
        <f t="shared" si="30"/>
        <v>0</v>
      </c>
      <c r="AI29" s="543"/>
      <c r="AJ29" s="286">
        <f t="shared" si="31"/>
        <v>0</v>
      </c>
      <c r="AK29" s="544">
        <f t="shared" si="9"/>
        <v>0</v>
      </c>
      <c r="AL29" s="545">
        <f t="shared" si="10"/>
        <v>0</v>
      </c>
      <c r="AM29" s="186"/>
      <c r="AN29" s="186"/>
      <c r="AO29" s="549" t="str">
        <f t="shared" si="11"/>
        <v/>
      </c>
      <c r="AP29" s="548">
        <f t="shared" si="23"/>
        <v>0</v>
      </c>
      <c r="AQ29" s="186"/>
      <c r="AR29" s="186"/>
      <c r="AS29" s="549" t="str">
        <f t="shared" si="13"/>
        <v/>
      </c>
      <c r="AT29" s="186"/>
      <c r="AU29" s="186"/>
      <c r="AV29" s="549">
        <f t="shared" si="32"/>
        <v>0</v>
      </c>
      <c r="AW29" s="186"/>
      <c r="AX29" s="549">
        <f t="shared" si="33"/>
        <v>0</v>
      </c>
      <c r="AY29" s="186"/>
      <c r="AZ29" s="549">
        <f t="shared" si="34"/>
        <v>0</v>
      </c>
      <c r="BA29" s="186"/>
      <c r="BB29" s="549">
        <f t="shared" si="35"/>
        <v>0</v>
      </c>
      <c r="BC29" s="186"/>
      <c r="BD29" s="549">
        <f t="shared" si="36"/>
        <v>0</v>
      </c>
      <c r="BE29" s="550">
        <f t="shared" si="19"/>
        <v>0</v>
      </c>
      <c r="BF29" s="551">
        <f t="shared" si="20"/>
        <v>0</v>
      </c>
      <c r="BG29" s="552">
        <f t="shared" si="21"/>
        <v>0</v>
      </c>
      <c r="BH29" s="553"/>
      <c r="BI29" s="553"/>
    </row>
    <row r="30" ht="15.75" customHeight="1">
      <c r="A30" s="532">
        <v>45129.0</v>
      </c>
      <c r="B30" s="533"/>
      <c r="C30" s="533"/>
      <c r="D30" s="533"/>
      <c r="E30" s="533"/>
      <c r="F30" s="533"/>
      <c r="G30" s="534"/>
      <c r="H30" s="330"/>
      <c r="I30" s="535"/>
      <c r="J30" s="536">
        <f t="shared" si="24"/>
        <v>0</v>
      </c>
      <c r="K30" s="537"/>
      <c r="L30" s="537"/>
      <c r="M30" s="537"/>
      <c r="N30" s="537"/>
      <c r="O30" s="538">
        <f t="shared" si="3"/>
        <v>0</v>
      </c>
      <c r="P30" s="537"/>
      <c r="Q30" s="537"/>
      <c r="R30" s="537"/>
      <c r="S30" s="537"/>
      <c r="T30" s="539">
        <f t="shared" si="4"/>
        <v>0</v>
      </c>
      <c r="U30" s="540"/>
      <c r="V30" s="540"/>
      <c r="W30" s="537"/>
      <c r="X30" s="537"/>
      <c r="Y30" s="538">
        <f t="shared" si="28"/>
        <v>0</v>
      </c>
      <c r="Z30" s="541">
        <f t="shared" si="6"/>
        <v>0</v>
      </c>
      <c r="AA30" s="542"/>
      <c r="AB30" s="542"/>
      <c r="AC30" s="542"/>
      <c r="AD30" s="542"/>
      <c r="AE30" s="543"/>
      <c r="AF30" s="286">
        <f t="shared" si="29"/>
        <v>0</v>
      </c>
      <c r="AG30" s="543"/>
      <c r="AH30" s="286">
        <f t="shared" si="30"/>
        <v>0</v>
      </c>
      <c r="AI30" s="543"/>
      <c r="AJ30" s="286">
        <f t="shared" si="31"/>
        <v>0</v>
      </c>
      <c r="AK30" s="544">
        <f t="shared" si="9"/>
        <v>0</v>
      </c>
      <c r="AL30" s="545">
        <f t="shared" si="10"/>
        <v>0</v>
      </c>
      <c r="AM30" s="186"/>
      <c r="AN30" s="186"/>
      <c r="AO30" s="549" t="str">
        <f t="shared" si="11"/>
        <v/>
      </c>
      <c r="AP30" s="548">
        <f t="shared" si="23"/>
        <v>0</v>
      </c>
      <c r="AQ30" s="186"/>
      <c r="AR30" s="186"/>
      <c r="AS30" s="549" t="str">
        <f t="shared" si="13"/>
        <v/>
      </c>
      <c r="AT30" s="186"/>
      <c r="AU30" s="186"/>
      <c r="AV30" s="549">
        <f t="shared" si="32"/>
        <v>0</v>
      </c>
      <c r="AW30" s="186"/>
      <c r="AX30" s="549">
        <f t="shared" si="33"/>
        <v>0</v>
      </c>
      <c r="AY30" s="186"/>
      <c r="AZ30" s="549">
        <f t="shared" si="34"/>
        <v>0</v>
      </c>
      <c r="BA30" s="186"/>
      <c r="BB30" s="549">
        <f t="shared" si="35"/>
        <v>0</v>
      </c>
      <c r="BC30" s="186"/>
      <c r="BD30" s="549">
        <f t="shared" si="36"/>
        <v>0</v>
      </c>
      <c r="BE30" s="550">
        <f t="shared" si="19"/>
        <v>0</v>
      </c>
      <c r="BF30" s="551">
        <f t="shared" si="20"/>
        <v>0</v>
      </c>
      <c r="BG30" s="552">
        <f t="shared" si="21"/>
        <v>0</v>
      </c>
      <c r="BH30" s="553"/>
      <c r="BI30" s="553"/>
    </row>
    <row r="31" ht="15.75" customHeight="1">
      <c r="A31" s="532">
        <v>45130.0</v>
      </c>
      <c r="B31" s="533"/>
      <c r="C31" s="533"/>
      <c r="D31" s="533"/>
      <c r="E31" s="533"/>
      <c r="F31" s="533"/>
      <c r="G31" s="534"/>
      <c r="H31" s="330"/>
      <c r="I31" s="535"/>
      <c r="J31" s="536">
        <f t="shared" si="24"/>
        <v>0</v>
      </c>
      <c r="K31" s="537"/>
      <c r="L31" s="537"/>
      <c r="M31" s="537"/>
      <c r="N31" s="537"/>
      <c r="O31" s="538">
        <f t="shared" si="3"/>
        <v>0</v>
      </c>
      <c r="P31" s="537"/>
      <c r="Q31" s="537"/>
      <c r="R31" s="537"/>
      <c r="S31" s="537"/>
      <c r="T31" s="539">
        <f t="shared" si="4"/>
        <v>0</v>
      </c>
      <c r="U31" s="540"/>
      <c r="V31" s="540"/>
      <c r="W31" s="537"/>
      <c r="X31" s="537"/>
      <c r="Y31" s="538">
        <f t="shared" si="28"/>
        <v>0</v>
      </c>
      <c r="Z31" s="541">
        <f t="shared" si="6"/>
        <v>0</v>
      </c>
      <c r="AA31" s="542"/>
      <c r="AB31" s="542"/>
      <c r="AC31" s="542"/>
      <c r="AD31" s="542"/>
      <c r="AE31" s="543"/>
      <c r="AF31" s="286">
        <f t="shared" si="29"/>
        <v>0</v>
      </c>
      <c r="AG31" s="543"/>
      <c r="AH31" s="286">
        <f t="shared" si="30"/>
        <v>0</v>
      </c>
      <c r="AI31" s="543"/>
      <c r="AJ31" s="286">
        <f t="shared" si="31"/>
        <v>0</v>
      </c>
      <c r="AK31" s="544">
        <f t="shared" si="9"/>
        <v>0</v>
      </c>
      <c r="AL31" s="545">
        <f t="shared" si="10"/>
        <v>0</v>
      </c>
      <c r="AM31" s="186"/>
      <c r="AN31" s="186"/>
      <c r="AO31" s="549" t="str">
        <f t="shared" si="11"/>
        <v/>
      </c>
      <c r="AP31" s="548">
        <f t="shared" si="23"/>
        <v>0</v>
      </c>
      <c r="AQ31" s="186"/>
      <c r="AR31" s="186"/>
      <c r="AS31" s="549" t="str">
        <f t="shared" si="13"/>
        <v/>
      </c>
      <c r="AT31" s="186"/>
      <c r="AU31" s="186"/>
      <c r="AV31" s="549">
        <f t="shared" si="32"/>
        <v>0</v>
      </c>
      <c r="AW31" s="186"/>
      <c r="AX31" s="549">
        <f t="shared" si="33"/>
        <v>0</v>
      </c>
      <c r="AY31" s="186"/>
      <c r="AZ31" s="549">
        <f t="shared" si="34"/>
        <v>0</v>
      </c>
      <c r="BA31" s="186"/>
      <c r="BB31" s="549">
        <f t="shared" si="35"/>
        <v>0</v>
      </c>
      <c r="BC31" s="186"/>
      <c r="BD31" s="549">
        <f t="shared" si="36"/>
        <v>0</v>
      </c>
      <c r="BE31" s="550">
        <f t="shared" si="19"/>
        <v>0</v>
      </c>
      <c r="BF31" s="551">
        <f t="shared" si="20"/>
        <v>0</v>
      </c>
      <c r="BG31" s="552">
        <f t="shared" si="21"/>
        <v>0</v>
      </c>
      <c r="BH31" s="553"/>
      <c r="BI31" s="553"/>
    </row>
    <row r="32" ht="15.75" customHeight="1">
      <c r="A32" s="532">
        <v>45131.0</v>
      </c>
      <c r="B32" s="533"/>
      <c r="C32" s="533"/>
      <c r="D32" s="533"/>
      <c r="E32" s="533"/>
      <c r="F32" s="533"/>
      <c r="G32" s="534"/>
      <c r="H32" s="330"/>
      <c r="I32" s="535"/>
      <c r="J32" s="536">
        <f t="shared" si="24"/>
        <v>0</v>
      </c>
      <c r="K32" s="537"/>
      <c r="L32" s="537"/>
      <c r="M32" s="537"/>
      <c r="N32" s="537"/>
      <c r="O32" s="538">
        <f t="shared" si="3"/>
        <v>0</v>
      </c>
      <c r="P32" s="537"/>
      <c r="Q32" s="537"/>
      <c r="R32" s="537"/>
      <c r="S32" s="537"/>
      <c r="T32" s="539">
        <f t="shared" si="4"/>
        <v>0</v>
      </c>
      <c r="U32" s="540"/>
      <c r="V32" s="540"/>
      <c r="W32" s="537"/>
      <c r="X32" s="537"/>
      <c r="Y32" s="538">
        <f t="shared" si="28"/>
        <v>0</v>
      </c>
      <c r="Z32" s="541">
        <f t="shared" si="6"/>
        <v>0</v>
      </c>
      <c r="AA32" s="542"/>
      <c r="AB32" s="542"/>
      <c r="AC32" s="542"/>
      <c r="AD32" s="542"/>
      <c r="AE32" s="543"/>
      <c r="AF32" s="286">
        <f t="shared" si="29"/>
        <v>0</v>
      </c>
      <c r="AG32" s="543"/>
      <c r="AH32" s="286">
        <f t="shared" si="30"/>
        <v>0</v>
      </c>
      <c r="AI32" s="543"/>
      <c r="AJ32" s="286">
        <f t="shared" si="31"/>
        <v>0</v>
      </c>
      <c r="AK32" s="544">
        <f t="shared" si="9"/>
        <v>0</v>
      </c>
      <c r="AL32" s="545">
        <f t="shared" si="10"/>
        <v>0</v>
      </c>
      <c r="AM32" s="186"/>
      <c r="AN32" s="186"/>
      <c r="AO32" s="549" t="str">
        <f t="shared" si="11"/>
        <v/>
      </c>
      <c r="AP32" s="548">
        <f t="shared" si="23"/>
        <v>0</v>
      </c>
      <c r="AQ32" s="186"/>
      <c r="AR32" s="186"/>
      <c r="AS32" s="549" t="str">
        <f t="shared" si="13"/>
        <v/>
      </c>
      <c r="AT32" s="186"/>
      <c r="AU32" s="186"/>
      <c r="AV32" s="549">
        <f t="shared" si="32"/>
        <v>0</v>
      </c>
      <c r="AW32" s="186"/>
      <c r="AX32" s="549">
        <f t="shared" si="33"/>
        <v>0</v>
      </c>
      <c r="AY32" s="186"/>
      <c r="AZ32" s="549">
        <f t="shared" si="34"/>
        <v>0</v>
      </c>
      <c r="BA32" s="186"/>
      <c r="BB32" s="549">
        <f t="shared" si="35"/>
        <v>0</v>
      </c>
      <c r="BC32" s="186"/>
      <c r="BD32" s="549">
        <f t="shared" si="36"/>
        <v>0</v>
      </c>
      <c r="BE32" s="550">
        <f t="shared" si="19"/>
        <v>0</v>
      </c>
      <c r="BF32" s="551">
        <f t="shared" si="20"/>
        <v>0</v>
      </c>
      <c r="BG32" s="552">
        <f t="shared" si="21"/>
        <v>0</v>
      </c>
      <c r="BH32" s="553"/>
      <c r="BI32" s="553"/>
    </row>
    <row r="33" ht="15.75" customHeight="1">
      <c r="A33" s="532">
        <v>45132.0</v>
      </c>
      <c r="B33" s="533"/>
      <c r="C33" s="533"/>
      <c r="D33" s="533"/>
      <c r="E33" s="533"/>
      <c r="F33" s="533"/>
      <c r="G33" s="534"/>
      <c r="H33" s="330"/>
      <c r="I33" s="535"/>
      <c r="J33" s="536">
        <f t="shared" si="24"/>
        <v>0</v>
      </c>
      <c r="K33" s="537"/>
      <c r="L33" s="537"/>
      <c r="M33" s="537"/>
      <c r="N33" s="537"/>
      <c r="O33" s="538">
        <f t="shared" si="3"/>
        <v>0</v>
      </c>
      <c r="P33" s="537"/>
      <c r="Q33" s="537"/>
      <c r="R33" s="537"/>
      <c r="S33" s="537"/>
      <c r="T33" s="539">
        <f t="shared" si="4"/>
        <v>0</v>
      </c>
      <c r="U33" s="540"/>
      <c r="V33" s="540"/>
      <c r="W33" s="537"/>
      <c r="X33" s="537"/>
      <c r="Y33" s="538">
        <f t="shared" si="28"/>
        <v>0</v>
      </c>
      <c r="Z33" s="541">
        <f t="shared" si="6"/>
        <v>0</v>
      </c>
      <c r="AA33" s="542"/>
      <c r="AB33" s="542"/>
      <c r="AC33" s="542"/>
      <c r="AD33" s="542"/>
      <c r="AE33" s="543"/>
      <c r="AF33" s="286">
        <f t="shared" si="29"/>
        <v>0</v>
      </c>
      <c r="AG33" s="543"/>
      <c r="AH33" s="286">
        <f t="shared" si="30"/>
        <v>0</v>
      </c>
      <c r="AI33" s="543"/>
      <c r="AJ33" s="286">
        <f t="shared" si="31"/>
        <v>0</v>
      </c>
      <c r="AK33" s="544">
        <f t="shared" si="9"/>
        <v>0</v>
      </c>
      <c r="AL33" s="545">
        <f t="shared" si="10"/>
        <v>0</v>
      </c>
      <c r="AM33" s="186"/>
      <c r="AN33" s="186"/>
      <c r="AO33" s="549" t="str">
        <f t="shared" si="11"/>
        <v/>
      </c>
      <c r="AP33" s="548">
        <f t="shared" si="23"/>
        <v>0</v>
      </c>
      <c r="AQ33" s="186"/>
      <c r="AR33" s="186"/>
      <c r="AS33" s="549" t="str">
        <f t="shared" si="13"/>
        <v/>
      </c>
      <c r="AT33" s="186"/>
      <c r="AU33" s="186"/>
      <c r="AV33" s="549">
        <f t="shared" si="32"/>
        <v>0</v>
      </c>
      <c r="AW33" s="186"/>
      <c r="AX33" s="549">
        <f t="shared" si="33"/>
        <v>0</v>
      </c>
      <c r="AY33" s="186"/>
      <c r="AZ33" s="549">
        <f t="shared" si="34"/>
        <v>0</v>
      </c>
      <c r="BA33" s="186"/>
      <c r="BB33" s="549">
        <f t="shared" si="35"/>
        <v>0</v>
      </c>
      <c r="BC33" s="186"/>
      <c r="BD33" s="549">
        <f t="shared" si="36"/>
        <v>0</v>
      </c>
      <c r="BE33" s="550">
        <f t="shared" si="19"/>
        <v>0</v>
      </c>
      <c r="BF33" s="551">
        <f t="shared" si="20"/>
        <v>0</v>
      </c>
      <c r="BG33" s="552">
        <f t="shared" si="21"/>
        <v>0</v>
      </c>
      <c r="BH33" s="553"/>
      <c r="BI33" s="553"/>
    </row>
    <row r="34" ht="15.75" customHeight="1">
      <c r="A34" s="532">
        <v>45133.0</v>
      </c>
      <c r="B34" s="533"/>
      <c r="C34" s="533"/>
      <c r="D34" s="533"/>
      <c r="E34" s="533"/>
      <c r="F34" s="533"/>
      <c r="G34" s="534"/>
      <c r="H34" s="330"/>
      <c r="I34" s="535"/>
      <c r="J34" s="536">
        <f t="shared" si="24"/>
        <v>0</v>
      </c>
      <c r="K34" s="537"/>
      <c r="L34" s="537"/>
      <c r="M34" s="537"/>
      <c r="N34" s="537"/>
      <c r="O34" s="538">
        <f t="shared" si="3"/>
        <v>0</v>
      </c>
      <c r="P34" s="537"/>
      <c r="Q34" s="537"/>
      <c r="R34" s="537"/>
      <c r="S34" s="537"/>
      <c r="T34" s="539">
        <f t="shared" si="4"/>
        <v>0</v>
      </c>
      <c r="U34" s="540"/>
      <c r="V34" s="540"/>
      <c r="W34" s="537"/>
      <c r="X34" s="537"/>
      <c r="Y34" s="538">
        <f t="shared" si="28"/>
        <v>0</v>
      </c>
      <c r="Z34" s="541">
        <f t="shared" si="6"/>
        <v>0</v>
      </c>
      <c r="AA34" s="542"/>
      <c r="AB34" s="542"/>
      <c r="AC34" s="542"/>
      <c r="AD34" s="542"/>
      <c r="AE34" s="543"/>
      <c r="AF34" s="286">
        <f t="shared" si="29"/>
        <v>0</v>
      </c>
      <c r="AG34" s="543"/>
      <c r="AH34" s="286">
        <f t="shared" si="30"/>
        <v>0</v>
      </c>
      <c r="AI34" s="543"/>
      <c r="AJ34" s="286">
        <f t="shared" si="31"/>
        <v>0</v>
      </c>
      <c r="AK34" s="544">
        <f t="shared" si="9"/>
        <v>0</v>
      </c>
      <c r="AL34" s="556">
        <f t="shared" si="10"/>
        <v>0</v>
      </c>
      <c r="AM34" s="186"/>
      <c r="AN34" s="186"/>
      <c r="AO34" s="549" t="str">
        <f t="shared" si="11"/>
        <v/>
      </c>
      <c r="AP34" s="548">
        <f t="shared" si="23"/>
        <v>0</v>
      </c>
      <c r="AQ34" s="186"/>
      <c r="AR34" s="186"/>
      <c r="AS34" s="549" t="str">
        <f t="shared" si="13"/>
        <v/>
      </c>
      <c r="AT34" s="186"/>
      <c r="AU34" s="186"/>
      <c r="AV34" s="549">
        <f t="shared" si="32"/>
        <v>0</v>
      </c>
      <c r="AW34" s="186"/>
      <c r="AX34" s="549">
        <f t="shared" si="33"/>
        <v>0</v>
      </c>
      <c r="AY34" s="186"/>
      <c r="AZ34" s="549">
        <f t="shared" si="34"/>
        <v>0</v>
      </c>
      <c r="BA34" s="186"/>
      <c r="BB34" s="549">
        <f t="shared" si="35"/>
        <v>0</v>
      </c>
      <c r="BC34" s="186"/>
      <c r="BD34" s="549">
        <f t="shared" si="36"/>
        <v>0</v>
      </c>
      <c r="BE34" s="550">
        <f t="shared" si="19"/>
        <v>0</v>
      </c>
      <c r="BF34" s="551">
        <f t="shared" si="20"/>
        <v>0</v>
      </c>
      <c r="BG34" s="557">
        <f t="shared" si="21"/>
        <v>0</v>
      </c>
      <c r="BH34" s="558"/>
      <c r="BI34" s="558"/>
    </row>
    <row r="35" ht="15.75" customHeight="1">
      <c r="A35" s="532">
        <v>45134.0</v>
      </c>
      <c r="B35" s="533"/>
      <c r="C35" s="533"/>
      <c r="D35" s="533"/>
      <c r="E35" s="533"/>
      <c r="F35" s="533"/>
      <c r="G35" s="534"/>
      <c r="H35" s="330"/>
      <c r="I35" s="535"/>
      <c r="J35" s="536">
        <f t="shared" si="24"/>
        <v>0</v>
      </c>
      <c r="K35" s="537"/>
      <c r="L35" s="537"/>
      <c r="M35" s="537"/>
      <c r="N35" s="537"/>
      <c r="O35" s="538">
        <f t="shared" si="3"/>
        <v>0</v>
      </c>
      <c r="P35" s="537"/>
      <c r="Q35" s="537"/>
      <c r="R35" s="537"/>
      <c r="S35" s="537"/>
      <c r="T35" s="539">
        <f t="shared" si="4"/>
        <v>0</v>
      </c>
      <c r="U35" s="540"/>
      <c r="V35" s="540"/>
      <c r="W35" s="537"/>
      <c r="X35" s="537"/>
      <c r="Y35" s="538">
        <f t="shared" si="28"/>
        <v>0</v>
      </c>
      <c r="Z35" s="541">
        <f t="shared" si="6"/>
        <v>0</v>
      </c>
      <c r="AA35" s="542"/>
      <c r="AB35" s="542"/>
      <c r="AC35" s="542"/>
      <c r="AD35" s="542"/>
      <c r="AE35" s="543"/>
      <c r="AF35" s="286">
        <f t="shared" si="29"/>
        <v>0</v>
      </c>
      <c r="AG35" s="543"/>
      <c r="AH35" s="286">
        <f t="shared" si="30"/>
        <v>0</v>
      </c>
      <c r="AI35" s="543"/>
      <c r="AJ35" s="286">
        <f t="shared" si="31"/>
        <v>0</v>
      </c>
      <c r="AK35" s="544">
        <f t="shared" si="9"/>
        <v>0</v>
      </c>
      <c r="AL35" s="545">
        <f t="shared" si="10"/>
        <v>0</v>
      </c>
      <c r="AM35" s="186"/>
      <c r="AN35" s="186"/>
      <c r="AO35" s="549" t="str">
        <f t="shared" si="11"/>
        <v/>
      </c>
      <c r="AP35" s="548">
        <f t="shared" si="23"/>
        <v>0</v>
      </c>
      <c r="AQ35" s="186"/>
      <c r="AR35" s="186"/>
      <c r="AS35" s="549" t="str">
        <f t="shared" si="13"/>
        <v/>
      </c>
      <c r="AT35" s="186"/>
      <c r="AU35" s="186"/>
      <c r="AV35" s="549">
        <f t="shared" si="32"/>
        <v>0</v>
      </c>
      <c r="AW35" s="186"/>
      <c r="AX35" s="549">
        <f t="shared" si="33"/>
        <v>0</v>
      </c>
      <c r="AY35" s="186"/>
      <c r="AZ35" s="549">
        <f t="shared" si="34"/>
        <v>0</v>
      </c>
      <c r="BA35" s="186"/>
      <c r="BB35" s="549">
        <f t="shared" si="35"/>
        <v>0</v>
      </c>
      <c r="BC35" s="186"/>
      <c r="BD35" s="549">
        <f t="shared" si="36"/>
        <v>0</v>
      </c>
      <c r="BE35" s="550">
        <f t="shared" si="19"/>
        <v>0</v>
      </c>
      <c r="BF35" s="551">
        <f t="shared" si="20"/>
        <v>0</v>
      </c>
      <c r="BG35" s="552">
        <f t="shared" si="21"/>
        <v>0</v>
      </c>
      <c r="BH35" s="553"/>
      <c r="BI35" s="553"/>
    </row>
    <row r="36" ht="15.75" customHeight="1">
      <c r="A36" s="532">
        <v>45135.0</v>
      </c>
      <c r="B36" s="533"/>
      <c r="C36" s="533"/>
      <c r="D36" s="533"/>
      <c r="E36" s="533"/>
      <c r="F36" s="533"/>
      <c r="G36" s="534"/>
      <c r="H36" s="330"/>
      <c r="I36" s="535"/>
      <c r="J36" s="536">
        <f t="shared" si="24"/>
        <v>0</v>
      </c>
      <c r="K36" s="537"/>
      <c r="L36" s="537"/>
      <c r="M36" s="537"/>
      <c r="N36" s="537"/>
      <c r="O36" s="538">
        <f t="shared" si="3"/>
        <v>0</v>
      </c>
      <c r="P36" s="537"/>
      <c r="Q36" s="537"/>
      <c r="R36" s="537"/>
      <c r="S36" s="537"/>
      <c r="T36" s="539">
        <f t="shared" si="4"/>
        <v>0</v>
      </c>
      <c r="U36" s="540"/>
      <c r="V36" s="540"/>
      <c r="W36" s="537"/>
      <c r="X36" s="537"/>
      <c r="Y36" s="538">
        <f t="shared" si="28"/>
        <v>0</v>
      </c>
      <c r="Z36" s="541">
        <f t="shared" si="6"/>
        <v>0</v>
      </c>
      <c r="AA36" s="542"/>
      <c r="AB36" s="542"/>
      <c r="AC36" s="542"/>
      <c r="AD36" s="542"/>
      <c r="AE36" s="543"/>
      <c r="AF36" s="286">
        <f t="shared" si="29"/>
        <v>0</v>
      </c>
      <c r="AG36" s="543"/>
      <c r="AH36" s="286">
        <f t="shared" si="30"/>
        <v>0</v>
      </c>
      <c r="AI36" s="543"/>
      <c r="AJ36" s="286">
        <f t="shared" si="31"/>
        <v>0</v>
      </c>
      <c r="AK36" s="544">
        <f t="shared" si="9"/>
        <v>0</v>
      </c>
      <c r="AL36" s="545">
        <f t="shared" si="10"/>
        <v>0</v>
      </c>
      <c r="AM36" s="186"/>
      <c r="AN36" s="186"/>
      <c r="AO36" s="549" t="str">
        <f t="shared" si="11"/>
        <v/>
      </c>
      <c r="AP36" s="548">
        <f t="shared" si="23"/>
        <v>0</v>
      </c>
      <c r="AQ36" s="186"/>
      <c r="AR36" s="186"/>
      <c r="AS36" s="549" t="str">
        <f t="shared" si="13"/>
        <v/>
      </c>
      <c r="AT36" s="186"/>
      <c r="AU36" s="186"/>
      <c r="AV36" s="549">
        <f t="shared" si="32"/>
        <v>0</v>
      </c>
      <c r="AW36" s="186"/>
      <c r="AX36" s="549">
        <f t="shared" si="33"/>
        <v>0</v>
      </c>
      <c r="AY36" s="186"/>
      <c r="AZ36" s="549">
        <f t="shared" si="34"/>
        <v>0</v>
      </c>
      <c r="BA36" s="186"/>
      <c r="BB36" s="549">
        <f t="shared" si="35"/>
        <v>0</v>
      </c>
      <c r="BC36" s="186"/>
      <c r="BD36" s="549">
        <f t="shared" si="36"/>
        <v>0</v>
      </c>
      <c r="BE36" s="550">
        <f t="shared" si="19"/>
        <v>0</v>
      </c>
      <c r="BF36" s="551">
        <f t="shared" si="20"/>
        <v>0</v>
      </c>
      <c r="BG36" s="552">
        <f t="shared" si="21"/>
        <v>0</v>
      </c>
      <c r="BH36" s="553"/>
      <c r="BI36" s="553"/>
    </row>
    <row r="37" ht="15.75" customHeight="1">
      <c r="A37" s="532">
        <v>45136.0</v>
      </c>
      <c r="B37" s="533"/>
      <c r="C37" s="533"/>
      <c r="D37" s="533"/>
      <c r="E37" s="533"/>
      <c r="F37" s="533"/>
      <c r="G37" s="534"/>
      <c r="H37" s="330"/>
      <c r="I37" s="535"/>
      <c r="J37" s="536">
        <f t="shared" si="24"/>
        <v>0</v>
      </c>
      <c r="K37" s="537"/>
      <c r="L37" s="537"/>
      <c r="M37" s="537"/>
      <c r="N37" s="537"/>
      <c r="O37" s="538">
        <f t="shared" si="3"/>
        <v>0</v>
      </c>
      <c r="P37" s="537"/>
      <c r="Q37" s="537"/>
      <c r="R37" s="537"/>
      <c r="S37" s="537"/>
      <c r="T37" s="539">
        <f t="shared" si="4"/>
        <v>0</v>
      </c>
      <c r="U37" s="540"/>
      <c r="V37" s="540"/>
      <c r="W37" s="537"/>
      <c r="X37" s="537"/>
      <c r="Y37" s="538">
        <f t="shared" si="28"/>
        <v>0</v>
      </c>
      <c r="Z37" s="541">
        <f t="shared" si="6"/>
        <v>0</v>
      </c>
      <c r="AA37" s="559"/>
      <c r="AB37" s="559"/>
      <c r="AC37" s="559"/>
      <c r="AD37" s="559"/>
      <c r="AE37" s="543"/>
      <c r="AF37" s="286">
        <f t="shared" si="29"/>
        <v>0</v>
      </c>
      <c r="AG37" s="543"/>
      <c r="AH37" s="286">
        <f t="shared" si="30"/>
        <v>0</v>
      </c>
      <c r="AI37" s="543"/>
      <c r="AJ37" s="286">
        <f t="shared" si="31"/>
        <v>0</v>
      </c>
      <c r="AK37" s="544">
        <f t="shared" si="9"/>
        <v>0</v>
      </c>
      <c r="AL37" s="545">
        <f t="shared" si="10"/>
        <v>0</v>
      </c>
      <c r="AM37" s="186"/>
      <c r="AN37" s="186"/>
      <c r="AO37" s="549" t="str">
        <f t="shared" si="11"/>
        <v/>
      </c>
      <c r="AP37" s="548">
        <f t="shared" si="23"/>
        <v>0</v>
      </c>
      <c r="AQ37" s="186"/>
      <c r="AR37" s="186"/>
      <c r="AS37" s="549" t="str">
        <f t="shared" si="13"/>
        <v/>
      </c>
      <c r="AT37" s="186"/>
      <c r="AU37" s="186"/>
      <c r="AV37" s="549">
        <f t="shared" ref="AV37:AV40" si="37">AU37*AV$5</f>
        <v>0</v>
      </c>
      <c r="AW37" s="186"/>
      <c r="AX37" s="549">
        <f t="shared" ref="AX37:AX40" si="38">AW37*AX$5</f>
        <v>0</v>
      </c>
      <c r="AY37" s="186"/>
      <c r="AZ37" s="549">
        <f t="shared" ref="AZ37:AZ40" si="39">AY37*AZ$5</f>
        <v>0</v>
      </c>
      <c r="BA37" s="186"/>
      <c r="BB37" s="549">
        <f t="shared" ref="BB37:BB40" si="40">BA37*BB$5</f>
        <v>0</v>
      </c>
      <c r="BC37" s="186"/>
      <c r="BD37" s="549">
        <f t="shared" ref="BD37:BD40" si="41">BC37*BD$5</f>
        <v>0</v>
      </c>
      <c r="BE37" s="550">
        <f t="shared" si="19"/>
        <v>0</v>
      </c>
      <c r="BF37" s="551">
        <f t="shared" si="20"/>
        <v>0</v>
      </c>
      <c r="BG37" s="552">
        <f t="shared" si="21"/>
        <v>0</v>
      </c>
      <c r="BH37" s="553"/>
      <c r="BI37" s="553"/>
    </row>
    <row r="38" ht="15.75" customHeight="1">
      <c r="A38" s="532">
        <v>45137.0</v>
      </c>
      <c r="B38" s="533"/>
      <c r="C38" s="533"/>
      <c r="D38" s="533"/>
      <c r="E38" s="533"/>
      <c r="F38" s="533"/>
      <c r="G38" s="534"/>
      <c r="H38" s="330"/>
      <c r="I38" s="535"/>
      <c r="J38" s="536">
        <f t="shared" si="24"/>
        <v>0</v>
      </c>
      <c r="K38" s="537"/>
      <c r="L38" s="537"/>
      <c r="M38" s="537"/>
      <c r="N38" s="537"/>
      <c r="O38" s="538">
        <f t="shared" si="3"/>
        <v>0</v>
      </c>
      <c r="P38" s="537"/>
      <c r="Q38" s="537"/>
      <c r="R38" s="537"/>
      <c r="S38" s="537"/>
      <c r="T38" s="539">
        <f t="shared" si="4"/>
        <v>0</v>
      </c>
      <c r="U38" s="540"/>
      <c r="V38" s="540"/>
      <c r="W38" s="537"/>
      <c r="X38" s="537"/>
      <c r="Y38" s="538">
        <f t="shared" si="28"/>
        <v>0</v>
      </c>
      <c r="Z38" s="541">
        <f t="shared" si="6"/>
        <v>0</v>
      </c>
      <c r="AA38" s="560"/>
      <c r="AB38" s="560"/>
      <c r="AC38" s="560"/>
      <c r="AD38" s="560"/>
      <c r="AE38" s="543"/>
      <c r="AF38" s="286">
        <f t="shared" si="29"/>
        <v>0</v>
      </c>
      <c r="AG38" s="543"/>
      <c r="AH38" s="286">
        <f t="shared" si="30"/>
        <v>0</v>
      </c>
      <c r="AI38" s="543"/>
      <c r="AJ38" s="286">
        <f t="shared" si="31"/>
        <v>0</v>
      </c>
      <c r="AK38" s="544">
        <f t="shared" si="9"/>
        <v>0</v>
      </c>
      <c r="AL38" s="545">
        <f t="shared" si="10"/>
        <v>0</v>
      </c>
      <c r="AM38" s="186"/>
      <c r="AN38" s="186"/>
      <c r="AO38" s="549" t="str">
        <f t="shared" si="11"/>
        <v/>
      </c>
      <c r="AP38" s="548">
        <f t="shared" si="23"/>
        <v>0</v>
      </c>
      <c r="AQ38" s="186"/>
      <c r="AR38" s="186"/>
      <c r="AS38" s="549" t="str">
        <f t="shared" si="13"/>
        <v/>
      </c>
      <c r="AT38" s="186"/>
      <c r="AU38" s="186"/>
      <c r="AV38" s="549">
        <f t="shared" si="37"/>
        <v>0</v>
      </c>
      <c r="AW38" s="186"/>
      <c r="AX38" s="549">
        <f t="shared" si="38"/>
        <v>0</v>
      </c>
      <c r="AY38" s="186"/>
      <c r="AZ38" s="549">
        <f t="shared" si="39"/>
        <v>0</v>
      </c>
      <c r="BA38" s="186"/>
      <c r="BB38" s="549">
        <f t="shared" si="40"/>
        <v>0</v>
      </c>
      <c r="BC38" s="186"/>
      <c r="BD38" s="549">
        <f t="shared" si="41"/>
        <v>0</v>
      </c>
      <c r="BE38" s="550">
        <f t="shared" si="19"/>
        <v>0</v>
      </c>
      <c r="BF38" s="551">
        <f t="shared" si="20"/>
        <v>0</v>
      </c>
      <c r="BG38" s="552">
        <f t="shared" si="21"/>
        <v>0</v>
      </c>
      <c r="BH38" s="553"/>
      <c r="BI38" s="553"/>
    </row>
    <row r="39" ht="15.75" customHeight="1">
      <c r="A39" s="532">
        <v>45138.0</v>
      </c>
      <c r="B39" s="533"/>
      <c r="C39" s="533"/>
      <c r="D39" s="533"/>
      <c r="E39" s="533"/>
      <c r="F39" s="533"/>
      <c r="G39" s="534"/>
      <c r="H39" s="330"/>
      <c r="I39" s="535"/>
      <c r="J39" s="536">
        <f t="shared" si="24"/>
        <v>0</v>
      </c>
      <c r="K39" s="537"/>
      <c r="L39" s="537"/>
      <c r="M39" s="537"/>
      <c r="N39" s="537"/>
      <c r="O39" s="538">
        <f t="shared" si="3"/>
        <v>0</v>
      </c>
      <c r="P39" s="537"/>
      <c r="Q39" s="537"/>
      <c r="R39" s="537"/>
      <c r="S39" s="537"/>
      <c r="T39" s="539">
        <f t="shared" si="4"/>
        <v>0</v>
      </c>
      <c r="U39" s="540"/>
      <c r="V39" s="540"/>
      <c r="W39" s="537"/>
      <c r="X39" s="537"/>
      <c r="Y39" s="538">
        <f t="shared" si="28"/>
        <v>0</v>
      </c>
      <c r="Z39" s="541">
        <f t="shared" si="6"/>
        <v>0</v>
      </c>
      <c r="AA39" s="560"/>
      <c r="AB39" s="560"/>
      <c r="AC39" s="560"/>
      <c r="AD39" s="560"/>
      <c r="AE39" s="543"/>
      <c r="AF39" s="286"/>
      <c r="AG39" s="543"/>
      <c r="AH39" s="286"/>
      <c r="AI39" s="543"/>
      <c r="AJ39" s="286"/>
      <c r="AK39" s="561"/>
      <c r="AL39" s="545"/>
      <c r="AM39" s="186"/>
      <c r="AN39" s="186"/>
      <c r="AO39" s="549" t="str">
        <f t="shared" si="11"/>
        <v/>
      </c>
      <c r="AP39" s="548">
        <f t="shared" si="23"/>
        <v>0</v>
      </c>
      <c r="AQ39" s="186"/>
      <c r="AR39" s="186"/>
      <c r="AS39" s="549" t="str">
        <f t="shared" si="13"/>
        <v/>
      </c>
      <c r="AT39" s="186"/>
      <c r="AU39" s="186"/>
      <c r="AV39" s="549">
        <f t="shared" si="37"/>
        <v>0</v>
      </c>
      <c r="AW39" s="186"/>
      <c r="AX39" s="549">
        <f t="shared" si="38"/>
        <v>0</v>
      </c>
      <c r="AY39" s="186"/>
      <c r="AZ39" s="549">
        <f t="shared" si="39"/>
        <v>0</v>
      </c>
      <c r="BA39" s="186"/>
      <c r="BB39" s="549">
        <f t="shared" si="40"/>
        <v>0</v>
      </c>
      <c r="BC39" s="186"/>
      <c r="BD39" s="549">
        <f t="shared" si="41"/>
        <v>0</v>
      </c>
      <c r="BE39" s="550">
        <f t="shared" si="19"/>
        <v>0</v>
      </c>
      <c r="BF39" s="551">
        <f t="shared" si="20"/>
        <v>0</v>
      </c>
      <c r="BG39" s="552">
        <f t="shared" si="21"/>
        <v>0</v>
      </c>
      <c r="BH39" s="553"/>
      <c r="BI39" s="553"/>
    </row>
    <row r="40" ht="15.75" customHeight="1">
      <c r="A40" s="532"/>
      <c r="B40" s="533"/>
      <c r="C40" s="533"/>
      <c r="D40" s="533"/>
      <c r="E40" s="533"/>
      <c r="F40" s="533"/>
      <c r="G40" s="534"/>
      <c r="H40" s="330"/>
      <c r="I40" s="535"/>
      <c r="J40" s="536">
        <f t="shared" si="24"/>
        <v>0</v>
      </c>
      <c r="K40" s="537"/>
      <c r="L40" s="537"/>
      <c r="M40" s="537"/>
      <c r="N40" s="537"/>
      <c r="O40" s="538">
        <f t="shared" si="3"/>
        <v>0</v>
      </c>
      <c r="P40" s="537"/>
      <c r="Q40" s="537"/>
      <c r="R40" s="537"/>
      <c r="S40" s="537"/>
      <c r="T40" s="539">
        <f t="shared" si="4"/>
        <v>0</v>
      </c>
      <c r="U40" s="540"/>
      <c r="V40" s="540"/>
      <c r="W40" s="537"/>
      <c r="X40" s="537"/>
      <c r="Y40" s="538">
        <f t="shared" si="28"/>
        <v>0</v>
      </c>
      <c r="Z40" s="541">
        <f t="shared" si="6"/>
        <v>0</v>
      </c>
      <c r="AA40" s="560"/>
      <c r="AB40" s="560"/>
      <c r="AC40" s="560"/>
      <c r="AD40" s="560"/>
      <c r="AE40" s="543"/>
      <c r="AF40" s="286"/>
      <c r="AG40" s="543"/>
      <c r="AH40" s="286"/>
      <c r="AI40" s="543"/>
      <c r="AJ40" s="286"/>
      <c r="AK40" s="561"/>
      <c r="AL40" s="545"/>
      <c r="AM40" s="186"/>
      <c r="AN40" s="186"/>
      <c r="AO40" s="549" t="str">
        <f t="shared" si="11"/>
        <v/>
      </c>
      <c r="AP40" s="548">
        <f t="shared" si="23"/>
        <v>0</v>
      </c>
      <c r="AQ40" s="186"/>
      <c r="AR40" s="186"/>
      <c r="AS40" s="549" t="str">
        <f t="shared" si="13"/>
        <v/>
      </c>
      <c r="AT40" s="186"/>
      <c r="AU40" s="186"/>
      <c r="AV40" s="549">
        <f t="shared" si="37"/>
        <v>0</v>
      </c>
      <c r="AW40" s="186"/>
      <c r="AX40" s="549">
        <f t="shared" si="38"/>
        <v>0</v>
      </c>
      <c r="AY40" s="186"/>
      <c r="AZ40" s="549">
        <f t="shared" si="39"/>
        <v>0</v>
      </c>
      <c r="BA40" s="186"/>
      <c r="BB40" s="549">
        <f t="shared" si="40"/>
        <v>0</v>
      </c>
      <c r="BC40" s="186"/>
      <c r="BD40" s="549">
        <f t="shared" si="41"/>
        <v>0</v>
      </c>
      <c r="BE40" s="550">
        <f t="shared" si="19"/>
        <v>0</v>
      </c>
      <c r="BF40" s="551">
        <f t="shared" si="20"/>
        <v>0</v>
      </c>
      <c r="BG40" s="552">
        <f t="shared" si="21"/>
        <v>0</v>
      </c>
      <c r="BH40" s="553"/>
      <c r="BI40" s="553"/>
    </row>
    <row r="41" ht="20.25" customHeight="1">
      <c r="A41" s="242" t="s">
        <v>54</v>
      </c>
      <c r="B41" s="562"/>
      <c r="C41" s="563">
        <f>SUM(C9:C40)</f>
        <v>0</v>
      </c>
      <c r="D41" s="564"/>
      <c r="E41" s="564"/>
      <c r="F41" s="563">
        <f t="shared" ref="F41:J41" si="42">SUM(F9:F40)</f>
        <v>0</v>
      </c>
      <c r="G41" s="565">
        <f t="shared" si="42"/>
        <v>0</v>
      </c>
      <c r="H41" s="562">
        <f t="shared" si="42"/>
        <v>0</v>
      </c>
      <c r="I41" s="562">
        <f t="shared" si="42"/>
        <v>0</v>
      </c>
      <c r="J41" s="562">
        <f t="shared" si="42"/>
        <v>0</v>
      </c>
      <c r="K41" s="566"/>
      <c r="L41" s="566"/>
      <c r="M41" s="566">
        <f t="shared" ref="M41:O41" si="43">SUM(M9:M40)</f>
        <v>0</v>
      </c>
      <c r="N41" s="566">
        <f t="shared" si="43"/>
        <v>0</v>
      </c>
      <c r="O41" s="566">
        <f t="shared" si="43"/>
        <v>0</v>
      </c>
      <c r="P41" s="249"/>
      <c r="Q41" s="249"/>
      <c r="R41" s="249">
        <f t="shared" ref="R41:T41" si="44">SUM(R9:R40)</f>
        <v>0</v>
      </c>
      <c r="S41" s="249">
        <f t="shared" si="44"/>
        <v>0</v>
      </c>
      <c r="T41" s="249">
        <f t="shared" si="44"/>
        <v>0</v>
      </c>
      <c r="U41" s="567"/>
      <c r="V41" s="567"/>
      <c r="W41" s="247">
        <f t="shared" ref="W41:AC41" si="45">SUM(W9:W40)</f>
        <v>0</v>
      </c>
      <c r="X41" s="247">
        <f t="shared" si="45"/>
        <v>0</v>
      </c>
      <c r="Y41" s="247">
        <f t="shared" si="45"/>
        <v>0</v>
      </c>
      <c r="Z41" s="250">
        <f t="shared" si="45"/>
        <v>0</v>
      </c>
      <c r="AA41" s="568">
        <f t="shared" si="45"/>
        <v>0</v>
      </c>
      <c r="AB41" s="568">
        <f t="shared" si="45"/>
        <v>0</v>
      </c>
      <c r="AC41" s="568">
        <f t="shared" si="45"/>
        <v>0</v>
      </c>
      <c r="AD41" s="568">
        <f t="shared" ref="AD41:AF41" si="46">SUM(AD9:AD38)</f>
        <v>0</v>
      </c>
      <c r="AE41" s="568">
        <f t="shared" si="46"/>
        <v>0</v>
      </c>
      <c r="AF41" s="568">
        <f t="shared" si="46"/>
        <v>0</v>
      </c>
      <c r="AG41" s="568">
        <f>SUM(AG9:AG40)</f>
        <v>0</v>
      </c>
      <c r="AH41" s="568">
        <f t="shared" ref="AH41:AK41" si="47">SUM(AH9:AH38)</f>
        <v>0</v>
      </c>
      <c r="AI41" s="568">
        <f t="shared" si="47"/>
        <v>0</v>
      </c>
      <c r="AJ41" s="568">
        <f t="shared" si="47"/>
        <v>0</v>
      </c>
      <c r="AK41" s="569">
        <f t="shared" si="47"/>
        <v>0</v>
      </c>
      <c r="AL41" s="254">
        <f t="shared" ref="AL41:BG41" si="48">SUM(AL9:AL40)</f>
        <v>0</v>
      </c>
      <c r="AM41" s="254">
        <f t="shared" si="48"/>
        <v>0</v>
      </c>
      <c r="AN41" s="254">
        <f t="shared" si="48"/>
        <v>0</v>
      </c>
      <c r="AO41" s="254">
        <f t="shared" si="48"/>
        <v>0</v>
      </c>
      <c r="AP41" s="254">
        <f t="shared" si="48"/>
        <v>0</v>
      </c>
      <c r="AQ41" s="254">
        <f t="shared" si="48"/>
        <v>0</v>
      </c>
      <c r="AR41" s="254">
        <f t="shared" si="48"/>
        <v>0</v>
      </c>
      <c r="AS41" s="254">
        <f t="shared" si="48"/>
        <v>0</v>
      </c>
      <c r="AT41" s="254">
        <f t="shared" si="48"/>
        <v>0</v>
      </c>
      <c r="AU41" s="254">
        <f t="shared" si="48"/>
        <v>0</v>
      </c>
      <c r="AV41" s="254">
        <f t="shared" si="48"/>
        <v>0</v>
      </c>
      <c r="AW41" s="254">
        <f t="shared" si="48"/>
        <v>0</v>
      </c>
      <c r="AX41" s="254">
        <f t="shared" si="48"/>
        <v>0</v>
      </c>
      <c r="AY41" s="254">
        <f t="shared" si="48"/>
        <v>0</v>
      </c>
      <c r="AZ41" s="254">
        <f t="shared" si="48"/>
        <v>0</v>
      </c>
      <c r="BA41" s="254">
        <f t="shared" si="48"/>
        <v>0</v>
      </c>
      <c r="BB41" s="254">
        <f t="shared" si="48"/>
        <v>0</v>
      </c>
      <c r="BC41" s="254">
        <f t="shared" si="48"/>
        <v>0</v>
      </c>
      <c r="BD41" s="254">
        <f t="shared" si="48"/>
        <v>0</v>
      </c>
      <c r="BE41" s="254">
        <f t="shared" si="48"/>
        <v>0</v>
      </c>
      <c r="BF41" s="254">
        <f t="shared" si="48"/>
        <v>0</v>
      </c>
      <c r="BG41" s="254">
        <f t="shared" si="48"/>
        <v>0</v>
      </c>
    </row>
    <row r="42" ht="14.25" customHeight="1">
      <c r="A42" s="210"/>
      <c r="B42" s="211"/>
      <c r="C42" s="212"/>
      <c r="D42" s="212"/>
      <c r="E42" s="212"/>
      <c r="F42" s="212"/>
      <c r="G42" s="212"/>
      <c r="H42" s="213"/>
      <c r="I42" s="213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7"/>
      <c r="V42" s="217"/>
      <c r="W42" s="214"/>
      <c r="X42" s="214"/>
      <c r="Y42" s="214"/>
      <c r="Z42" s="214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65"/>
      <c r="AL42" s="218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4"/>
      <c r="BG42" s="218"/>
      <c r="BH42" s="218"/>
      <c r="BI42" s="218"/>
    </row>
    <row r="43" ht="15.0" customHeight="1">
      <c r="A43" s="210"/>
      <c r="C43" s="212"/>
      <c r="D43" s="212"/>
      <c r="E43" s="212"/>
      <c r="F43" s="212"/>
      <c r="G43" s="212"/>
      <c r="H43" s="213"/>
      <c r="I43" s="213"/>
      <c r="J43" s="214"/>
      <c r="K43" s="214"/>
      <c r="L43" s="214"/>
      <c r="M43" s="214"/>
      <c r="N43" s="214"/>
      <c r="O43" s="214"/>
      <c r="P43" s="215"/>
      <c r="Q43" s="215"/>
      <c r="R43" s="215"/>
      <c r="S43" s="215"/>
      <c r="T43" s="215"/>
      <c r="U43" s="216"/>
      <c r="V43" s="217"/>
      <c r="W43" s="218"/>
      <c r="Y43" s="300"/>
      <c r="Z43" s="300"/>
      <c r="AA43" s="222"/>
      <c r="AB43" s="222"/>
      <c r="AC43" s="222"/>
      <c r="AD43" s="222"/>
      <c r="AE43" s="264"/>
      <c r="AF43" s="222"/>
      <c r="AG43" s="222"/>
      <c r="AH43" s="222"/>
      <c r="AI43" s="222"/>
      <c r="AJ43" s="222"/>
      <c r="AK43" s="265"/>
      <c r="AO43" s="222"/>
      <c r="AP43" s="222"/>
      <c r="BG43" s="222">
        <v>-4950.0</v>
      </c>
    </row>
    <row r="44" ht="15.0" customHeight="1">
      <c r="A44" s="210"/>
      <c r="C44" s="212"/>
      <c r="D44" s="212"/>
      <c r="E44" s="212"/>
      <c r="F44" s="212"/>
      <c r="G44" s="212"/>
      <c r="H44" s="213"/>
      <c r="I44" s="213"/>
      <c r="J44" s="214"/>
      <c r="K44" s="214"/>
      <c r="L44" s="214"/>
      <c r="M44" s="214"/>
      <c r="N44" s="214"/>
      <c r="O44" s="214"/>
      <c r="P44" s="264"/>
      <c r="Q44" s="264"/>
      <c r="R44" s="215"/>
      <c r="S44" s="215"/>
      <c r="T44" s="215"/>
      <c r="U44" s="216"/>
      <c r="V44" s="217"/>
      <c r="W44" s="218"/>
      <c r="Y44" s="267" t="s">
        <v>56</v>
      </c>
      <c r="Z44" s="268">
        <f>Z41+Z43</f>
        <v>0</v>
      </c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65"/>
      <c r="AO44" s="222"/>
      <c r="AP44" s="222"/>
    </row>
    <row r="45" ht="15.0" customHeight="1">
      <c r="A45" s="210"/>
      <c r="C45" s="212"/>
      <c r="D45" s="212"/>
      <c r="E45" s="212"/>
      <c r="F45" s="212"/>
      <c r="G45" s="212"/>
      <c r="H45" s="213"/>
      <c r="I45" s="213"/>
      <c r="J45" s="214"/>
      <c r="K45" s="214"/>
      <c r="L45" s="214"/>
      <c r="M45" s="214"/>
      <c r="N45" s="214"/>
      <c r="O45" s="214"/>
      <c r="P45" s="264"/>
      <c r="Q45" s="264"/>
      <c r="R45" s="215"/>
      <c r="S45" s="215"/>
      <c r="T45" s="215"/>
      <c r="U45" s="216"/>
      <c r="V45" s="217"/>
      <c r="W45" s="218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65"/>
      <c r="AO45" s="222"/>
      <c r="AP45" s="222"/>
    </row>
    <row r="46" ht="15.0" customHeight="1">
      <c r="A46" s="210"/>
      <c r="C46" s="212"/>
      <c r="D46" s="212"/>
      <c r="E46" s="212"/>
      <c r="F46" s="212"/>
      <c r="G46" s="212"/>
      <c r="H46" s="213"/>
      <c r="I46" s="213"/>
      <c r="J46" s="214"/>
      <c r="K46" s="214"/>
      <c r="L46" s="214"/>
      <c r="M46" s="214"/>
      <c r="N46" s="214"/>
      <c r="O46" s="214"/>
      <c r="P46" s="264"/>
      <c r="Q46" s="264"/>
      <c r="R46" s="215"/>
      <c r="S46" s="215"/>
      <c r="T46" s="215"/>
      <c r="U46" s="216"/>
      <c r="V46" s="217"/>
      <c r="W46" s="218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65"/>
      <c r="AO46" s="222"/>
      <c r="AP46" s="222"/>
    </row>
    <row r="47" ht="15.0" customHeight="1">
      <c r="A47" s="210"/>
      <c r="C47" s="212"/>
      <c r="D47" s="212"/>
      <c r="E47" s="212"/>
      <c r="F47" s="212"/>
      <c r="G47" s="212"/>
      <c r="H47" s="213"/>
      <c r="I47" s="213"/>
      <c r="J47" s="214"/>
      <c r="K47" s="214"/>
      <c r="L47" s="214"/>
      <c r="M47" s="214"/>
      <c r="N47" s="214"/>
      <c r="O47" s="214"/>
      <c r="P47" s="264"/>
      <c r="Q47" s="264"/>
      <c r="R47" s="215"/>
      <c r="S47" s="215"/>
      <c r="T47" s="215"/>
      <c r="U47" s="216"/>
      <c r="V47" s="217"/>
      <c r="W47" s="218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65"/>
      <c r="AO47" s="222"/>
      <c r="AP47" s="222"/>
    </row>
    <row r="48" ht="15.0" customHeight="1">
      <c r="A48" s="210"/>
      <c r="C48" s="212"/>
      <c r="D48" s="212"/>
      <c r="E48" s="212"/>
      <c r="F48" s="212"/>
      <c r="G48" s="212"/>
      <c r="H48" s="213"/>
      <c r="I48" s="213"/>
      <c r="J48" s="214"/>
      <c r="K48" s="214"/>
      <c r="L48" s="214"/>
      <c r="M48" s="214"/>
      <c r="N48" s="214"/>
      <c r="O48" s="214"/>
      <c r="P48" s="264"/>
      <c r="Q48" s="264"/>
      <c r="R48" s="215"/>
      <c r="S48" s="215"/>
      <c r="T48" s="215"/>
      <c r="U48" s="216"/>
      <c r="V48" s="217"/>
      <c r="W48" s="218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65"/>
      <c r="AO48" s="222"/>
      <c r="AP48" s="222"/>
    </row>
    <row r="49" ht="15.0" customHeight="1">
      <c r="A49" s="279"/>
      <c r="C49" s="212"/>
      <c r="D49" s="212"/>
      <c r="E49" s="212"/>
      <c r="F49" s="212"/>
      <c r="G49" s="212"/>
      <c r="H49" s="213"/>
      <c r="I49" s="213"/>
      <c r="J49" s="214"/>
      <c r="K49" s="494"/>
      <c r="L49" s="494"/>
      <c r="M49" s="215"/>
      <c r="N49" s="215"/>
      <c r="O49" s="215"/>
      <c r="P49" s="216"/>
      <c r="Q49" s="217"/>
      <c r="R49" s="218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65"/>
      <c r="AJ49" s="222"/>
      <c r="AK49" s="222"/>
    </row>
    <row r="50" ht="15.0" customHeight="1">
      <c r="A50" s="279"/>
      <c r="C50" s="212"/>
      <c r="D50" s="212"/>
      <c r="E50" s="212"/>
      <c r="F50" s="212"/>
      <c r="G50" s="212"/>
      <c r="H50" s="213"/>
      <c r="I50" s="213"/>
      <c r="J50" s="214"/>
      <c r="K50" s="494"/>
      <c r="L50" s="494"/>
      <c r="M50" s="215"/>
      <c r="N50" s="215"/>
      <c r="O50" s="215"/>
      <c r="P50" s="216"/>
      <c r="Q50" s="217"/>
      <c r="R50" s="218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65"/>
      <c r="AJ50" s="222"/>
      <c r="AK50" s="222"/>
    </row>
    <row r="51" ht="15.0" customHeight="1">
      <c r="A51" s="279"/>
      <c r="C51" s="212"/>
      <c r="D51" s="212"/>
      <c r="E51" s="212"/>
      <c r="F51" s="212"/>
      <c r="G51" s="212"/>
      <c r="H51" s="213"/>
      <c r="I51" s="213"/>
      <c r="J51" s="214"/>
      <c r="K51" s="494"/>
      <c r="L51" s="494"/>
      <c r="M51" s="215"/>
      <c r="N51" s="215"/>
      <c r="O51" s="215"/>
      <c r="P51" s="216"/>
      <c r="Q51" s="217"/>
      <c r="R51" s="218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65"/>
      <c r="AJ51" s="222"/>
      <c r="AK51" s="222"/>
    </row>
    <row r="52" ht="15.0" customHeight="1">
      <c r="A52" s="279"/>
      <c r="C52" s="212"/>
      <c r="D52" s="212"/>
      <c r="E52" s="212"/>
      <c r="F52" s="212"/>
      <c r="G52" s="212"/>
      <c r="H52" s="213"/>
      <c r="I52" s="213"/>
      <c r="J52" s="214"/>
      <c r="K52" s="494"/>
      <c r="L52" s="494"/>
      <c r="M52" s="215"/>
      <c r="N52" s="215"/>
      <c r="O52" s="215"/>
      <c r="P52" s="216"/>
      <c r="Q52" s="217"/>
      <c r="R52" s="218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65"/>
      <c r="AJ52" s="222"/>
      <c r="AK52" s="222"/>
    </row>
    <row r="53" ht="15.0" customHeight="1">
      <c r="A53" s="279"/>
      <c r="C53" s="212"/>
      <c r="D53" s="212"/>
      <c r="E53" s="212"/>
      <c r="F53" s="212"/>
      <c r="G53" s="212"/>
      <c r="H53" s="213"/>
      <c r="I53" s="213"/>
      <c r="J53" s="214"/>
      <c r="K53" s="494"/>
      <c r="L53" s="494"/>
      <c r="M53" s="215"/>
      <c r="N53" s="215"/>
      <c r="O53" s="215"/>
      <c r="P53" s="216"/>
      <c r="Q53" s="217"/>
      <c r="R53" s="218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65"/>
      <c r="AJ53" s="222"/>
      <c r="AK53" s="222"/>
    </row>
    <row r="54" ht="15.0" customHeight="1">
      <c r="A54" s="279"/>
      <c r="C54" s="212"/>
      <c r="D54" s="212"/>
      <c r="E54" s="212"/>
      <c r="F54" s="212"/>
      <c r="G54" s="212"/>
      <c r="H54" s="213"/>
      <c r="I54" s="213"/>
      <c r="J54" s="214"/>
      <c r="K54" s="494"/>
      <c r="L54" s="494"/>
      <c r="M54" s="215"/>
      <c r="N54" s="215"/>
      <c r="O54" s="215"/>
      <c r="P54" s="216"/>
      <c r="Q54" s="217"/>
      <c r="R54" s="218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65"/>
      <c r="AJ54" s="222"/>
      <c r="AK54" s="222"/>
    </row>
    <row r="55" ht="15.0" customHeight="1">
      <c r="A55" s="279"/>
      <c r="C55" s="212"/>
      <c r="D55" s="212"/>
      <c r="E55" s="212"/>
      <c r="F55" s="212"/>
      <c r="G55" s="212"/>
      <c r="H55" s="213"/>
      <c r="I55" s="213"/>
      <c r="J55" s="214"/>
      <c r="K55" s="494"/>
      <c r="L55" s="494"/>
      <c r="M55" s="215"/>
      <c r="N55" s="215"/>
      <c r="O55" s="215"/>
      <c r="P55" s="216"/>
      <c r="Q55" s="217"/>
      <c r="R55" s="218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65"/>
      <c r="AJ55" s="222"/>
      <c r="AK55" s="222"/>
    </row>
    <row r="56" ht="15.0" customHeight="1">
      <c r="A56" s="279"/>
      <c r="C56" s="212"/>
      <c r="D56" s="212"/>
      <c r="E56" s="212"/>
      <c r="F56" s="212"/>
      <c r="G56" s="212"/>
      <c r="H56" s="213"/>
      <c r="I56" s="213"/>
      <c r="J56" s="214"/>
      <c r="K56" s="494"/>
      <c r="L56" s="494"/>
      <c r="M56" s="215"/>
      <c r="N56" s="215"/>
      <c r="O56" s="215"/>
      <c r="P56" s="216"/>
      <c r="Q56" s="217"/>
      <c r="R56" s="218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65"/>
      <c r="AJ56" s="222"/>
      <c r="AK56" s="222"/>
    </row>
    <row r="57" ht="15.0" customHeight="1">
      <c r="A57" s="279"/>
      <c r="C57" s="212"/>
      <c r="D57" s="212"/>
      <c r="E57" s="212"/>
      <c r="F57" s="212"/>
      <c r="G57" s="212"/>
      <c r="H57" s="213"/>
      <c r="I57" s="213"/>
      <c r="J57" s="214"/>
      <c r="K57" s="494"/>
      <c r="L57" s="494"/>
      <c r="M57" s="215"/>
      <c r="N57" s="215"/>
      <c r="O57" s="215"/>
      <c r="P57" s="216"/>
      <c r="Q57" s="217"/>
      <c r="R57" s="218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65"/>
      <c r="AJ57" s="222"/>
      <c r="AK57" s="222"/>
    </row>
    <row r="58" ht="15.0" customHeight="1">
      <c r="A58" s="279"/>
      <c r="C58" s="212"/>
      <c r="D58" s="212"/>
      <c r="E58" s="212"/>
      <c r="F58" s="212"/>
      <c r="G58" s="212"/>
      <c r="H58" s="213"/>
      <c r="I58" s="213"/>
      <c r="J58" s="214"/>
      <c r="K58" s="494"/>
      <c r="L58" s="494"/>
      <c r="M58" s="215"/>
      <c r="N58" s="215"/>
      <c r="O58" s="215"/>
      <c r="P58" s="216"/>
      <c r="Q58" s="217"/>
      <c r="R58" s="218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65"/>
      <c r="AJ58" s="222"/>
      <c r="AK58" s="222"/>
    </row>
    <row r="59" ht="15.0" customHeight="1">
      <c r="A59" s="279"/>
      <c r="C59" s="212"/>
      <c r="D59" s="212"/>
      <c r="E59" s="212"/>
      <c r="F59" s="212"/>
      <c r="G59" s="212"/>
      <c r="H59" s="213"/>
      <c r="I59" s="213"/>
      <c r="J59" s="214"/>
      <c r="K59" s="494"/>
      <c r="L59" s="494"/>
      <c r="M59" s="215"/>
      <c r="N59" s="215"/>
      <c r="O59" s="215"/>
      <c r="P59" s="216"/>
      <c r="Q59" s="217"/>
      <c r="R59" s="218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65"/>
      <c r="AJ59" s="222"/>
      <c r="AK59" s="222"/>
    </row>
    <row r="60" ht="15.0" customHeight="1">
      <c r="A60" s="279"/>
      <c r="C60" s="212"/>
      <c r="D60" s="212"/>
      <c r="E60" s="212"/>
      <c r="F60" s="212"/>
      <c r="G60" s="212"/>
      <c r="H60" s="213"/>
      <c r="I60" s="213"/>
      <c r="J60" s="214"/>
      <c r="K60" s="494"/>
      <c r="L60" s="494"/>
      <c r="M60" s="215"/>
      <c r="N60" s="215"/>
      <c r="O60" s="215"/>
      <c r="P60" s="216"/>
      <c r="Q60" s="217"/>
      <c r="R60" s="218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65"/>
      <c r="AJ60" s="222"/>
      <c r="AK60" s="222"/>
    </row>
    <row r="61" ht="15.0" customHeight="1">
      <c r="A61" s="279"/>
      <c r="C61" s="212"/>
      <c r="D61" s="212"/>
      <c r="E61" s="212"/>
      <c r="F61" s="212"/>
      <c r="G61" s="212"/>
      <c r="H61" s="213"/>
      <c r="I61" s="213"/>
      <c r="J61" s="214"/>
      <c r="K61" s="494"/>
      <c r="L61" s="494"/>
      <c r="M61" s="215"/>
      <c r="N61" s="215"/>
      <c r="O61" s="215"/>
      <c r="P61" s="216"/>
      <c r="Q61" s="217"/>
      <c r="R61" s="218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65"/>
      <c r="AJ61" s="222"/>
      <c r="AK61" s="222"/>
    </row>
    <row r="62" ht="15.0" customHeight="1">
      <c r="A62" s="279"/>
      <c r="C62" s="212"/>
      <c r="D62" s="212"/>
      <c r="E62" s="212"/>
      <c r="F62" s="212"/>
      <c r="G62" s="212"/>
      <c r="H62" s="213"/>
      <c r="I62" s="213"/>
      <c r="J62" s="214"/>
      <c r="K62" s="494"/>
      <c r="L62" s="494"/>
      <c r="M62" s="215"/>
      <c r="N62" s="215"/>
      <c r="O62" s="215"/>
      <c r="P62" s="216"/>
      <c r="Q62" s="217"/>
      <c r="R62" s="218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65"/>
      <c r="AJ62" s="222"/>
      <c r="AK62" s="222"/>
    </row>
    <row r="63" ht="15.0" customHeight="1">
      <c r="A63" s="279"/>
      <c r="C63" s="212"/>
      <c r="D63" s="212"/>
      <c r="E63" s="212"/>
      <c r="F63" s="212"/>
      <c r="G63" s="212"/>
      <c r="H63" s="213"/>
      <c r="I63" s="213"/>
      <c r="J63" s="214"/>
      <c r="K63" s="494"/>
      <c r="L63" s="494"/>
      <c r="M63" s="215"/>
      <c r="N63" s="215"/>
      <c r="O63" s="215"/>
      <c r="P63" s="216"/>
      <c r="Q63" s="217"/>
      <c r="R63" s="218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65"/>
      <c r="AJ63" s="222"/>
      <c r="AK63" s="222"/>
    </row>
    <row r="64" ht="15.0" customHeight="1">
      <c r="A64" s="279"/>
      <c r="C64" s="212"/>
      <c r="D64" s="212"/>
      <c r="E64" s="212"/>
      <c r="F64" s="212"/>
      <c r="G64" s="212"/>
      <c r="H64" s="213"/>
      <c r="I64" s="213"/>
      <c r="J64" s="214"/>
      <c r="K64" s="494"/>
      <c r="L64" s="494"/>
      <c r="M64" s="215"/>
      <c r="N64" s="215"/>
      <c r="O64" s="215"/>
      <c r="P64" s="216"/>
      <c r="Q64" s="217"/>
      <c r="R64" s="218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65"/>
      <c r="AJ64" s="222"/>
      <c r="AK64" s="222"/>
    </row>
    <row r="65" ht="15.0" customHeight="1">
      <c r="A65" s="279"/>
      <c r="C65" s="212"/>
      <c r="D65" s="212"/>
      <c r="E65" s="212"/>
      <c r="F65" s="212"/>
      <c r="G65" s="212"/>
      <c r="H65" s="213"/>
      <c r="I65" s="213"/>
      <c r="J65" s="214"/>
      <c r="K65" s="494"/>
      <c r="L65" s="494"/>
      <c r="M65" s="215"/>
      <c r="N65" s="215"/>
      <c r="O65" s="215"/>
      <c r="P65" s="216"/>
      <c r="Q65" s="217"/>
      <c r="R65" s="218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65"/>
      <c r="AJ65" s="222"/>
      <c r="AK65" s="222"/>
    </row>
    <row r="66" ht="15.0" customHeight="1">
      <c r="A66" s="279"/>
      <c r="C66" s="212"/>
      <c r="D66" s="212"/>
      <c r="E66" s="212"/>
      <c r="F66" s="212"/>
      <c r="G66" s="212"/>
      <c r="H66" s="213"/>
      <c r="I66" s="213"/>
      <c r="J66" s="214"/>
      <c r="K66" s="494"/>
      <c r="L66" s="494"/>
      <c r="M66" s="215"/>
      <c r="N66" s="215"/>
      <c r="O66" s="215"/>
      <c r="P66" s="216"/>
      <c r="Q66" s="217"/>
      <c r="R66" s="218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65"/>
      <c r="AJ66" s="222"/>
      <c r="AK66" s="222"/>
    </row>
    <row r="67" ht="15.0" customHeight="1">
      <c r="A67" s="279"/>
      <c r="C67" s="212"/>
      <c r="D67" s="212"/>
      <c r="E67" s="212"/>
      <c r="F67" s="212"/>
      <c r="G67" s="212"/>
      <c r="H67" s="213"/>
      <c r="I67" s="213"/>
      <c r="J67" s="214"/>
      <c r="K67" s="494"/>
      <c r="L67" s="494"/>
      <c r="M67" s="215"/>
      <c r="N67" s="215"/>
      <c r="O67" s="215"/>
      <c r="P67" s="216"/>
      <c r="Q67" s="217"/>
      <c r="R67" s="218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65"/>
      <c r="AJ67" s="222"/>
      <c r="AK67" s="222"/>
    </row>
    <row r="68" ht="15.0" customHeight="1">
      <c r="A68" s="279"/>
      <c r="C68" s="212"/>
      <c r="D68" s="212"/>
      <c r="E68" s="212"/>
      <c r="F68" s="212"/>
      <c r="G68" s="212"/>
      <c r="H68" s="213"/>
      <c r="I68" s="213"/>
      <c r="J68" s="214"/>
      <c r="K68" s="494"/>
      <c r="L68" s="494"/>
      <c r="M68" s="215"/>
      <c r="N68" s="215"/>
      <c r="O68" s="215"/>
      <c r="P68" s="216"/>
      <c r="Q68" s="217"/>
      <c r="R68" s="218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65"/>
      <c r="AJ68" s="222"/>
      <c r="AK68" s="222"/>
    </row>
    <row r="69" ht="15.0" customHeight="1">
      <c r="A69" s="279"/>
      <c r="C69" s="212"/>
      <c r="D69" s="212"/>
      <c r="E69" s="212"/>
      <c r="F69" s="212"/>
      <c r="G69" s="212"/>
      <c r="H69" s="213"/>
      <c r="I69" s="213"/>
      <c r="J69" s="214"/>
      <c r="K69" s="494"/>
      <c r="L69" s="494"/>
      <c r="M69" s="215"/>
      <c r="N69" s="215"/>
      <c r="O69" s="215"/>
      <c r="P69" s="216"/>
      <c r="Q69" s="217"/>
      <c r="R69" s="218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65"/>
      <c r="AJ69" s="222"/>
      <c r="AK69" s="222"/>
    </row>
    <row r="70" ht="15.0" customHeight="1">
      <c r="A70" s="279"/>
      <c r="C70" s="212"/>
      <c r="D70" s="212"/>
      <c r="E70" s="212"/>
      <c r="F70" s="212"/>
      <c r="G70" s="212"/>
      <c r="H70" s="213"/>
      <c r="I70" s="213"/>
      <c r="J70" s="214"/>
      <c r="K70" s="494"/>
      <c r="L70" s="494"/>
      <c r="M70" s="215"/>
      <c r="N70" s="215"/>
      <c r="O70" s="215"/>
      <c r="P70" s="216"/>
      <c r="Q70" s="217"/>
      <c r="R70" s="218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65"/>
      <c r="AJ70" s="222"/>
      <c r="AK70" s="222"/>
    </row>
    <row r="71" ht="15.0" customHeight="1">
      <c r="A71" s="279"/>
      <c r="C71" s="212"/>
      <c r="D71" s="212"/>
      <c r="E71" s="212"/>
      <c r="F71" s="212"/>
      <c r="G71" s="212"/>
      <c r="H71" s="213"/>
      <c r="I71" s="213"/>
      <c r="J71" s="214"/>
      <c r="K71" s="494"/>
      <c r="L71" s="494"/>
      <c r="M71" s="215"/>
      <c r="N71" s="215"/>
      <c r="O71" s="215"/>
      <c r="P71" s="216"/>
      <c r="Q71" s="217"/>
      <c r="R71" s="218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65"/>
      <c r="AJ71" s="222"/>
      <c r="AK71" s="222"/>
    </row>
    <row r="72" ht="15.0" customHeight="1">
      <c r="A72" s="279"/>
      <c r="C72" s="212"/>
      <c r="D72" s="212"/>
      <c r="E72" s="212"/>
      <c r="F72" s="212"/>
      <c r="G72" s="212"/>
      <c r="H72" s="213"/>
      <c r="I72" s="213"/>
      <c r="J72" s="214"/>
      <c r="K72" s="494"/>
      <c r="L72" s="494"/>
      <c r="M72" s="215"/>
      <c r="N72" s="215"/>
      <c r="O72" s="215"/>
      <c r="P72" s="216"/>
      <c r="Q72" s="217"/>
      <c r="R72" s="218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65"/>
      <c r="AJ72" s="222"/>
      <c r="AK72" s="222"/>
    </row>
    <row r="73" ht="15.0" customHeight="1">
      <c r="A73" s="279"/>
      <c r="C73" s="212"/>
      <c r="D73" s="212"/>
      <c r="E73" s="212"/>
      <c r="F73" s="212"/>
      <c r="G73" s="212"/>
      <c r="H73" s="213"/>
      <c r="I73" s="213"/>
      <c r="J73" s="214"/>
      <c r="K73" s="494"/>
      <c r="L73" s="494"/>
      <c r="M73" s="215"/>
      <c r="N73" s="215"/>
      <c r="O73" s="215"/>
      <c r="P73" s="216"/>
      <c r="Q73" s="217"/>
      <c r="R73" s="218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65"/>
      <c r="AJ73" s="222"/>
      <c r="AK73" s="222"/>
    </row>
    <row r="74" ht="15.0" customHeight="1">
      <c r="A74" s="279"/>
      <c r="C74" s="212"/>
      <c r="D74" s="212"/>
      <c r="E74" s="212"/>
      <c r="F74" s="212"/>
      <c r="G74" s="212"/>
      <c r="H74" s="213"/>
      <c r="I74" s="213"/>
      <c r="J74" s="214"/>
      <c r="K74" s="494"/>
      <c r="L74" s="494"/>
      <c r="M74" s="215"/>
      <c r="N74" s="215"/>
      <c r="O74" s="215"/>
      <c r="P74" s="216"/>
      <c r="Q74" s="217"/>
      <c r="R74" s="218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65"/>
      <c r="AJ74" s="222"/>
      <c r="AK74" s="222"/>
    </row>
    <row r="75" ht="15.0" customHeight="1">
      <c r="A75" s="279"/>
      <c r="C75" s="212"/>
      <c r="D75" s="212"/>
      <c r="E75" s="212"/>
      <c r="F75" s="212"/>
      <c r="G75" s="212"/>
      <c r="H75" s="213"/>
      <c r="I75" s="213"/>
      <c r="J75" s="214"/>
      <c r="K75" s="494"/>
      <c r="L75" s="494"/>
      <c r="M75" s="215"/>
      <c r="N75" s="215"/>
      <c r="O75" s="215"/>
      <c r="P75" s="216"/>
      <c r="Q75" s="217"/>
      <c r="R75" s="218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65"/>
      <c r="AJ75" s="222"/>
      <c r="AK75" s="222"/>
    </row>
    <row r="76" ht="15.0" customHeight="1">
      <c r="A76" s="279"/>
      <c r="C76" s="212"/>
      <c r="D76" s="212"/>
      <c r="E76" s="212"/>
      <c r="F76" s="212"/>
      <c r="G76" s="212"/>
      <c r="H76" s="213"/>
      <c r="I76" s="213"/>
      <c r="J76" s="214"/>
      <c r="K76" s="494"/>
      <c r="L76" s="494"/>
      <c r="M76" s="215"/>
      <c r="N76" s="215"/>
      <c r="O76" s="215"/>
      <c r="P76" s="216"/>
      <c r="Q76" s="217"/>
      <c r="R76" s="218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65"/>
      <c r="AJ76" s="222"/>
      <c r="AK76" s="222"/>
    </row>
    <row r="77" ht="15.0" customHeight="1">
      <c r="A77" s="279"/>
      <c r="C77" s="212"/>
      <c r="D77" s="212"/>
      <c r="E77" s="212"/>
      <c r="F77" s="212"/>
      <c r="G77" s="212"/>
      <c r="H77" s="213"/>
      <c r="I77" s="213"/>
      <c r="J77" s="214"/>
      <c r="K77" s="494"/>
      <c r="L77" s="494"/>
      <c r="M77" s="215"/>
      <c r="N77" s="215"/>
      <c r="O77" s="215"/>
      <c r="P77" s="216"/>
      <c r="Q77" s="217"/>
      <c r="R77" s="218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65"/>
      <c r="AJ77" s="222"/>
      <c r="AK77" s="222"/>
    </row>
    <row r="78" ht="15.0" customHeight="1">
      <c r="A78" s="279"/>
      <c r="C78" s="212"/>
      <c r="D78" s="212"/>
      <c r="E78" s="212"/>
      <c r="F78" s="212"/>
      <c r="G78" s="212"/>
      <c r="H78" s="213"/>
      <c r="I78" s="213"/>
      <c r="J78" s="214"/>
      <c r="K78" s="494"/>
      <c r="L78" s="494"/>
      <c r="M78" s="215"/>
      <c r="N78" s="215"/>
      <c r="O78" s="215"/>
      <c r="P78" s="216"/>
      <c r="Q78" s="217"/>
      <c r="R78" s="218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65"/>
      <c r="AJ78" s="222"/>
      <c r="AK78" s="222"/>
    </row>
    <row r="79" ht="15.0" customHeight="1">
      <c r="A79" s="279"/>
      <c r="C79" s="212"/>
      <c r="D79" s="212"/>
      <c r="E79" s="212"/>
      <c r="F79" s="212"/>
      <c r="G79" s="212"/>
      <c r="H79" s="213"/>
      <c r="I79" s="213"/>
      <c r="J79" s="214"/>
      <c r="K79" s="494"/>
      <c r="L79" s="494"/>
      <c r="M79" s="215"/>
      <c r="N79" s="215"/>
      <c r="O79" s="215"/>
      <c r="P79" s="216"/>
      <c r="Q79" s="217"/>
      <c r="R79" s="218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65"/>
      <c r="AJ79" s="222"/>
      <c r="AK79" s="222"/>
    </row>
    <row r="80" ht="15.0" customHeight="1">
      <c r="A80" s="279"/>
      <c r="C80" s="212"/>
      <c r="D80" s="212"/>
      <c r="E80" s="212"/>
      <c r="F80" s="212"/>
      <c r="G80" s="212"/>
      <c r="H80" s="213"/>
      <c r="I80" s="213"/>
      <c r="J80" s="214"/>
      <c r="K80" s="494"/>
      <c r="L80" s="494"/>
      <c r="M80" s="215"/>
      <c r="N80" s="215"/>
      <c r="O80" s="215"/>
      <c r="P80" s="216"/>
      <c r="Q80" s="217"/>
      <c r="R80" s="218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65"/>
      <c r="AJ80" s="222"/>
      <c r="AK80" s="222"/>
    </row>
    <row r="81" ht="15.0" customHeight="1">
      <c r="A81" s="279"/>
      <c r="C81" s="212"/>
      <c r="D81" s="212"/>
      <c r="E81" s="212"/>
      <c r="F81" s="212"/>
      <c r="G81" s="212"/>
      <c r="H81" s="213"/>
      <c r="I81" s="213"/>
      <c r="J81" s="214"/>
      <c r="K81" s="494"/>
      <c r="L81" s="494"/>
      <c r="M81" s="215"/>
      <c r="N81" s="215"/>
      <c r="O81" s="215"/>
      <c r="P81" s="216"/>
      <c r="Q81" s="217"/>
      <c r="R81" s="218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65"/>
      <c r="AJ81" s="222"/>
      <c r="AK81" s="222"/>
    </row>
    <row r="82" ht="15.0" customHeight="1">
      <c r="A82" s="279"/>
      <c r="C82" s="212"/>
      <c r="D82" s="212"/>
      <c r="E82" s="212"/>
      <c r="F82" s="212"/>
      <c r="G82" s="212"/>
      <c r="H82" s="213"/>
      <c r="I82" s="213"/>
      <c r="J82" s="214"/>
      <c r="K82" s="494"/>
      <c r="L82" s="494"/>
      <c r="M82" s="215"/>
      <c r="N82" s="215"/>
      <c r="O82" s="215"/>
      <c r="P82" s="216"/>
      <c r="Q82" s="217"/>
      <c r="R82" s="218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65"/>
      <c r="AJ82" s="222"/>
      <c r="AK82" s="222"/>
    </row>
    <row r="83" ht="15.0" customHeight="1">
      <c r="A83" s="279"/>
      <c r="C83" s="212"/>
      <c r="D83" s="212"/>
      <c r="E83" s="212"/>
      <c r="F83" s="212"/>
      <c r="G83" s="212"/>
      <c r="H83" s="213"/>
      <c r="I83" s="213"/>
      <c r="J83" s="214"/>
      <c r="K83" s="494"/>
      <c r="L83" s="494"/>
      <c r="M83" s="215"/>
      <c r="N83" s="215"/>
      <c r="O83" s="215"/>
      <c r="P83" s="216"/>
      <c r="Q83" s="217"/>
      <c r="R83" s="218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65"/>
      <c r="AJ83" s="222"/>
      <c r="AK83" s="222"/>
    </row>
    <row r="84" ht="15.0" customHeight="1">
      <c r="A84" s="279"/>
      <c r="C84" s="212"/>
      <c r="D84" s="212"/>
      <c r="E84" s="212"/>
      <c r="F84" s="212"/>
      <c r="G84" s="212"/>
      <c r="H84" s="213"/>
      <c r="I84" s="213"/>
      <c r="J84" s="214"/>
      <c r="K84" s="494"/>
      <c r="L84" s="494"/>
      <c r="M84" s="215"/>
      <c r="N84" s="215"/>
      <c r="O84" s="215"/>
      <c r="P84" s="216"/>
      <c r="Q84" s="217"/>
      <c r="R84" s="218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65"/>
      <c r="AJ84" s="222"/>
      <c r="AK84" s="222"/>
    </row>
    <row r="85" ht="15.0" customHeight="1">
      <c r="A85" s="279"/>
      <c r="C85" s="212"/>
      <c r="D85" s="212"/>
      <c r="E85" s="212"/>
      <c r="F85" s="212"/>
      <c r="G85" s="212"/>
      <c r="H85" s="213"/>
      <c r="I85" s="213"/>
      <c r="J85" s="214"/>
      <c r="K85" s="494"/>
      <c r="L85" s="494"/>
      <c r="M85" s="215"/>
      <c r="N85" s="215"/>
      <c r="O85" s="215"/>
      <c r="P85" s="216"/>
      <c r="Q85" s="217"/>
      <c r="R85" s="218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65"/>
      <c r="AJ85" s="222"/>
      <c r="AK85" s="222"/>
    </row>
    <row r="86" ht="15.0" customHeight="1">
      <c r="A86" s="279"/>
      <c r="C86" s="212"/>
      <c r="D86" s="212"/>
      <c r="E86" s="212"/>
      <c r="F86" s="212"/>
      <c r="G86" s="212"/>
      <c r="H86" s="213"/>
      <c r="I86" s="213"/>
      <c r="J86" s="214"/>
      <c r="K86" s="494"/>
      <c r="L86" s="494"/>
      <c r="M86" s="215"/>
      <c r="N86" s="215"/>
      <c r="O86" s="215"/>
      <c r="P86" s="216"/>
      <c r="Q86" s="217"/>
      <c r="R86" s="218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65"/>
      <c r="AJ86" s="222"/>
      <c r="AK86" s="222"/>
    </row>
    <row r="87" ht="15.0" customHeight="1">
      <c r="A87" s="279"/>
      <c r="C87" s="212"/>
      <c r="D87" s="212"/>
      <c r="E87" s="212"/>
      <c r="F87" s="212"/>
      <c r="G87" s="212"/>
      <c r="H87" s="213"/>
      <c r="I87" s="213"/>
      <c r="J87" s="214"/>
      <c r="K87" s="494"/>
      <c r="L87" s="494"/>
      <c r="M87" s="215"/>
      <c r="N87" s="215"/>
      <c r="O87" s="215"/>
      <c r="P87" s="216"/>
      <c r="Q87" s="217"/>
      <c r="R87" s="218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65"/>
      <c r="AJ87" s="222"/>
      <c r="AK87" s="222"/>
    </row>
    <row r="88" ht="15.0" customHeight="1">
      <c r="A88" s="279"/>
      <c r="C88" s="212"/>
      <c r="D88" s="212"/>
      <c r="E88" s="212"/>
      <c r="F88" s="212"/>
      <c r="G88" s="212"/>
      <c r="H88" s="213"/>
      <c r="I88" s="213"/>
      <c r="J88" s="214"/>
      <c r="K88" s="494"/>
      <c r="L88" s="494"/>
      <c r="M88" s="215"/>
      <c r="N88" s="215"/>
      <c r="O88" s="215"/>
      <c r="P88" s="216"/>
      <c r="Q88" s="217"/>
      <c r="R88" s="218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65"/>
      <c r="AJ88" s="222"/>
      <c r="AK88" s="222"/>
    </row>
    <row r="89" ht="15.0" customHeight="1">
      <c r="A89" s="279"/>
      <c r="C89" s="212"/>
      <c r="D89" s="212"/>
      <c r="E89" s="212"/>
      <c r="F89" s="212"/>
      <c r="G89" s="212"/>
      <c r="H89" s="213"/>
      <c r="I89" s="213"/>
      <c r="J89" s="214"/>
      <c r="K89" s="494"/>
      <c r="L89" s="494"/>
      <c r="M89" s="215"/>
      <c r="N89" s="215"/>
      <c r="O89" s="215"/>
      <c r="P89" s="216"/>
      <c r="Q89" s="217"/>
      <c r="R89" s="218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65"/>
      <c r="AJ89" s="222"/>
      <c r="AK89" s="222"/>
    </row>
    <row r="90" ht="15.0" customHeight="1">
      <c r="A90" s="279"/>
      <c r="C90" s="212"/>
      <c r="D90" s="212"/>
      <c r="E90" s="212"/>
      <c r="F90" s="212"/>
      <c r="G90" s="212"/>
      <c r="H90" s="213"/>
      <c r="I90" s="213"/>
      <c r="J90" s="214"/>
      <c r="K90" s="494"/>
      <c r="L90" s="494"/>
      <c r="M90" s="215"/>
      <c r="N90" s="215"/>
      <c r="O90" s="215"/>
      <c r="P90" s="216"/>
      <c r="Q90" s="217"/>
      <c r="R90" s="218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65"/>
      <c r="AJ90" s="222"/>
      <c r="AK90" s="222"/>
    </row>
    <row r="91" ht="15.0" customHeight="1">
      <c r="A91" s="279"/>
      <c r="C91" s="212"/>
      <c r="D91" s="212"/>
      <c r="E91" s="212"/>
      <c r="F91" s="212"/>
      <c r="G91" s="212"/>
      <c r="H91" s="213"/>
      <c r="I91" s="213"/>
      <c r="J91" s="214"/>
      <c r="K91" s="494"/>
      <c r="L91" s="494"/>
      <c r="M91" s="215"/>
      <c r="N91" s="215"/>
      <c r="O91" s="215"/>
      <c r="P91" s="216"/>
      <c r="Q91" s="217"/>
      <c r="R91" s="218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65"/>
      <c r="AJ91" s="222"/>
      <c r="AK91" s="222"/>
    </row>
    <row r="92" ht="15.0" customHeight="1">
      <c r="A92" s="279"/>
      <c r="C92" s="212"/>
      <c r="D92" s="212"/>
      <c r="E92" s="212"/>
      <c r="F92" s="212"/>
      <c r="G92" s="212"/>
      <c r="H92" s="213"/>
      <c r="I92" s="213"/>
      <c r="J92" s="214"/>
      <c r="K92" s="494"/>
      <c r="L92" s="494"/>
      <c r="M92" s="215"/>
      <c r="N92" s="215"/>
      <c r="O92" s="215"/>
      <c r="P92" s="216"/>
      <c r="Q92" s="217"/>
      <c r="R92" s="218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65"/>
      <c r="AJ92" s="222"/>
      <c r="AK92" s="222"/>
    </row>
    <row r="93" ht="15.0" customHeight="1">
      <c r="A93" s="279"/>
      <c r="C93" s="212"/>
      <c r="D93" s="212"/>
      <c r="E93" s="212"/>
      <c r="F93" s="212"/>
      <c r="G93" s="212"/>
      <c r="H93" s="213"/>
      <c r="I93" s="213"/>
      <c r="J93" s="214"/>
      <c r="K93" s="494"/>
      <c r="L93" s="494"/>
      <c r="M93" s="215"/>
      <c r="N93" s="215"/>
      <c r="O93" s="215"/>
      <c r="P93" s="216"/>
      <c r="Q93" s="217"/>
      <c r="R93" s="218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65"/>
      <c r="AJ93" s="222"/>
      <c r="AK93" s="222"/>
    </row>
    <row r="94" ht="15.0" customHeight="1">
      <c r="A94" s="279"/>
      <c r="C94" s="212"/>
      <c r="D94" s="212"/>
      <c r="E94" s="212"/>
      <c r="F94" s="212"/>
      <c r="G94" s="212"/>
      <c r="H94" s="213"/>
      <c r="I94" s="213"/>
      <c r="J94" s="214"/>
      <c r="K94" s="494"/>
      <c r="L94" s="494"/>
      <c r="M94" s="215"/>
      <c r="N94" s="215"/>
      <c r="O94" s="215"/>
      <c r="P94" s="216"/>
      <c r="Q94" s="217"/>
      <c r="R94" s="218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65"/>
      <c r="AJ94" s="222"/>
      <c r="AK94" s="222"/>
    </row>
    <row r="95" ht="15.0" customHeight="1">
      <c r="A95" s="279"/>
      <c r="C95" s="212"/>
      <c r="D95" s="212"/>
      <c r="E95" s="212"/>
      <c r="F95" s="212"/>
      <c r="G95" s="212"/>
      <c r="H95" s="213"/>
      <c r="I95" s="213"/>
      <c r="J95" s="214"/>
      <c r="K95" s="494"/>
      <c r="L95" s="494"/>
      <c r="M95" s="215"/>
      <c r="N95" s="215"/>
      <c r="O95" s="215"/>
      <c r="P95" s="216"/>
      <c r="Q95" s="217"/>
      <c r="R95" s="218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65"/>
      <c r="AJ95" s="222"/>
      <c r="AK95" s="222"/>
    </row>
    <row r="96" ht="15.0" customHeight="1">
      <c r="A96" s="279"/>
      <c r="C96" s="212"/>
      <c r="D96" s="212"/>
      <c r="E96" s="212"/>
      <c r="F96" s="212"/>
      <c r="G96" s="212"/>
      <c r="H96" s="213"/>
      <c r="I96" s="213"/>
      <c r="J96" s="214"/>
      <c r="K96" s="494"/>
      <c r="L96" s="494"/>
      <c r="M96" s="215"/>
      <c r="N96" s="215"/>
      <c r="O96" s="215"/>
      <c r="P96" s="216"/>
      <c r="Q96" s="217"/>
      <c r="R96" s="218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65"/>
      <c r="AJ96" s="222"/>
      <c r="AK96" s="222"/>
    </row>
    <row r="97" ht="15.0" customHeight="1">
      <c r="A97" s="279"/>
      <c r="C97" s="212"/>
      <c r="D97" s="212"/>
      <c r="E97" s="212"/>
      <c r="F97" s="212"/>
      <c r="G97" s="212"/>
      <c r="H97" s="213"/>
      <c r="I97" s="213"/>
      <c r="J97" s="214"/>
      <c r="K97" s="494"/>
      <c r="L97" s="494"/>
      <c r="M97" s="215"/>
      <c r="N97" s="215"/>
      <c r="O97" s="215"/>
      <c r="P97" s="216"/>
      <c r="Q97" s="217"/>
      <c r="R97" s="218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65"/>
      <c r="AJ97" s="222"/>
      <c r="AK97" s="222"/>
    </row>
    <row r="98" ht="15.0" customHeight="1">
      <c r="A98" s="279"/>
      <c r="C98" s="212"/>
      <c r="D98" s="212"/>
      <c r="E98" s="212"/>
      <c r="F98" s="212"/>
      <c r="G98" s="212"/>
      <c r="H98" s="213"/>
      <c r="I98" s="213"/>
      <c r="J98" s="214"/>
      <c r="K98" s="494"/>
      <c r="L98" s="494"/>
      <c r="M98" s="215"/>
      <c r="N98" s="215"/>
      <c r="O98" s="215"/>
      <c r="P98" s="216"/>
      <c r="Q98" s="217"/>
      <c r="R98" s="218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65"/>
      <c r="AJ98" s="222"/>
      <c r="AK98" s="222"/>
    </row>
    <row r="99" ht="15.0" customHeight="1">
      <c r="A99" s="279"/>
      <c r="C99" s="212"/>
      <c r="D99" s="212"/>
      <c r="E99" s="212"/>
      <c r="F99" s="212"/>
      <c r="G99" s="212"/>
      <c r="H99" s="213"/>
      <c r="I99" s="213"/>
      <c r="J99" s="214"/>
      <c r="K99" s="494"/>
      <c r="L99" s="494"/>
      <c r="M99" s="215"/>
      <c r="N99" s="215"/>
      <c r="O99" s="215"/>
      <c r="P99" s="216"/>
      <c r="Q99" s="217"/>
      <c r="R99" s="218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65"/>
      <c r="AJ99" s="222"/>
      <c r="AK99" s="222"/>
    </row>
    <row r="100" ht="15.0" customHeight="1">
      <c r="A100" s="279"/>
      <c r="C100" s="212"/>
      <c r="D100" s="212"/>
      <c r="E100" s="212"/>
      <c r="F100" s="212"/>
      <c r="G100" s="212"/>
      <c r="H100" s="213"/>
      <c r="I100" s="213"/>
      <c r="J100" s="214"/>
      <c r="K100" s="494"/>
      <c r="L100" s="494"/>
      <c r="M100" s="215"/>
      <c r="N100" s="215"/>
      <c r="O100" s="215"/>
      <c r="P100" s="216"/>
      <c r="Q100" s="217"/>
      <c r="R100" s="218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65"/>
      <c r="AJ100" s="222"/>
      <c r="AK100" s="222"/>
    </row>
    <row r="101" ht="15.0" customHeight="1">
      <c r="A101" s="279"/>
      <c r="C101" s="212"/>
      <c r="D101" s="212"/>
      <c r="E101" s="212"/>
      <c r="F101" s="212"/>
      <c r="G101" s="212"/>
      <c r="H101" s="213"/>
      <c r="I101" s="213"/>
      <c r="J101" s="214"/>
      <c r="K101" s="494"/>
      <c r="L101" s="494"/>
      <c r="M101" s="215"/>
      <c r="N101" s="215"/>
      <c r="O101" s="215"/>
      <c r="P101" s="216"/>
      <c r="Q101" s="217"/>
      <c r="R101" s="218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65"/>
      <c r="AJ101" s="222"/>
      <c r="AK101" s="222"/>
    </row>
    <row r="102" ht="15.0" customHeight="1">
      <c r="A102" s="279"/>
      <c r="C102" s="212"/>
      <c r="D102" s="212"/>
      <c r="E102" s="212"/>
      <c r="F102" s="212"/>
      <c r="G102" s="212"/>
      <c r="H102" s="213"/>
      <c r="I102" s="213"/>
      <c r="J102" s="214"/>
      <c r="K102" s="494"/>
      <c r="L102" s="494"/>
      <c r="M102" s="215"/>
      <c r="N102" s="215"/>
      <c r="O102" s="215"/>
      <c r="P102" s="216"/>
      <c r="Q102" s="217"/>
      <c r="R102" s="218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65"/>
      <c r="AJ102" s="222"/>
      <c r="AK102" s="222"/>
    </row>
    <row r="103" ht="15.0" customHeight="1">
      <c r="A103" s="279"/>
      <c r="C103" s="212"/>
      <c r="D103" s="212"/>
      <c r="E103" s="212"/>
      <c r="F103" s="212"/>
      <c r="G103" s="212"/>
      <c r="H103" s="213"/>
      <c r="I103" s="213"/>
      <c r="J103" s="214"/>
      <c r="K103" s="494"/>
      <c r="L103" s="494"/>
      <c r="M103" s="215"/>
      <c r="N103" s="215"/>
      <c r="O103" s="215"/>
      <c r="P103" s="216"/>
      <c r="Q103" s="217"/>
      <c r="R103" s="218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65"/>
      <c r="AJ103" s="222"/>
      <c r="AK103" s="222"/>
    </row>
    <row r="104" ht="15.0" customHeight="1">
      <c r="A104" s="279"/>
      <c r="C104" s="212"/>
      <c r="D104" s="212"/>
      <c r="E104" s="212"/>
      <c r="F104" s="212"/>
      <c r="G104" s="212"/>
      <c r="H104" s="213"/>
      <c r="I104" s="213"/>
      <c r="J104" s="214"/>
      <c r="K104" s="494"/>
      <c r="L104" s="494"/>
      <c r="M104" s="215"/>
      <c r="N104" s="215"/>
      <c r="O104" s="215"/>
      <c r="P104" s="216"/>
      <c r="Q104" s="217"/>
      <c r="R104" s="218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65"/>
      <c r="AJ104" s="222"/>
      <c r="AK104" s="222"/>
    </row>
    <row r="105" ht="15.0" customHeight="1">
      <c r="A105" s="279"/>
      <c r="C105" s="212"/>
      <c r="D105" s="212"/>
      <c r="E105" s="212"/>
      <c r="F105" s="212"/>
      <c r="G105" s="212"/>
      <c r="H105" s="213"/>
      <c r="I105" s="213"/>
      <c r="J105" s="214"/>
      <c r="K105" s="494"/>
      <c r="L105" s="494"/>
      <c r="M105" s="215"/>
      <c r="N105" s="215"/>
      <c r="O105" s="215"/>
      <c r="P105" s="216"/>
      <c r="Q105" s="217"/>
      <c r="R105" s="218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65"/>
      <c r="AJ105" s="222"/>
      <c r="AK105" s="222"/>
    </row>
    <row r="106" ht="15.0" customHeight="1">
      <c r="A106" s="279"/>
      <c r="C106" s="212"/>
      <c r="D106" s="212"/>
      <c r="E106" s="212"/>
      <c r="F106" s="212"/>
      <c r="G106" s="212"/>
      <c r="H106" s="213"/>
      <c r="I106" s="213"/>
      <c r="J106" s="214"/>
      <c r="K106" s="494"/>
      <c r="L106" s="494"/>
      <c r="M106" s="215"/>
      <c r="N106" s="215"/>
      <c r="O106" s="215"/>
      <c r="P106" s="216"/>
      <c r="Q106" s="217"/>
      <c r="R106" s="218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65"/>
      <c r="AJ106" s="222"/>
      <c r="AK106" s="222"/>
    </row>
    <row r="107" ht="15.0" customHeight="1">
      <c r="A107" s="279"/>
      <c r="C107" s="212"/>
      <c r="D107" s="212"/>
      <c r="E107" s="212"/>
      <c r="F107" s="212"/>
      <c r="G107" s="212"/>
      <c r="H107" s="213"/>
      <c r="I107" s="213"/>
      <c r="J107" s="214"/>
      <c r="K107" s="494"/>
      <c r="L107" s="494"/>
      <c r="M107" s="215"/>
      <c r="N107" s="215"/>
      <c r="O107" s="215"/>
      <c r="P107" s="216"/>
      <c r="Q107" s="217"/>
      <c r="R107" s="218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65"/>
      <c r="AJ107" s="222"/>
      <c r="AK107" s="222"/>
    </row>
    <row r="108" ht="15.0" customHeight="1">
      <c r="A108" s="279"/>
      <c r="C108" s="212"/>
      <c r="D108" s="212"/>
      <c r="E108" s="212"/>
      <c r="F108" s="212"/>
      <c r="G108" s="212"/>
      <c r="H108" s="213"/>
      <c r="I108" s="213"/>
      <c r="J108" s="214"/>
      <c r="K108" s="494"/>
      <c r="L108" s="494"/>
      <c r="M108" s="215"/>
      <c r="N108" s="215"/>
      <c r="O108" s="215"/>
      <c r="P108" s="216"/>
      <c r="Q108" s="217"/>
      <c r="R108" s="218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65"/>
      <c r="AJ108" s="222"/>
      <c r="AK108" s="222"/>
    </row>
    <row r="109" ht="15.0" customHeight="1">
      <c r="A109" s="279"/>
      <c r="C109" s="212"/>
      <c r="D109" s="212"/>
      <c r="E109" s="212"/>
      <c r="F109" s="212"/>
      <c r="G109" s="212"/>
      <c r="H109" s="213"/>
      <c r="I109" s="213"/>
      <c r="J109" s="214"/>
      <c r="K109" s="494"/>
      <c r="L109" s="494"/>
      <c r="M109" s="215"/>
      <c r="N109" s="215"/>
      <c r="O109" s="215"/>
      <c r="P109" s="216"/>
      <c r="Q109" s="217"/>
      <c r="R109" s="218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65"/>
      <c r="AJ109" s="222"/>
      <c r="AK109" s="222"/>
    </row>
    <row r="110" ht="15.0" customHeight="1">
      <c r="A110" s="279"/>
      <c r="C110" s="212"/>
      <c r="D110" s="212"/>
      <c r="E110" s="212"/>
      <c r="F110" s="212"/>
      <c r="G110" s="212"/>
      <c r="H110" s="213"/>
      <c r="I110" s="213"/>
      <c r="J110" s="214"/>
      <c r="K110" s="494"/>
      <c r="L110" s="494"/>
      <c r="M110" s="215"/>
      <c r="N110" s="215"/>
      <c r="O110" s="215"/>
      <c r="P110" s="216"/>
      <c r="Q110" s="217"/>
      <c r="R110" s="218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65"/>
      <c r="AJ110" s="222"/>
      <c r="AK110" s="222"/>
    </row>
    <row r="111" ht="15.0" customHeight="1">
      <c r="A111" s="279"/>
      <c r="C111" s="212"/>
      <c r="D111" s="212"/>
      <c r="E111" s="212"/>
      <c r="F111" s="212"/>
      <c r="G111" s="212"/>
      <c r="H111" s="213"/>
      <c r="I111" s="213"/>
      <c r="J111" s="214"/>
      <c r="K111" s="494"/>
      <c r="L111" s="494"/>
      <c r="M111" s="215"/>
      <c r="N111" s="215"/>
      <c r="O111" s="215"/>
      <c r="P111" s="216"/>
      <c r="Q111" s="217"/>
      <c r="R111" s="218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65"/>
      <c r="AJ111" s="222"/>
      <c r="AK111" s="222"/>
    </row>
    <row r="112" ht="15.0" customHeight="1">
      <c r="A112" s="279"/>
      <c r="C112" s="212"/>
      <c r="D112" s="212"/>
      <c r="E112" s="212"/>
      <c r="F112" s="212"/>
      <c r="G112" s="212"/>
      <c r="H112" s="213"/>
      <c r="I112" s="213"/>
      <c r="J112" s="214"/>
      <c r="K112" s="494"/>
      <c r="L112" s="494"/>
      <c r="M112" s="215"/>
      <c r="N112" s="215"/>
      <c r="O112" s="215"/>
      <c r="P112" s="216"/>
      <c r="Q112" s="217"/>
      <c r="R112" s="218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65"/>
      <c r="AJ112" s="222"/>
      <c r="AK112" s="222"/>
    </row>
    <row r="113" ht="15.0" customHeight="1">
      <c r="A113" s="279"/>
      <c r="C113" s="212"/>
      <c r="D113" s="212"/>
      <c r="E113" s="212"/>
      <c r="F113" s="212"/>
      <c r="G113" s="212"/>
      <c r="H113" s="213"/>
      <c r="I113" s="213"/>
      <c r="J113" s="214"/>
      <c r="K113" s="494"/>
      <c r="L113" s="494"/>
      <c r="M113" s="215"/>
      <c r="N113" s="215"/>
      <c r="O113" s="215"/>
      <c r="P113" s="216"/>
      <c r="Q113" s="217"/>
      <c r="R113" s="218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65"/>
      <c r="AJ113" s="222"/>
      <c r="AK113" s="222"/>
    </row>
    <row r="114" ht="15.0" customHeight="1">
      <c r="A114" s="279"/>
      <c r="C114" s="212"/>
      <c r="D114" s="212"/>
      <c r="E114" s="212"/>
      <c r="F114" s="212"/>
      <c r="G114" s="212"/>
      <c r="H114" s="213"/>
      <c r="I114" s="213"/>
      <c r="J114" s="214"/>
      <c r="K114" s="494"/>
      <c r="L114" s="494"/>
      <c r="M114" s="215"/>
      <c r="N114" s="215"/>
      <c r="O114" s="215"/>
      <c r="P114" s="216"/>
      <c r="Q114" s="217"/>
      <c r="R114" s="218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65"/>
      <c r="AJ114" s="222"/>
      <c r="AK114" s="222"/>
    </row>
    <row r="115" ht="15.0" customHeight="1">
      <c r="A115" s="279"/>
      <c r="C115" s="212"/>
      <c r="D115" s="212"/>
      <c r="E115" s="212"/>
      <c r="F115" s="212"/>
      <c r="G115" s="212"/>
      <c r="H115" s="213"/>
      <c r="I115" s="213"/>
      <c r="J115" s="214"/>
      <c r="K115" s="494"/>
      <c r="L115" s="494"/>
      <c r="M115" s="215"/>
      <c r="N115" s="215"/>
      <c r="O115" s="215"/>
      <c r="P115" s="216"/>
      <c r="Q115" s="217"/>
      <c r="R115" s="218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65"/>
      <c r="AJ115" s="222"/>
      <c r="AK115" s="222"/>
    </row>
    <row r="116" ht="15.0" customHeight="1">
      <c r="A116" s="279"/>
      <c r="C116" s="212"/>
      <c r="D116" s="212"/>
      <c r="E116" s="212"/>
      <c r="F116" s="212"/>
      <c r="G116" s="212"/>
      <c r="H116" s="213"/>
      <c r="I116" s="213"/>
      <c r="J116" s="214"/>
      <c r="K116" s="494"/>
      <c r="L116" s="494"/>
      <c r="M116" s="215"/>
      <c r="N116" s="215"/>
      <c r="O116" s="215"/>
      <c r="P116" s="216"/>
      <c r="Q116" s="217"/>
      <c r="R116" s="218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65"/>
      <c r="AJ116" s="222"/>
      <c r="AK116" s="222"/>
    </row>
    <row r="117" ht="15.0" customHeight="1">
      <c r="A117" s="279"/>
      <c r="C117" s="212"/>
      <c r="D117" s="212"/>
      <c r="E117" s="212"/>
      <c r="F117" s="212"/>
      <c r="G117" s="212"/>
      <c r="H117" s="213"/>
      <c r="I117" s="213"/>
      <c r="J117" s="214"/>
      <c r="K117" s="494"/>
      <c r="L117" s="494"/>
      <c r="M117" s="215"/>
      <c r="N117" s="215"/>
      <c r="O117" s="215"/>
      <c r="P117" s="216"/>
      <c r="Q117" s="217"/>
      <c r="R117" s="218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65"/>
      <c r="AJ117" s="222"/>
      <c r="AK117" s="222"/>
    </row>
    <row r="118" ht="15.0" customHeight="1">
      <c r="A118" s="279"/>
      <c r="C118" s="212"/>
      <c r="D118" s="212"/>
      <c r="E118" s="212"/>
      <c r="F118" s="212"/>
      <c r="G118" s="212"/>
      <c r="H118" s="213"/>
      <c r="I118" s="213"/>
      <c r="J118" s="214"/>
      <c r="K118" s="494"/>
      <c r="L118" s="494"/>
      <c r="M118" s="215"/>
      <c r="N118" s="215"/>
      <c r="O118" s="215"/>
      <c r="P118" s="216"/>
      <c r="Q118" s="217"/>
      <c r="R118" s="218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65"/>
      <c r="AJ118" s="222"/>
      <c r="AK118" s="222"/>
    </row>
    <row r="119" ht="15.0" customHeight="1">
      <c r="A119" s="279"/>
      <c r="C119" s="212"/>
      <c r="D119" s="212"/>
      <c r="E119" s="212"/>
      <c r="F119" s="212"/>
      <c r="G119" s="212"/>
      <c r="H119" s="213"/>
      <c r="I119" s="213"/>
      <c r="J119" s="214"/>
      <c r="K119" s="494"/>
      <c r="L119" s="494"/>
      <c r="M119" s="215"/>
      <c r="N119" s="215"/>
      <c r="O119" s="215"/>
      <c r="P119" s="216"/>
      <c r="Q119" s="217"/>
      <c r="R119" s="218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65"/>
      <c r="AJ119" s="222"/>
      <c r="AK119" s="222"/>
    </row>
    <row r="120" ht="15.0" customHeight="1">
      <c r="A120" s="279"/>
      <c r="C120" s="212"/>
      <c r="D120" s="212"/>
      <c r="E120" s="212"/>
      <c r="F120" s="212"/>
      <c r="G120" s="212"/>
      <c r="H120" s="213"/>
      <c r="I120" s="213"/>
      <c r="J120" s="214"/>
      <c r="K120" s="494"/>
      <c r="L120" s="494"/>
      <c r="M120" s="215"/>
      <c r="N120" s="215"/>
      <c r="O120" s="215"/>
      <c r="P120" s="216"/>
      <c r="Q120" s="217"/>
      <c r="R120" s="218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65"/>
      <c r="AJ120" s="222"/>
      <c r="AK120" s="222"/>
    </row>
    <row r="121" ht="15.0" customHeight="1">
      <c r="A121" s="279"/>
      <c r="C121" s="212"/>
      <c r="D121" s="212"/>
      <c r="E121" s="212"/>
      <c r="F121" s="212"/>
      <c r="G121" s="212"/>
      <c r="H121" s="213"/>
      <c r="I121" s="213"/>
      <c r="J121" s="214"/>
      <c r="K121" s="494"/>
      <c r="L121" s="494"/>
      <c r="M121" s="215"/>
      <c r="N121" s="215"/>
      <c r="O121" s="215"/>
      <c r="P121" s="216"/>
      <c r="Q121" s="217"/>
      <c r="R121" s="218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65"/>
      <c r="AJ121" s="222"/>
      <c r="AK121" s="222"/>
    </row>
    <row r="122" ht="15.0" customHeight="1">
      <c r="A122" s="279"/>
      <c r="C122" s="212"/>
      <c r="D122" s="212"/>
      <c r="E122" s="212"/>
      <c r="F122" s="212"/>
      <c r="G122" s="212"/>
      <c r="H122" s="213"/>
      <c r="I122" s="213"/>
      <c r="J122" s="214"/>
      <c r="K122" s="494"/>
      <c r="L122" s="494"/>
      <c r="M122" s="215"/>
      <c r="N122" s="215"/>
      <c r="O122" s="215"/>
      <c r="P122" s="216"/>
      <c r="Q122" s="217"/>
      <c r="R122" s="218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65"/>
      <c r="AJ122" s="222"/>
      <c r="AK122" s="222"/>
    </row>
    <row r="123" ht="15.0" customHeight="1">
      <c r="A123" s="279"/>
      <c r="C123" s="212"/>
      <c r="D123" s="212"/>
      <c r="E123" s="212"/>
      <c r="F123" s="212"/>
      <c r="G123" s="212"/>
      <c r="H123" s="213"/>
      <c r="I123" s="213"/>
      <c r="J123" s="214"/>
      <c r="K123" s="494"/>
      <c r="L123" s="494"/>
      <c r="M123" s="215"/>
      <c r="N123" s="215"/>
      <c r="O123" s="215"/>
      <c r="P123" s="216"/>
      <c r="Q123" s="217"/>
      <c r="R123" s="218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65"/>
      <c r="AJ123" s="222"/>
      <c r="AK123" s="222"/>
    </row>
    <row r="124" ht="15.0" customHeight="1">
      <c r="A124" s="279"/>
      <c r="C124" s="212"/>
      <c r="D124" s="212"/>
      <c r="E124" s="212"/>
      <c r="F124" s="212"/>
      <c r="G124" s="212"/>
      <c r="H124" s="213"/>
      <c r="I124" s="213"/>
      <c r="J124" s="214"/>
      <c r="K124" s="494"/>
      <c r="L124" s="494"/>
      <c r="M124" s="215"/>
      <c r="N124" s="215"/>
      <c r="O124" s="215"/>
      <c r="P124" s="216"/>
      <c r="Q124" s="217"/>
      <c r="R124" s="218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65"/>
      <c r="AJ124" s="222"/>
      <c r="AK124" s="222"/>
    </row>
    <row r="125" ht="15.0" customHeight="1">
      <c r="A125" s="279"/>
      <c r="C125" s="212"/>
      <c r="D125" s="212"/>
      <c r="E125" s="212"/>
      <c r="F125" s="212"/>
      <c r="G125" s="212"/>
      <c r="H125" s="213"/>
      <c r="I125" s="213"/>
      <c r="J125" s="214"/>
      <c r="K125" s="494"/>
      <c r="L125" s="494"/>
      <c r="M125" s="215"/>
      <c r="N125" s="215"/>
      <c r="O125" s="215"/>
      <c r="P125" s="216"/>
      <c r="Q125" s="217"/>
      <c r="R125" s="218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65"/>
      <c r="AJ125" s="222"/>
      <c r="AK125" s="222"/>
    </row>
    <row r="126" ht="15.0" customHeight="1">
      <c r="A126" s="279"/>
      <c r="C126" s="212"/>
      <c r="D126" s="212"/>
      <c r="E126" s="212"/>
      <c r="F126" s="212"/>
      <c r="G126" s="212"/>
      <c r="H126" s="213"/>
      <c r="I126" s="213"/>
      <c r="J126" s="214"/>
      <c r="K126" s="494"/>
      <c r="L126" s="494"/>
      <c r="M126" s="215"/>
      <c r="N126" s="215"/>
      <c r="O126" s="215"/>
      <c r="P126" s="216"/>
      <c r="Q126" s="217"/>
      <c r="R126" s="218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65"/>
      <c r="AJ126" s="222"/>
      <c r="AK126" s="222"/>
    </row>
    <row r="127" ht="15.0" customHeight="1">
      <c r="A127" s="279"/>
      <c r="C127" s="212"/>
      <c r="D127" s="212"/>
      <c r="E127" s="212"/>
      <c r="F127" s="212"/>
      <c r="G127" s="212"/>
      <c r="H127" s="213"/>
      <c r="I127" s="213"/>
      <c r="J127" s="214"/>
      <c r="K127" s="494"/>
      <c r="L127" s="494"/>
      <c r="M127" s="215"/>
      <c r="N127" s="215"/>
      <c r="O127" s="215"/>
      <c r="P127" s="216"/>
      <c r="Q127" s="217"/>
      <c r="R127" s="218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65"/>
      <c r="AJ127" s="222"/>
      <c r="AK127" s="222"/>
    </row>
    <row r="128" ht="15.0" customHeight="1">
      <c r="A128" s="279"/>
      <c r="C128" s="212"/>
      <c r="D128" s="212"/>
      <c r="E128" s="212"/>
      <c r="F128" s="212"/>
      <c r="G128" s="212"/>
      <c r="H128" s="213"/>
      <c r="I128" s="213"/>
      <c r="J128" s="214"/>
      <c r="K128" s="494"/>
      <c r="L128" s="494"/>
      <c r="M128" s="215"/>
      <c r="N128" s="215"/>
      <c r="O128" s="215"/>
      <c r="P128" s="216"/>
      <c r="Q128" s="217"/>
      <c r="R128" s="218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65"/>
      <c r="AJ128" s="222"/>
      <c r="AK128" s="222"/>
    </row>
    <row r="129" ht="15.0" customHeight="1">
      <c r="A129" s="279"/>
      <c r="C129" s="212"/>
      <c r="D129" s="212"/>
      <c r="E129" s="212"/>
      <c r="F129" s="212"/>
      <c r="G129" s="212"/>
      <c r="H129" s="213"/>
      <c r="I129" s="213"/>
      <c r="J129" s="214"/>
      <c r="K129" s="494"/>
      <c r="L129" s="494"/>
      <c r="M129" s="215"/>
      <c r="N129" s="215"/>
      <c r="O129" s="215"/>
      <c r="P129" s="216"/>
      <c r="Q129" s="217"/>
      <c r="R129" s="218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65"/>
      <c r="AJ129" s="222"/>
      <c r="AK129" s="222"/>
    </row>
    <row r="130" ht="15.0" customHeight="1">
      <c r="A130" s="279"/>
      <c r="C130" s="212"/>
      <c r="D130" s="212"/>
      <c r="E130" s="212"/>
      <c r="F130" s="212"/>
      <c r="G130" s="212"/>
      <c r="H130" s="213"/>
      <c r="I130" s="213"/>
      <c r="J130" s="214"/>
      <c r="K130" s="494"/>
      <c r="L130" s="494"/>
      <c r="M130" s="215"/>
      <c r="N130" s="215"/>
      <c r="O130" s="215"/>
      <c r="P130" s="216"/>
      <c r="Q130" s="217"/>
      <c r="R130" s="218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65"/>
      <c r="AJ130" s="222"/>
      <c r="AK130" s="222"/>
    </row>
    <row r="131" ht="15.0" customHeight="1">
      <c r="A131" s="279"/>
      <c r="C131" s="212"/>
      <c r="D131" s="212"/>
      <c r="E131" s="212"/>
      <c r="F131" s="212"/>
      <c r="G131" s="212"/>
      <c r="H131" s="213"/>
      <c r="I131" s="213"/>
      <c r="J131" s="214"/>
      <c r="K131" s="494"/>
      <c r="L131" s="494"/>
      <c r="M131" s="215"/>
      <c r="N131" s="215"/>
      <c r="O131" s="215"/>
      <c r="P131" s="216"/>
      <c r="Q131" s="217"/>
      <c r="R131" s="218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65"/>
      <c r="AJ131" s="222"/>
      <c r="AK131" s="222"/>
    </row>
    <row r="132" ht="15.0" customHeight="1">
      <c r="A132" s="279"/>
      <c r="C132" s="212"/>
      <c r="D132" s="212"/>
      <c r="E132" s="212"/>
      <c r="F132" s="212"/>
      <c r="G132" s="212"/>
      <c r="H132" s="213"/>
      <c r="I132" s="213"/>
      <c r="J132" s="214"/>
      <c r="K132" s="494"/>
      <c r="L132" s="494"/>
      <c r="M132" s="215"/>
      <c r="N132" s="215"/>
      <c r="O132" s="215"/>
      <c r="P132" s="216"/>
      <c r="Q132" s="217"/>
      <c r="R132" s="218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65"/>
      <c r="AJ132" s="222"/>
      <c r="AK132" s="222"/>
    </row>
    <row r="133" ht="15.0" customHeight="1">
      <c r="A133" s="279"/>
      <c r="C133" s="212"/>
      <c r="D133" s="212"/>
      <c r="E133" s="212"/>
      <c r="F133" s="212"/>
      <c r="G133" s="212"/>
      <c r="H133" s="213"/>
      <c r="I133" s="213"/>
      <c r="J133" s="214"/>
      <c r="K133" s="494"/>
      <c r="L133" s="494"/>
      <c r="M133" s="215"/>
      <c r="N133" s="215"/>
      <c r="O133" s="215"/>
      <c r="P133" s="216"/>
      <c r="Q133" s="217"/>
      <c r="R133" s="218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65"/>
      <c r="AJ133" s="222"/>
      <c r="AK133" s="222"/>
    </row>
    <row r="134" ht="15.0" customHeight="1">
      <c r="A134" s="279"/>
      <c r="C134" s="212"/>
      <c r="D134" s="212"/>
      <c r="E134" s="212"/>
      <c r="F134" s="212"/>
      <c r="G134" s="212"/>
      <c r="H134" s="213"/>
      <c r="I134" s="213"/>
      <c r="J134" s="214"/>
      <c r="K134" s="494"/>
      <c r="L134" s="494"/>
      <c r="M134" s="215"/>
      <c r="N134" s="215"/>
      <c r="O134" s="215"/>
      <c r="P134" s="216"/>
      <c r="Q134" s="217"/>
      <c r="R134" s="218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65"/>
      <c r="AJ134" s="222"/>
      <c r="AK134" s="222"/>
    </row>
    <row r="135" ht="15.0" customHeight="1">
      <c r="A135" s="279"/>
      <c r="C135" s="212"/>
      <c r="D135" s="212"/>
      <c r="E135" s="212"/>
      <c r="F135" s="212"/>
      <c r="G135" s="212"/>
      <c r="H135" s="213"/>
      <c r="I135" s="213"/>
      <c r="J135" s="214"/>
      <c r="K135" s="494"/>
      <c r="L135" s="494"/>
      <c r="M135" s="215"/>
      <c r="N135" s="215"/>
      <c r="O135" s="215"/>
      <c r="P135" s="216"/>
      <c r="Q135" s="217"/>
      <c r="R135" s="218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65"/>
      <c r="AJ135" s="222"/>
      <c r="AK135" s="222"/>
    </row>
    <row r="136" ht="15.0" customHeight="1">
      <c r="A136" s="279"/>
      <c r="C136" s="212"/>
      <c r="D136" s="212"/>
      <c r="E136" s="212"/>
      <c r="F136" s="212"/>
      <c r="G136" s="212"/>
      <c r="H136" s="213"/>
      <c r="I136" s="213"/>
      <c r="J136" s="214"/>
      <c r="K136" s="494"/>
      <c r="L136" s="494"/>
      <c r="M136" s="215"/>
      <c r="N136" s="215"/>
      <c r="O136" s="215"/>
      <c r="P136" s="216"/>
      <c r="Q136" s="217"/>
      <c r="R136" s="218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65"/>
      <c r="AJ136" s="222"/>
      <c r="AK136" s="222"/>
    </row>
    <row r="137" ht="15.0" customHeight="1">
      <c r="A137" s="279"/>
      <c r="C137" s="212"/>
      <c r="D137" s="212"/>
      <c r="E137" s="212"/>
      <c r="F137" s="212"/>
      <c r="G137" s="212"/>
      <c r="H137" s="213"/>
      <c r="I137" s="213"/>
      <c r="J137" s="214"/>
      <c r="K137" s="494"/>
      <c r="L137" s="494"/>
      <c r="M137" s="215"/>
      <c r="N137" s="215"/>
      <c r="O137" s="215"/>
      <c r="P137" s="216"/>
      <c r="Q137" s="217"/>
      <c r="R137" s="218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65"/>
      <c r="AJ137" s="222"/>
      <c r="AK137" s="222"/>
    </row>
    <row r="138" ht="15.0" customHeight="1">
      <c r="A138" s="279"/>
      <c r="C138" s="212"/>
      <c r="D138" s="212"/>
      <c r="E138" s="212"/>
      <c r="F138" s="212"/>
      <c r="G138" s="212"/>
      <c r="H138" s="213"/>
      <c r="I138" s="213"/>
      <c r="J138" s="214"/>
      <c r="K138" s="494"/>
      <c r="L138" s="494"/>
      <c r="M138" s="215"/>
      <c r="N138" s="215"/>
      <c r="O138" s="215"/>
      <c r="P138" s="216"/>
      <c r="Q138" s="217"/>
      <c r="R138" s="218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65"/>
      <c r="AJ138" s="222"/>
      <c r="AK138" s="222"/>
    </row>
    <row r="139" ht="15.0" customHeight="1">
      <c r="A139" s="279"/>
      <c r="C139" s="212"/>
      <c r="D139" s="212"/>
      <c r="E139" s="212"/>
      <c r="F139" s="212"/>
      <c r="G139" s="212"/>
      <c r="H139" s="213"/>
      <c r="I139" s="213"/>
      <c r="J139" s="214"/>
      <c r="K139" s="494"/>
      <c r="L139" s="494"/>
      <c r="M139" s="215"/>
      <c r="N139" s="215"/>
      <c r="O139" s="215"/>
      <c r="P139" s="216"/>
      <c r="Q139" s="217"/>
      <c r="R139" s="218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65"/>
      <c r="AJ139" s="222"/>
      <c r="AK139" s="222"/>
    </row>
    <row r="140" ht="15.0" customHeight="1">
      <c r="A140" s="279"/>
      <c r="C140" s="212"/>
      <c r="D140" s="212"/>
      <c r="E140" s="212"/>
      <c r="F140" s="212"/>
      <c r="G140" s="212"/>
      <c r="H140" s="213"/>
      <c r="I140" s="213"/>
      <c r="J140" s="214"/>
      <c r="K140" s="494"/>
      <c r="L140" s="494"/>
      <c r="M140" s="215"/>
      <c r="N140" s="215"/>
      <c r="O140" s="215"/>
      <c r="P140" s="216"/>
      <c r="Q140" s="217"/>
      <c r="R140" s="218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65"/>
      <c r="AJ140" s="222"/>
      <c r="AK140" s="222"/>
    </row>
    <row r="141" ht="15.0" customHeight="1">
      <c r="A141" s="279"/>
      <c r="C141" s="212"/>
      <c r="D141" s="212"/>
      <c r="E141" s="212"/>
      <c r="F141" s="212"/>
      <c r="G141" s="212"/>
      <c r="H141" s="213"/>
      <c r="I141" s="213"/>
      <c r="J141" s="214"/>
      <c r="K141" s="494"/>
      <c r="L141" s="494"/>
      <c r="M141" s="215"/>
      <c r="N141" s="215"/>
      <c r="O141" s="215"/>
      <c r="P141" s="216"/>
      <c r="Q141" s="217"/>
      <c r="R141" s="218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65"/>
      <c r="AJ141" s="222"/>
      <c r="AK141" s="222"/>
    </row>
    <row r="142" ht="15.0" customHeight="1">
      <c r="A142" s="279"/>
      <c r="C142" s="212"/>
      <c r="D142" s="212"/>
      <c r="E142" s="212"/>
      <c r="F142" s="212"/>
      <c r="G142" s="212"/>
      <c r="H142" s="213"/>
      <c r="I142" s="213"/>
      <c r="J142" s="214"/>
      <c r="K142" s="494"/>
      <c r="L142" s="494"/>
      <c r="M142" s="215"/>
      <c r="N142" s="215"/>
      <c r="O142" s="215"/>
      <c r="P142" s="216"/>
      <c r="Q142" s="217"/>
      <c r="R142" s="218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65"/>
      <c r="AJ142" s="222"/>
      <c r="AK142" s="222"/>
    </row>
    <row r="143" ht="15.0" customHeight="1">
      <c r="A143" s="279"/>
      <c r="C143" s="212"/>
      <c r="D143" s="212"/>
      <c r="E143" s="212"/>
      <c r="F143" s="212"/>
      <c r="G143" s="212"/>
      <c r="H143" s="213"/>
      <c r="I143" s="213"/>
      <c r="J143" s="214"/>
      <c r="K143" s="494"/>
      <c r="L143" s="494"/>
      <c r="M143" s="215"/>
      <c r="N143" s="215"/>
      <c r="O143" s="215"/>
      <c r="P143" s="216"/>
      <c r="Q143" s="217"/>
      <c r="R143" s="218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65"/>
      <c r="AJ143" s="222"/>
      <c r="AK143" s="222"/>
    </row>
    <row r="144" ht="15.0" customHeight="1">
      <c r="A144" s="279"/>
      <c r="C144" s="212"/>
      <c r="D144" s="212"/>
      <c r="E144" s="212"/>
      <c r="F144" s="212"/>
      <c r="G144" s="212"/>
      <c r="H144" s="213"/>
      <c r="I144" s="213"/>
      <c r="J144" s="214"/>
      <c r="K144" s="494"/>
      <c r="L144" s="494"/>
      <c r="M144" s="215"/>
      <c r="N144" s="215"/>
      <c r="O144" s="215"/>
      <c r="P144" s="216"/>
      <c r="Q144" s="217"/>
      <c r="R144" s="218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65"/>
      <c r="AJ144" s="222"/>
      <c r="AK144" s="222"/>
    </row>
    <row r="145" ht="15.0" customHeight="1">
      <c r="A145" s="279"/>
      <c r="C145" s="212"/>
      <c r="D145" s="212"/>
      <c r="E145" s="212"/>
      <c r="F145" s="212"/>
      <c r="G145" s="212"/>
      <c r="H145" s="213"/>
      <c r="I145" s="213"/>
      <c r="J145" s="214"/>
      <c r="K145" s="494"/>
      <c r="L145" s="494"/>
      <c r="M145" s="215"/>
      <c r="N145" s="215"/>
      <c r="O145" s="215"/>
      <c r="P145" s="216"/>
      <c r="Q145" s="217"/>
      <c r="R145" s="218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65"/>
      <c r="AJ145" s="222"/>
      <c r="AK145" s="222"/>
    </row>
    <row r="146" ht="15.0" customHeight="1">
      <c r="A146" s="279"/>
      <c r="C146" s="212"/>
      <c r="D146" s="212"/>
      <c r="E146" s="212"/>
      <c r="F146" s="212"/>
      <c r="G146" s="212"/>
      <c r="H146" s="213"/>
      <c r="I146" s="213"/>
      <c r="J146" s="214"/>
      <c r="K146" s="494"/>
      <c r="L146" s="494"/>
      <c r="M146" s="215"/>
      <c r="N146" s="215"/>
      <c r="O146" s="215"/>
      <c r="P146" s="216"/>
      <c r="Q146" s="217"/>
      <c r="R146" s="218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65"/>
      <c r="AJ146" s="222"/>
      <c r="AK146" s="222"/>
    </row>
    <row r="147" ht="15.0" customHeight="1">
      <c r="A147" s="279"/>
      <c r="C147" s="212"/>
      <c r="D147" s="212"/>
      <c r="E147" s="212"/>
      <c r="F147" s="212"/>
      <c r="G147" s="212"/>
      <c r="H147" s="213"/>
      <c r="I147" s="213"/>
      <c r="J147" s="214"/>
      <c r="K147" s="494"/>
      <c r="L147" s="494"/>
      <c r="M147" s="215"/>
      <c r="N147" s="215"/>
      <c r="O147" s="215"/>
      <c r="P147" s="216"/>
      <c r="Q147" s="217"/>
      <c r="R147" s="218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65"/>
      <c r="AJ147" s="222"/>
      <c r="AK147" s="222"/>
    </row>
    <row r="148" ht="15.0" customHeight="1">
      <c r="A148" s="279"/>
      <c r="C148" s="212"/>
      <c r="D148" s="212"/>
      <c r="E148" s="212"/>
      <c r="F148" s="212"/>
      <c r="G148" s="212"/>
      <c r="H148" s="213"/>
      <c r="I148" s="213"/>
      <c r="J148" s="214"/>
      <c r="K148" s="494"/>
      <c r="L148" s="494"/>
      <c r="M148" s="215"/>
      <c r="N148" s="215"/>
      <c r="O148" s="215"/>
      <c r="P148" s="216"/>
      <c r="Q148" s="217"/>
      <c r="R148" s="218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65"/>
      <c r="AJ148" s="222"/>
      <c r="AK148" s="222"/>
    </row>
    <row r="149" ht="15.0" customHeight="1">
      <c r="A149" s="279"/>
      <c r="C149" s="212"/>
      <c r="D149" s="212"/>
      <c r="E149" s="212"/>
      <c r="F149" s="212"/>
      <c r="G149" s="212"/>
      <c r="H149" s="213"/>
      <c r="I149" s="213"/>
      <c r="J149" s="214"/>
      <c r="K149" s="494"/>
      <c r="L149" s="494"/>
      <c r="M149" s="215"/>
      <c r="N149" s="215"/>
      <c r="O149" s="215"/>
      <c r="P149" s="216"/>
      <c r="Q149" s="217"/>
      <c r="R149" s="218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65"/>
      <c r="AJ149" s="222"/>
      <c r="AK149" s="222"/>
    </row>
    <row r="150" ht="15.0" customHeight="1">
      <c r="A150" s="279"/>
      <c r="C150" s="212"/>
      <c r="D150" s="212"/>
      <c r="E150" s="212"/>
      <c r="F150" s="212"/>
      <c r="G150" s="212"/>
      <c r="H150" s="213"/>
      <c r="I150" s="213"/>
      <c r="J150" s="214"/>
      <c r="K150" s="494"/>
      <c r="L150" s="494"/>
      <c r="M150" s="215"/>
      <c r="N150" s="215"/>
      <c r="O150" s="215"/>
      <c r="P150" s="216"/>
      <c r="Q150" s="217"/>
      <c r="R150" s="218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65"/>
      <c r="AJ150" s="222"/>
      <c r="AK150" s="222"/>
    </row>
    <row r="151" ht="15.0" customHeight="1">
      <c r="A151" s="279"/>
      <c r="C151" s="212"/>
      <c r="D151" s="212"/>
      <c r="E151" s="212"/>
      <c r="F151" s="212"/>
      <c r="G151" s="212"/>
      <c r="H151" s="213"/>
      <c r="I151" s="213"/>
      <c r="J151" s="214"/>
      <c r="K151" s="494"/>
      <c r="L151" s="494"/>
      <c r="M151" s="215"/>
      <c r="N151" s="215"/>
      <c r="O151" s="215"/>
      <c r="P151" s="216"/>
      <c r="Q151" s="217"/>
      <c r="R151" s="218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65"/>
      <c r="AJ151" s="222"/>
      <c r="AK151" s="222"/>
    </row>
    <row r="152" ht="15.0" customHeight="1">
      <c r="A152" s="279"/>
      <c r="C152" s="212"/>
      <c r="D152" s="212"/>
      <c r="E152" s="212"/>
      <c r="F152" s="212"/>
      <c r="G152" s="212"/>
      <c r="H152" s="213"/>
      <c r="I152" s="213"/>
      <c r="J152" s="214"/>
      <c r="K152" s="494"/>
      <c r="L152" s="494"/>
      <c r="M152" s="215"/>
      <c r="N152" s="215"/>
      <c r="O152" s="215"/>
      <c r="P152" s="216"/>
      <c r="Q152" s="217"/>
      <c r="R152" s="218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65"/>
      <c r="AJ152" s="222"/>
      <c r="AK152" s="222"/>
    </row>
    <row r="153" ht="15.0" customHeight="1">
      <c r="A153" s="279"/>
      <c r="C153" s="212"/>
      <c r="D153" s="212"/>
      <c r="E153" s="212"/>
      <c r="F153" s="212"/>
      <c r="G153" s="212"/>
      <c r="H153" s="213"/>
      <c r="I153" s="213"/>
      <c r="J153" s="214"/>
      <c r="K153" s="494"/>
      <c r="L153" s="494"/>
      <c r="M153" s="215"/>
      <c r="N153" s="215"/>
      <c r="O153" s="215"/>
      <c r="P153" s="216"/>
      <c r="Q153" s="217"/>
      <c r="R153" s="218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65"/>
      <c r="AJ153" s="222"/>
      <c r="AK153" s="222"/>
    </row>
    <row r="154" ht="15.0" customHeight="1">
      <c r="A154" s="279"/>
      <c r="C154" s="212"/>
      <c r="D154" s="212"/>
      <c r="E154" s="212"/>
      <c r="F154" s="212"/>
      <c r="G154" s="212"/>
      <c r="H154" s="213"/>
      <c r="I154" s="213"/>
      <c r="J154" s="214"/>
      <c r="K154" s="494"/>
      <c r="L154" s="494"/>
      <c r="M154" s="215"/>
      <c r="N154" s="215"/>
      <c r="O154" s="215"/>
      <c r="P154" s="216"/>
      <c r="Q154" s="217"/>
      <c r="R154" s="218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65"/>
      <c r="AJ154" s="222"/>
      <c r="AK154" s="222"/>
    </row>
    <row r="155" ht="15.0" customHeight="1">
      <c r="A155" s="279"/>
      <c r="C155" s="212"/>
      <c r="D155" s="212"/>
      <c r="E155" s="212"/>
      <c r="F155" s="212"/>
      <c r="G155" s="212"/>
      <c r="H155" s="213"/>
      <c r="I155" s="213"/>
      <c r="J155" s="214"/>
      <c r="K155" s="494"/>
      <c r="L155" s="494"/>
      <c r="M155" s="215"/>
      <c r="N155" s="215"/>
      <c r="O155" s="215"/>
      <c r="P155" s="216"/>
      <c r="Q155" s="217"/>
      <c r="R155" s="218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65"/>
      <c r="AJ155" s="222"/>
      <c r="AK155" s="222"/>
    </row>
    <row r="156" ht="15.0" customHeight="1">
      <c r="A156" s="279"/>
      <c r="C156" s="212"/>
      <c r="D156" s="212"/>
      <c r="E156" s="212"/>
      <c r="F156" s="212"/>
      <c r="G156" s="212"/>
      <c r="H156" s="213"/>
      <c r="I156" s="213"/>
      <c r="J156" s="214"/>
      <c r="K156" s="494"/>
      <c r="L156" s="494"/>
      <c r="M156" s="215"/>
      <c r="N156" s="215"/>
      <c r="O156" s="215"/>
      <c r="P156" s="216"/>
      <c r="Q156" s="217"/>
      <c r="R156" s="218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65"/>
      <c r="AJ156" s="222"/>
      <c r="AK156" s="222"/>
    </row>
    <row r="157" ht="15.0" customHeight="1">
      <c r="A157" s="279"/>
      <c r="C157" s="212"/>
      <c r="D157" s="212"/>
      <c r="E157" s="212"/>
      <c r="F157" s="212"/>
      <c r="G157" s="212"/>
      <c r="H157" s="213"/>
      <c r="I157" s="213"/>
      <c r="J157" s="214"/>
      <c r="K157" s="494"/>
      <c r="L157" s="494"/>
      <c r="M157" s="215"/>
      <c r="N157" s="215"/>
      <c r="O157" s="215"/>
      <c r="P157" s="216"/>
      <c r="Q157" s="217"/>
      <c r="R157" s="218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65"/>
      <c r="AJ157" s="222"/>
      <c r="AK157" s="222"/>
    </row>
    <row r="158" ht="15.0" customHeight="1">
      <c r="A158" s="279"/>
      <c r="C158" s="212"/>
      <c r="D158" s="212"/>
      <c r="E158" s="212"/>
      <c r="F158" s="212"/>
      <c r="G158" s="212"/>
      <c r="H158" s="213"/>
      <c r="I158" s="213"/>
      <c r="J158" s="214"/>
      <c r="K158" s="494"/>
      <c r="L158" s="494"/>
      <c r="M158" s="215"/>
      <c r="N158" s="215"/>
      <c r="O158" s="215"/>
      <c r="P158" s="216"/>
      <c r="Q158" s="217"/>
      <c r="R158" s="218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65"/>
      <c r="AJ158" s="222"/>
      <c r="AK158" s="222"/>
    </row>
    <row r="159" ht="15.0" customHeight="1">
      <c r="A159" s="279"/>
      <c r="C159" s="212"/>
      <c r="D159" s="212"/>
      <c r="E159" s="212"/>
      <c r="F159" s="212"/>
      <c r="G159" s="212"/>
      <c r="H159" s="213"/>
      <c r="I159" s="213"/>
      <c r="J159" s="214"/>
      <c r="K159" s="494"/>
      <c r="L159" s="494"/>
      <c r="M159" s="215"/>
      <c r="N159" s="215"/>
      <c r="O159" s="215"/>
      <c r="P159" s="216"/>
      <c r="Q159" s="217"/>
      <c r="R159" s="218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65"/>
      <c r="AJ159" s="222"/>
      <c r="AK159" s="222"/>
    </row>
    <row r="160" ht="15.0" customHeight="1">
      <c r="A160" s="279"/>
      <c r="C160" s="212"/>
      <c r="D160" s="212"/>
      <c r="E160" s="212"/>
      <c r="F160" s="212"/>
      <c r="G160" s="212"/>
      <c r="H160" s="213"/>
      <c r="I160" s="213"/>
      <c r="J160" s="214"/>
      <c r="K160" s="494"/>
      <c r="L160" s="494"/>
      <c r="M160" s="215"/>
      <c r="N160" s="215"/>
      <c r="O160" s="215"/>
      <c r="P160" s="216"/>
      <c r="Q160" s="217"/>
      <c r="R160" s="218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65"/>
      <c r="AJ160" s="222"/>
      <c r="AK160" s="222"/>
    </row>
    <row r="161" ht="15.0" customHeight="1">
      <c r="A161" s="279"/>
      <c r="C161" s="212"/>
      <c r="D161" s="212"/>
      <c r="E161" s="212"/>
      <c r="F161" s="212"/>
      <c r="G161" s="212"/>
      <c r="H161" s="213"/>
      <c r="I161" s="213"/>
      <c r="J161" s="214"/>
      <c r="K161" s="494"/>
      <c r="L161" s="494"/>
      <c r="M161" s="215"/>
      <c r="N161" s="215"/>
      <c r="O161" s="215"/>
      <c r="P161" s="216"/>
      <c r="Q161" s="217"/>
      <c r="R161" s="218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65"/>
      <c r="AJ161" s="222"/>
      <c r="AK161" s="222"/>
    </row>
    <row r="162" ht="15.0" customHeight="1">
      <c r="A162" s="279"/>
      <c r="C162" s="212"/>
      <c r="D162" s="212"/>
      <c r="E162" s="212"/>
      <c r="F162" s="212"/>
      <c r="G162" s="212"/>
      <c r="H162" s="213"/>
      <c r="I162" s="213"/>
      <c r="J162" s="214"/>
      <c r="K162" s="494"/>
      <c r="L162" s="494"/>
      <c r="M162" s="215"/>
      <c r="N162" s="215"/>
      <c r="O162" s="215"/>
      <c r="P162" s="216"/>
      <c r="Q162" s="217"/>
      <c r="R162" s="218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65"/>
      <c r="AJ162" s="222"/>
      <c r="AK162" s="222"/>
    </row>
    <row r="163" ht="15.0" customHeight="1">
      <c r="A163" s="279"/>
      <c r="C163" s="212"/>
      <c r="D163" s="212"/>
      <c r="E163" s="212"/>
      <c r="F163" s="212"/>
      <c r="G163" s="212"/>
      <c r="H163" s="213"/>
      <c r="I163" s="213"/>
      <c r="J163" s="214"/>
      <c r="K163" s="494"/>
      <c r="L163" s="494"/>
      <c r="M163" s="215"/>
      <c r="N163" s="215"/>
      <c r="O163" s="215"/>
      <c r="P163" s="216"/>
      <c r="Q163" s="217"/>
      <c r="R163" s="218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65"/>
      <c r="AJ163" s="222"/>
      <c r="AK163" s="222"/>
    </row>
    <row r="164" ht="15.0" customHeight="1">
      <c r="A164" s="279"/>
      <c r="C164" s="212"/>
      <c r="D164" s="212"/>
      <c r="E164" s="212"/>
      <c r="F164" s="212"/>
      <c r="G164" s="212"/>
      <c r="H164" s="213"/>
      <c r="I164" s="213"/>
      <c r="J164" s="214"/>
      <c r="K164" s="494"/>
      <c r="L164" s="494"/>
      <c r="M164" s="215"/>
      <c r="N164" s="215"/>
      <c r="O164" s="215"/>
      <c r="P164" s="216"/>
      <c r="Q164" s="217"/>
      <c r="R164" s="218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65"/>
      <c r="AJ164" s="222"/>
      <c r="AK164" s="222"/>
    </row>
    <row r="165" ht="15.0" customHeight="1">
      <c r="A165" s="279"/>
      <c r="C165" s="212"/>
      <c r="D165" s="212"/>
      <c r="E165" s="212"/>
      <c r="F165" s="212"/>
      <c r="G165" s="212"/>
      <c r="H165" s="213"/>
      <c r="I165" s="213"/>
      <c r="J165" s="214"/>
      <c r="K165" s="494"/>
      <c r="L165" s="494"/>
      <c r="M165" s="215"/>
      <c r="N165" s="215"/>
      <c r="O165" s="215"/>
      <c r="P165" s="216"/>
      <c r="Q165" s="217"/>
      <c r="R165" s="218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65"/>
      <c r="AJ165" s="222"/>
      <c r="AK165" s="222"/>
    </row>
    <row r="166" ht="15.0" customHeight="1">
      <c r="A166" s="279"/>
      <c r="C166" s="212"/>
      <c r="D166" s="212"/>
      <c r="E166" s="212"/>
      <c r="F166" s="212"/>
      <c r="G166" s="212"/>
      <c r="H166" s="213"/>
      <c r="I166" s="213"/>
      <c r="J166" s="214"/>
      <c r="K166" s="494"/>
      <c r="L166" s="494"/>
      <c r="M166" s="215"/>
      <c r="N166" s="215"/>
      <c r="O166" s="215"/>
      <c r="P166" s="216"/>
      <c r="Q166" s="217"/>
      <c r="R166" s="218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65"/>
      <c r="AJ166" s="222"/>
      <c r="AK166" s="222"/>
    </row>
    <row r="167" ht="15.0" customHeight="1">
      <c r="A167" s="279"/>
      <c r="C167" s="212"/>
      <c r="D167" s="212"/>
      <c r="E167" s="212"/>
      <c r="F167" s="212"/>
      <c r="G167" s="212"/>
      <c r="H167" s="213"/>
      <c r="I167" s="213"/>
      <c r="J167" s="214"/>
      <c r="K167" s="494"/>
      <c r="L167" s="494"/>
      <c r="M167" s="215"/>
      <c r="N167" s="215"/>
      <c r="O167" s="215"/>
      <c r="P167" s="216"/>
      <c r="Q167" s="217"/>
      <c r="R167" s="218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65"/>
      <c r="AJ167" s="222"/>
      <c r="AK167" s="222"/>
    </row>
    <row r="168" ht="15.0" customHeight="1">
      <c r="A168" s="279"/>
      <c r="C168" s="212"/>
      <c r="D168" s="212"/>
      <c r="E168" s="212"/>
      <c r="F168" s="212"/>
      <c r="G168" s="212"/>
      <c r="H168" s="213"/>
      <c r="I168" s="213"/>
      <c r="J168" s="214"/>
      <c r="K168" s="494"/>
      <c r="L168" s="494"/>
      <c r="M168" s="215"/>
      <c r="N168" s="215"/>
      <c r="O168" s="215"/>
      <c r="P168" s="216"/>
      <c r="Q168" s="217"/>
      <c r="R168" s="218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65"/>
      <c r="AJ168" s="222"/>
      <c r="AK168" s="222"/>
    </row>
    <row r="169" ht="15.0" customHeight="1">
      <c r="A169" s="279"/>
      <c r="C169" s="212"/>
      <c r="D169" s="212"/>
      <c r="E169" s="212"/>
      <c r="F169" s="212"/>
      <c r="G169" s="212"/>
      <c r="H169" s="213"/>
      <c r="I169" s="213"/>
      <c r="J169" s="214"/>
      <c r="K169" s="494"/>
      <c r="L169" s="494"/>
      <c r="M169" s="215"/>
      <c r="N169" s="215"/>
      <c r="O169" s="215"/>
      <c r="P169" s="216"/>
      <c r="Q169" s="217"/>
      <c r="R169" s="218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65"/>
      <c r="AJ169" s="222"/>
      <c r="AK169" s="222"/>
    </row>
    <row r="170" ht="15.0" customHeight="1">
      <c r="A170" s="279"/>
      <c r="C170" s="212"/>
      <c r="D170" s="212"/>
      <c r="E170" s="212"/>
      <c r="F170" s="212"/>
      <c r="G170" s="212"/>
      <c r="H170" s="213"/>
      <c r="I170" s="213"/>
      <c r="J170" s="214"/>
      <c r="K170" s="494"/>
      <c r="L170" s="494"/>
      <c r="M170" s="215"/>
      <c r="N170" s="215"/>
      <c r="O170" s="215"/>
      <c r="P170" s="216"/>
      <c r="Q170" s="217"/>
      <c r="R170" s="218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65"/>
      <c r="AJ170" s="222"/>
      <c r="AK170" s="222"/>
    </row>
    <row r="171" ht="15.0" customHeight="1">
      <c r="A171" s="279"/>
      <c r="C171" s="212"/>
      <c r="D171" s="212"/>
      <c r="E171" s="212"/>
      <c r="F171" s="212"/>
      <c r="G171" s="212"/>
      <c r="H171" s="213"/>
      <c r="I171" s="213"/>
      <c r="J171" s="214"/>
      <c r="K171" s="494"/>
      <c r="L171" s="494"/>
      <c r="M171" s="215"/>
      <c r="N171" s="215"/>
      <c r="O171" s="215"/>
      <c r="P171" s="216"/>
      <c r="Q171" s="217"/>
      <c r="R171" s="218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65"/>
      <c r="AJ171" s="222"/>
      <c r="AK171" s="222"/>
    </row>
    <row r="172" ht="15.0" customHeight="1">
      <c r="A172" s="279"/>
      <c r="C172" s="212"/>
      <c r="D172" s="212"/>
      <c r="E172" s="212"/>
      <c r="F172" s="212"/>
      <c r="G172" s="212"/>
      <c r="H172" s="213"/>
      <c r="I172" s="213"/>
      <c r="J172" s="214"/>
      <c r="K172" s="494"/>
      <c r="L172" s="494"/>
      <c r="M172" s="215"/>
      <c r="N172" s="215"/>
      <c r="O172" s="215"/>
      <c r="P172" s="216"/>
      <c r="Q172" s="217"/>
      <c r="R172" s="218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65"/>
      <c r="AJ172" s="222"/>
      <c r="AK172" s="222"/>
    </row>
    <row r="173" ht="15.0" customHeight="1">
      <c r="A173" s="279"/>
      <c r="C173" s="212"/>
      <c r="D173" s="212"/>
      <c r="E173" s="212"/>
      <c r="F173" s="212"/>
      <c r="G173" s="212"/>
      <c r="H173" s="213"/>
      <c r="I173" s="213"/>
      <c r="J173" s="214"/>
      <c r="K173" s="494"/>
      <c r="L173" s="494"/>
      <c r="M173" s="215"/>
      <c r="N173" s="215"/>
      <c r="O173" s="215"/>
      <c r="P173" s="216"/>
      <c r="Q173" s="217"/>
      <c r="R173" s="218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65"/>
      <c r="AJ173" s="222"/>
      <c r="AK173" s="222"/>
    </row>
    <row r="174" ht="15.0" customHeight="1">
      <c r="A174" s="279"/>
      <c r="C174" s="212"/>
      <c r="D174" s="212"/>
      <c r="E174" s="212"/>
      <c r="F174" s="212"/>
      <c r="G174" s="212"/>
      <c r="H174" s="213"/>
      <c r="I174" s="213"/>
      <c r="J174" s="214"/>
      <c r="K174" s="494"/>
      <c r="L174" s="494"/>
      <c r="M174" s="215"/>
      <c r="N174" s="215"/>
      <c r="O174" s="215"/>
      <c r="P174" s="216"/>
      <c r="Q174" s="217"/>
      <c r="R174" s="218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65"/>
      <c r="AJ174" s="222"/>
      <c r="AK174" s="222"/>
    </row>
    <row r="175" ht="15.0" customHeight="1">
      <c r="A175" s="279"/>
      <c r="C175" s="212"/>
      <c r="D175" s="212"/>
      <c r="E175" s="212"/>
      <c r="F175" s="212"/>
      <c r="G175" s="212"/>
      <c r="H175" s="213"/>
      <c r="I175" s="213"/>
      <c r="J175" s="214"/>
      <c r="K175" s="494"/>
      <c r="L175" s="494"/>
      <c r="M175" s="215"/>
      <c r="N175" s="215"/>
      <c r="O175" s="215"/>
      <c r="P175" s="216"/>
      <c r="Q175" s="217"/>
      <c r="R175" s="218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65"/>
      <c r="AJ175" s="222"/>
      <c r="AK175" s="222"/>
    </row>
    <row r="176" ht="15.0" customHeight="1">
      <c r="A176" s="279"/>
      <c r="C176" s="212"/>
      <c r="D176" s="212"/>
      <c r="E176" s="212"/>
      <c r="F176" s="212"/>
      <c r="G176" s="212"/>
      <c r="H176" s="213"/>
      <c r="I176" s="213"/>
      <c r="J176" s="214"/>
      <c r="K176" s="494"/>
      <c r="L176" s="494"/>
      <c r="M176" s="215"/>
      <c r="N176" s="215"/>
      <c r="O176" s="215"/>
      <c r="P176" s="216"/>
      <c r="Q176" s="217"/>
      <c r="R176" s="218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65"/>
      <c r="AJ176" s="222"/>
      <c r="AK176" s="222"/>
    </row>
    <row r="177" ht="15.0" customHeight="1">
      <c r="A177" s="279"/>
      <c r="C177" s="212"/>
      <c r="D177" s="212"/>
      <c r="E177" s="212"/>
      <c r="F177" s="212"/>
      <c r="G177" s="212"/>
      <c r="H177" s="213"/>
      <c r="I177" s="213"/>
      <c r="J177" s="214"/>
      <c r="K177" s="494"/>
      <c r="L177" s="494"/>
      <c r="M177" s="215"/>
      <c r="N177" s="215"/>
      <c r="O177" s="215"/>
      <c r="P177" s="216"/>
      <c r="Q177" s="217"/>
      <c r="R177" s="218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65"/>
      <c r="AJ177" s="222"/>
      <c r="AK177" s="222"/>
    </row>
    <row r="178" ht="15.0" customHeight="1">
      <c r="A178" s="279"/>
      <c r="C178" s="212"/>
      <c r="D178" s="212"/>
      <c r="E178" s="212"/>
      <c r="F178" s="212"/>
      <c r="G178" s="212"/>
      <c r="H178" s="213"/>
      <c r="I178" s="213"/>
      <c r="J178" s="214"/>
      <c r="K178" s="494"/>
      <c r="L178" s="494"/>
      <c r="M178" s="215"/>
      <c r="N178" s="215"/>
      <c r="O178" s="215"/>
      <c r="P178" s="216"/>
      <c r="Q178" s="217"/>
      <c r="R178" s="218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65"/>
      <c r="AJ178" s="222"/>
      <c r="AK178" s="222"/>
    </row>
    <row r="179" ht="15.0" customHeight="1">
      <c r="A179" s="279"/>
      <c r="C179" s="212"/>
      <c r="D179" s="212"/>
      <c r="E179" s="212"/>
      <c r="F179" s="212"/>
      <c r="G179" s="212"/>
      <c r="H179" s="213"/>
      <c r="I179" s="213"/>
      <c r="J179" s="214"/>
      <c r="K179" s="494"/>
      <c r="L179" s="494"/>
      <c r="M179" s="215"/>
      <c r="N179" s="215"/>
      <c r="O179" s="215"/>
      <c r="P179" s="216"/>
      <c r="Q179" s="217"/>
      <c r="R179" s="218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65"/>
      <c r="AJ179" s="222"/>
      <c r="AK179" s="222"/>
    </row>
    <row r="180" ht="15.0" customHeight="1">
      <c r="A180" s="279"/>
      <c r="C180" s="212"/>
      <c r="D180" s="212"/>
      <c r="E180" s="212"/>
      <c r="F180" s="212"/>
      <c r="G180" s="212"/>
      <c r="H180" s="213"/>
      <c r="I180" s="213"/>
      <c r="J180" s="214"/>
      <c r="K180" s="494"/>
      <c r="L180" s="494"/>
      <c r="M180" s="215"/>
      <c r="N180" s="215"/>
      <c r="O180" s="215"/>
      <c r="P180" s="216"/>
      <c r="Q180" s="217"/>
      <c r="R180" s="218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65"/>
      <c r="AJ180" s="222"/>
      <c r="AK180" s="222"/>
    </row>
    <row r="181" ht="15.0" customHeight="1">
      <c r="A181" s="279"/>
      <c r="C181" s="212"/>
      <c r="D181" s="212"/>
      <c r="E181" s="212"/>
      <c r="F181" s="212"/>
      <c r="G181" s="212"/>
      <c r="H181" s="213"/>
      <c r="I181" s="213"/>
      <c r="J181" s="214"/>
      <c r="K181" s="494"/>
      <c r="L181" s="494"/>
      <c r="M181" s="215"/>
      <c r="N181" s="215"/>
      <c r="O181" s="215"/>
      <c r="P181" s="216"/>
      <c r="Q181" s="217"/>
      <c r="R181" s="218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65"/>
      <c r="AJ181" s="222"/>
      <c r="AK181" s="222"/>
    </row>
    <row r="182" ht="15.0" customHeight="1">
      <c r="A182" s="279"/>
      <c r="C182" s="212"/>
      <c r="D182" s="212"/>
      <c r="E182" s="212"/>
      <c r="F182" s="212"/>
      <c r="G182" s="212"/>
      <c r="H182" s="213"/>
      <c r="I182" s="213"/>
      <c r="J182" s="214"/>
      <c r="K182" s="494"/>
      <c r="L182" s="494"/>
      <c r="M182" s="215"/>
      <c r="N182" s="215"/>
      <c r="O182" s="215"/>
      <c r="P182" s="216"/>
      <c r="Q182" s="217"/>
      <c r="R182" s="218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65"/>
      <c r="AJ182" s="222"/>
      <c r="AK182" s="222"/>
    </row>
    <row r="183" ht="15.0" customHeight="1">
      <c r="A183" s="279"/>
      <c r="C183" s="212"/>
      <c r="D183" s="212"/>
      <c r="E183" s="212"/>
      <c r="F183" s="212"/>
      <c r="G183" s="212"/>
      <c r="H183" s="213"/>
      <c r="I183" s="213"/>
      <c r="J183" s="214"/>
      <c r="K183" s="494"/>
      <c r="L183" s="494"/>
      <c r="M183" s="215"/>
      <c r="N183" s="215"/>
      <c r="O183" s="215"/>
      <c r="P183" s="216"/>
      <c r="Q183" s="217"/>
      <c r="R183" s="218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65"/>
      <c r="AJ183" s="222"/>
      <c r="AK183" s="222"/>
    </row>
    <row r="184" ht="15.0" customHeight="1">
      <c r="A184" s="279"/>
      <c r="C184" s="212"/>
      <c r="D184" s="212"/>
      <c r="E184" s="212"/>
      <c r="F184" s="212"/>
      <c r="G184" s="212"/>
      <c r="H184" s="213"/>
      <c r="I184" s="213"/>
      <c r="J184" s="214"/>
      <c r="K184" s="494"/>
      <c r="L184" s="494"/>
      <c r="M184" s="215"/>
      <c r="N184" s="215"/>
      <c r="O184" s="215"/>
      <c r="P184" s="216"/>
      <c r="Q184" s="217"/>
      <c r="R184" s="218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65"/>
      <c r="AJ184" s="222"/>
      <c r="AK184" s="222"/>
    </row>
    <row r="185" ht="15.0" customHeight="1">
      <c r="A185" s="279"/>
      <c r="C185" s="212"/>
      <c r="D185" s="212"/>
      <c r="E185" s="212"/>
      <c r="F185" s="212"/>
      <c r="G185" s="212"/>
      <c r="H185" s="213"/>
      <c r="I185" s="213"/>
      <c r="J185" s="214"/>
      <c r="K185" s="494"/>
      <c r="L185" s="494"/>
      <c r="M185" s="215"/>
      <c r="N185" s="215"/>
      <c r="O185" s="215"/>
      <c r="P185" s="216"/>
      <c r="Q185" s="217"/>
      <c r="R185" s="218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65"/>
      <c r="AJ185" s="222"/>
      <c r="AK185" s="222"/>
    </row>
    <row r="186" ht="15.0" customHeight="1">
      <c r="A186" s="279"/>
      <c r="C186" s="212"/>
      <c r="D186" s="212"/>
      <c r="E186" s="212"/>
      <c r="F186" s="212"/>
      <c r="G186" s="212"/>
      <c r="H186" s="213"/>
      <c r="I186" s="213"/>
      <c r="J186" s="214"/>
      <c r="K186" s="494"/>
      <c r="L186" s="494"/>
      <c r="M186" s="215"/>
      <c r="N186" s="215"/>
      <c r="O186" s="215"/>
      <c r="P186" s="216"/>
      <c r="Q186" s="217"/>
      <c r="R186" s="218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65"/>
      <c r="AJ186" s="222"/>
      <c r="AK186" s="222"/>
    </row>
    <row r="187" ht="15.0" customHeight="1">
      <c r="A187" s="279"/>
      <c r="C187" s="212"/>
      <c r="D187" s="212"/>
      <c r="E187" s="212"/>
      <c r="F187" s="212"/>
      <c r="G187" s="212"/>
      <c r="H187" s="213"/>
      <c r="I187" s="213"/>
      <c r="J187" s="214"/>
      <c r="K187" s="494"/>
      <c r="L187" s="494"/>
      <c r="M187" s="215"/>
      <c r="N187" s="215"/>
      <c r="O187" s="215"/>
      <c r="P187" s="216"/>
      <c r="Q187" s="217"/>
      <c r="R187" s="218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65"/>
      <c r="AJ187" s="222"/>
      <c r="AK187" s="222"/>
    </row>
    <row r="188" ht="15.0" customHeight="1">
      <c r="A188" s="279"/>
      <c r="C188" s="212"/>
      <c r="D188" s="212"/>
      <c r="E188" s="212"/>
      <c r="F188" s="212"/>
      <c r="G188" s="212"/>
      <c r="H188" s="213"/>
      <c r="I188" s="213"/>
      <c r="J188" s="214"/>
      <c r="K188" s="494"/>
      <c r="L188" s="494"/>
      <c r="M188" s="215"/>
      <c r="N188" s="215"/>
      <c r="O188" s="215"/>
      <c r="P188" s="216"/>
      <c r="Q188" s="217"/>
      <c r="R188" s="218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65"/>
      <c r="AJ188" s="222"/>
      <c r="AK188" s="222"/>
    </row>
    <row r="189" ht="15.0" customHeight="1">
      <c r="A189" s="279"/>
      <c r="C189" s="212"/>
      <c r="D189" s="212"/>
      <c r="E189" s="212"/>
      <c r="F189" s="212"/>
      <c r="G189" s="212"/>
      <c r="H189" s="213"/>
      <c r="I189" s="213"/>
      <c r="J189" s="214"/>
      <c r="K189" s="494"/>
      <c r="L189" s="494"/>
      <c r="M189" s="215"/>
      <c r="N189" s="215"/>
      <c r="O189" s="215"/>
      <c r="P189" s="216"/>
      <c r="Q189" s="217"/>
      <c r="R189" s="218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65"/>
      <c r="AJ189" s="222"/>
      <c r="AK189" s="222"/>
    </row>
    <row r="190" ht="15.0" customHeight="1">
      <c r="A190" s="279"/>
      <c r="C190" s="212"/>
      <c r="D190" s="212"/>
      <c r="E190" s="212"/>
      <c r="F190" s="212"/>
      <c r="G190" s="212"/>
      <c r="H190" s="213"/>
      <c r="I190" s="213"/>
      <c r="J190" s="214"/>
      <c r="K190" s="494"/>
      <c r="L190" s="494"/>
      <c r="M190" s="215"/>
      <c r="N190" s="215"/>
      <c r="O190" s="215"/>
      <c r="P190" s="216"/>
      <c r="Q190" s="217"/>
      <c r="R190" s="218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65"/>
      <c r="AJ190" s="222"/>
      <c r="AK190" s="222"/>
    </row>
    <row r="191" ht="15.0" customHeight="1">
      <c r="A191" s="279"/>
      <c r="C191" s="212"/>
      <c r="D191" s="212"/>
      <c r="E191" s="212"/>
      <c r="F191" s="212"/>
      <c r="G191" s="212"/>
      <c r="H191" s="213"/>
      <c r="I191" s="213"/>
      <c r="J191" s="214"/>
      <c r="K191" s="494"/>
      <c r="L191" s="494"/>
      <c r="M191" s="215"/>
      <c r="N191" s="215"/>
      <c r="O191" s="215"/>
      <c r="P191" s="216"/>
      <c r="Q191" s="217"/>
      <c r="R191" s="218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65"/>
      <c r="AJ191" s="222"/>
      <c r="AK191" s="222"/>
    </row>
    <row r="192" ht="15.0" customHeight="1">
      <c r="A192" s="279"/>
      <c r="C192" s="212"/>
      <c r="D192" s="212"/>
      <c r="E192" s="212"/>
      <c r="F192" s="212"/>
      <c r="G192" s="212"/>
      <c r="H192" s="213"/>
      <c r="I192" s="213"/>
      <c r="J192" s="214"/>
      <c r="K192" s="494"/>
      <c r="L192" s="494"/>
      <c r="M192" s="215"/>
      <c r="N192" s="215"/>
      <c r="O192" s="215"/>
      <c r="P192" s="216"/>
      <c r="Q192" s="217"/>
      <c r="R192" s="218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65"/>
      <c r="AJ192" s="222"/>
      <c r="AK192" s="222"/>
    </row>
    <row r="193" ht="15.0" customHeight="1">
      <c r="A193" s="279"/>
      <c r="C193" s="212"/>
      <c r="D193" s="212"/>
      <c r="E193" s="212"/>
      <c r="F193" s="212"/>
      <c r="G193" s="212"/>
      <c r="H193" s="213"/>
      <c r="I193" s="213"/>
      <c r="J193" s="214"/>
      <c r="K193" s="494"/>
      <c r="L193" s="494"/>
      <c r="M193" s="215"/>
      <c r="N193" s="215"/>
      <c r="O193" s="215"/>
      <c r="P193" s="216"/>
      <c r="Q193" s="217"/>
      <c r="R193" s="218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65"/>
      <c r="AJ193" s="222"/>
      <c r="AK193" s="222"/>
    </row>
    <row r="194" ht="15.0" customHeight="1">
      <c r="A194" s="279"/>
      <c r="C194" s="212"/>
      <c r="D194" s="212"/>
      <c r="E194" s="212"/>
      <c r="F194" s="212"/>
      <c r="G194" s="212"/>
      <c r="H194" s="213"/>
      <c r="I194" s="213"/>
      <c r="J194" s="214"/>
      <c r="K194" s="494"/>
      <c r="L194" s="494"/>
      <c r="M194" s="215"/>
      <c r="N194" s="215"/>
      <c r="O194" s="215"/>
      <c r="P194" s="216"/>
      <c r="Q194" s="217"/>
      <c r="R194" s="218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65"/>
      <c r="AJ194" s="222"/>
      <c r="AK194" s="222"/>
    </row>
    <row r="195" ht="15.0" customHeight="1">
      <c r="A195" s="279"/>
      <c r="C195" s="212"/>
      <c r="D195" s="212"/>
      <c r="E195" s="212"/>
      <c r="F195" s="212"/>
      <c r="G195" s="212"/>
      <c r="H195" s="213"/>
      <c r="I195" s="213"/>
      <c r="J195" s="214"/>
      <c r="K195" s="494"/>
      <c r="L195" s="494"/>
      <c r="M195" s="215"/>
      <c r="N195" s="215"/>
      <c r="O195" s="215"/>
      <c r="P195" s="216"/>
      <c r="Q195" s="217"/>
      <c r="R195" s="218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65"/>
      <c r="AJ195" s="222"/>
      <c r="AK195" s="222"/>
    </row>
    <row r="196" ht="15.0" customHeight="1">
      <c r="A196" s="279"/>
      <c r="C196" s="212"/>
      <c r="D196" s="212"/>
      <c r="E196" s="212"/>
      <c r="F196" s="212"/>
      <c r="G196" s="212"/>
      <c r="H196" s="213"/>
      <c r="I196" s="213"/>
      <c r="J196" s="214"/>
      <c r="K196" s="494"/>
      <c r="L196" s="494"/>
      <c r="M196" s="215"/>
      <c r="N196" s="215"/>
      <c r="O196" s="215"/>
      <c r="P196" s="216"/>
      <c r="Q196" s="217"/>
      <c r="R196" s="218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65"/>
      <c r="AJ196" s="222"/>
      <c r="AK196" s="222"/>
    </row>
    <row r="197" ht="15.0" customHeight="1">
      <c r="A197" s="279"/>
      <c r="C197" s="212"/>
      <c r="D197" s="212"/>
      <c r="E197" s="212"/>
      <c r="F197" s="212"/>
      <c r="G197" s="212"/>
      <c r="H197" s="213"/>
      <c r="I197" s="213"/>
      <c r="J197" s="214"/>
      <c r="K197" s="494"/>
      <c r="L197" s="494"/>
      <c r="M197" s="215"/>
      <c r="N197" s="215"/>
      <c r="O197" s="215"/>
      <c r="P197" s="216"/>
      <c r="Q197" s="217"/>
      <c r="R197" s="218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65"/>
      <c r="AJ197" s="222"/>
      <c r="AK197" s="222"/>
    </row>
    <row r="198" ht="15.0" customHeight="1">
      <c r="A198" s="279"/>
      <c r="C198" s="212"/>
      <c r="D198" s="212"/>
      <c r="E198" s="212"/>
      <c r="F198" s="212"/>
      <c r="G198" s="212"/>
      <c r="H198" s="213"/>
      <c r="I198" s="213"/>
      <c r="J198" s="214"/>
      <c r="K198" s="494"/>
      <c r="L198" s="494"/>
      <c r="M198" s="215"/>
      <c r="N198" s="215"/>
      <c r="O198" s="215"/>
      <c r="P198" s="216"/>
      <c r="Q198" s="217"/>
      <c r="R198" s="218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65"/>
      <c r="AJ198" s="222"/>
      <c r="AK198" s="222"/>
    </row>
    <row r="199" ht="15.0" customHeight="1">
      <c r="A199" s="279"/>
      <c r="C199" s="212"/>
      <c r="D199" s="212"/>
      <c r="E199" s="212"/>
      <c r="F199" s="212"/>
      <c r="G199" s="212"/>
      <c r="H199" s="213"/>
      <c r="I199" s="213"/>
      <c r="J199" s="214"/>
      <c r="K199" s="494"/>
      <c r="L199" s="494"/>
      <c r="M199" s="215"/>
      <c r="N199" s="215"/>
      <c r="O199" s="215"/>
      <c r="P199" s="216"/>
      <c r="Q199" s="217"/>
      <c r="R199" s="218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65"/>
      <c r="AJ199" s="222"/>
      <c r="AK199" s="222"/>
    </row>
    <row r="200" ht="15.0" customHeight="1">
      <c r="A200" s="279"/>
      <c r="C200" s="212"/>
      <c r="D200" s="212"/>
      <c r="E200" s="212"/>
      <c r="F200" s="212"/>
      <c r="G200" s="212"/>
      <c r="H200" s="213"/>
      <c r="I200" s="213"/>
      <c r="J200" s="214"/>
      <c r="K200" s="494"/>
      <c r="L200" s="494"/>
      <c r="M200" s="215"/>
      <c r="N200" s="215"/>
      <c r="O200" s="215"/>
      <c r="P200" s="216"/>
      <c r="Q200" s="217"/>
      <c r="R200" s="218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65"/>
      <c r="AJ200" s="222"/>
      <c r="AK200" s="222"/>
    </row>
    <row r="201" ht="15.0" customHeight="1">
      <c r="A201" s="279"/>
      <c r="C201" s="212"/>
      <c r="D201" s="212"/>
      <c r="E201" s="212"/>
      <c r="F201" s="212"/>
      <c r="G201" s="212"/>
      <c r="H201" s="213"/>
      <c r="I201" s="213"/>
      <c r="J201" s="214"/>
      <c r="K201" s="494"/>
      <c r="L201" s="494"/>
      <c r="M201" s="215"/>
      <c r="N201" s="215"/>
      <c r="O201" s="215"/>
      <c r="P201" s="216"/>
      <c r="Q201" s="217"/>
      <c r="R201" s="218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65"/>
      <c r="AJ201" s="222"/>
      <c r="AK201" s="222"/>
    </row>
    <row r="202" ht="15.0" customHeight="1">
      <c r="A202" s="279"/>
      <c r="C202" s="212"/>
      <c r="D202" s="212"/>
      <c r="E202" s="212"/>
      <c r="F202" s="212"/>
      <c r="G202" s="212"/>
      <c r="H202" s="213"/>
      <c r="I202" s="213"/>
      <c r="J202" s="214"/>
      <c r="K202" s="494"/>
      <c r="L202" s="494"/>
      <c r="M202" s="215"/>
      <c r="N202" s="215"/>
      <c r="O202" s="215"/>
      <c r="P202" s="216"/>
      <c r="Q202" s="217"/>
      <c r="R202" s="218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65"/>
      <c r="AJ202" s="222"/>
      <c r="AK202" s="222"/>
    </row>
    <row r="203" ht="15.0" customHeight="1">
      <c r="A203" s="279"/>
      <c r="C203" s="212"/>
      <c r="D203" s="212"/>
      <c r="E203" s="212"/>
      <c r="F203" s="212"/>
      <c r="G203" s="212"/>
      <c r="H203" s="213"/>
      <c r="I203" s="213"/>
      <c r="J203" s="214"/>
      <c r="K203" s="494"/>
      <c r="L203" s="494"/>
      <c r="M203" s="215"/>
      <c r="N203" s="215"/>
      <c r="O203" s="215"/>
      <c r="P203" s="216"/>
      <c r="Q203" s="217"/>
      <c r="R203" s="218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65"/>
      <c r="AJ203" s="222"/>
      <c r="AK203" s="222"/>
    </row>
    <row r="204" ht="15.0" customHeight="1">
      <c r="A204" s="279"/>
      <c r="C204" s="212"/>
      <c r="D204" s="212"/>
      <c r="E204" s="212"/>
      <c r="F204" s="212"/>
      <c r="G204" s="212"/>
      <c r="H204" s="213"/>
      <c r="I204" s="213"/>
      <c r="J204" s="214"/>
      <c r="K204" s="494"/>
      <c r="L204" s="494"/>
      <c r="M204" s="215"/>
      <c r="N204" s="215"/>
      <c r="O204" s="215"/>
      <c r="P204" s="216"/>
      <c r="Q204" s="217"/>
      <c r="R204" s="218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65"/>
      <c r="AJ204" s="222"/>
      <c r="AK204" s="222"/>
    </row>
    <row r="205" ht="15.0" customHeight="1">
      <c r="A205" s="279"/>
      <c r="C205" s="212"/>
      <c r="D205" s="212"/>
      <c r="E205" s="212"/>
      <c r="F205" s="212"/>
      <c r="G205" s="212"/>
      <c r="H205" s="213"/>
      <c r="I205" s="213"/>
      <c r="J205" s="214"/>
      <c r="K205" s="494"/>
      <c r="L205" s="494"/>
      <c r="M205" s="215"/>
      <c r="N205" s="215"/>
      <c r="O205" s="215"/>
      <c r="P205" s="216"/>
      <c r="Q205" s="217"/>
      <c r="R205" s="218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65"/>
      <c r="AJ205" s="222"/>
      <c r="AK205" s="222"/>
    </row>
    <row r="206" ht="15.0" customHeight="1">
      <c r="A206" s="279"/>
      <c r="C206" s="212"/>
      <c r="D206" s="212"/>
      <c r="E206" s="212"/>
      <c r="F206" s="212"/>
      <c r="G206" s="212"/>
      <c r="H206" s="213"/>
      <c r="I206" s="213"/>
      <c r="J206" s="214"/>
      <c r="K206" s="494"/>
      <c r="L206" s="494"/>
      <c r="M206" s="215"/>
      <c r="N206" s="215"/>
      <c r="O206" s="215"/>
      <c r="P206" s="216"/>
      <c r="Q206" s="217"/>
      <c r="R206" s="218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65"/>
      <c r="AJ206" s="222"/>
      <c r="AK206" s="222"/>
    </row>
    <row r="207" ht="15.0" customHeight="1">
      <c r="A207" s="279"/>
      <c r="C207" s="212"/>
      <c r="D207" s="212"/>
      <c r="E207" s="212"/>
      <c r="F207" s="212"/>
      <c r="G207" s="212"/>
      <c r="H207" s="213"/>
      <c r="I207" s="213"/>
      <c r="J207" s="214"/>
      <c r="K207" s="494"/>
      <c r="L207" s="494"/>
      <c r="M207" s="215"/>
      <c r="N207" s="215"/>
      <c r="O207" s="215"/>
      <c r="P207" s="216"/>
      <c r="Q207" s="217"/>
      <c r="R207" s="218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65"/>
      <c r="AJ207" s="222"/>
      <c r="AK207" s="222"/>
    </row>
    <row r="208" ht="15.0" customHeight="1">
      <c r="A208" s="279"/>
      <c r="C208" s="212"/>
      <c r="D208" s="212"/>
      <c r="E208" s="212"/>
      <c r="F208" s="212"/>
      <c r="G208" s="212"/>
      <c r="H208" s="213"/>
      <c r="I208" s="213"/>
      <c r="J208" s="214"/>
      <c r="K208" s="494"/>
      <c r="L208" s="494"/>
      <c r="M208" s="215"/>
      <c r="N208" s="215"/>
      <c r="O208" s="215"/>
      <c r="P208" s="216"/>
      <c r="Q208" s="217"/>
      <c r="R208" s="218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65"/>
      <c r="AJ208" s="222"/>
      <c r="AK208" s="222"/>
    </row>
    <row r="209" ht="15.0" customHeight="1">
      <c r="A209" s="279"/>
      <c r="C209" s="212"/>
      <c r="D209" s="212"/>
      <c r="E209" s="212"/>
      <c r="F209" s="212"/>
      <c r="G209" s="212"/>
      <c r="H209" s="213"/>
      <c r="I209" s="213"/>
      <c r="J209" s="214"/>
      <c r="K209" s="494"/>
      <c r="L209" s="494"/>
      <c r="M209" s="215"/>
      <c r="N209" s="215"/>
      <c r="O209" s="215"/>
      <c r="P209" s="216"/>
      <c r="Q209" s="217"/>
      <c r="R209" s="218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65"/>
      <c r="AJ209" s="222"/>
      <c r="AK209" s="222"/>
    </row>
    <row r="210" ht="15.0" customHeight="1">
      <c r="A210" s="279"/>
      <c r="C210" s="212"/>
      <c r="D210" s="212"/>
      <c r="E210" s="212"/>
      <c r="F210" s="212"/>
      <c r="G210" s="212"/>
      <c r="H210" s="213"/>
      <c r="I210" s="213"/>
      <c r="J210" s="214"/>
      <c r="K210" s="494"/>
      <c r="L210" s="494"/>
      <c r="M210" s="215"/>
      <c r="N210" s="215"/>
      <c r="O210" s="215"/>
      <c r="P210" s="216"/>
      <c r="Q210" s="217"/>
      <c r="R210" s="218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65"/>
      <c r="AJ210" s="222"/>
      <c r="AK210" s="222"/>
    </row>
    <row r="211" ht="15.0" customHeight="1">
      <c r="A211" s="279"/>
      <c r="C211" s="212"/>
      <c r="D211" s="212"/>
      <c r="E211" s="212"/>
      <c r="F211" s="212"/>
      <c r="G211" s="212"/>
      <c r="H211" s="213"/>
      <c r="I211" s="213"/>
      <c r="J211" s="214"/>
      <c r="K211" s="494"/>
      <c r="L211" s="494"/>
      <c r="M211" s="215"/>
      <c r="N211" s="215"/>
      <c r="O211" s="215"/>
      <c r="P211" s="216"/>
      <c r="Q211" s="217"/>
      <c r="R211" s="218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65"/>
      <c r="AJ211" s="222"/>
      <c r="AK211" s="222"/>
    </row>
    <row r="212" ht="15.0" customHeight="1">
      <c r="A212" s="279"/>
      <c r="C212" s="212"/>
      <c r="D212" s="212"/>
      <c r="E212" s="212"/>
      <c r="F212" s="212"/>
      <c r="G212" s="212"/>
      <c r="H212" s="213"/>
      <c r="I212" s="213"/>
      <c r="J212" s="214"/>
      <c r="K212" s="494"/>
      <c r="L212" s="494"/>
      <c r="M212" s="215"/>
      <c r="N212" s="215"/>
      <c r="O212" s="215"/>
      <c r="P212" s="216"/>
      <c r="Q212" s="217"/>
      <c r="R212" s="218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65"/>
      <c r="AJ212" s="222"/>
      <c r="AK212" s="222"/>
    </row>
    <row r="213" ht="15.0" customHeight="1">
      <c r="A213" s="279"/>
      <c r="C213" s="212"/>
      <c r="D213" s="212"/>
      <c r="E213" s="212"/>
      <c r="F213" s="212"/>
      <c r="G213" s="212"/>
      <c r="H213" s="213"/>
      <c r="I213" s="213"/>
      <c r="J213" s="214"/>
      <c r="K213" s="494"/>
      <c r="L213" s="494"/>
      <c r="M213" s="215"/>
      <c r="N213" s="215"/>
      <c r="O213" s="215"/>
      <c r="P213" s="216"/>
      <c r="Q213" s="217"/>
      <c r="R213" s="218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65"/>
      <c r="AJ213" s="222"/>
      <c r="AK213" s="222"/>
    </row>
    <row r="214" ht="15.0" customHeight="1">
      <c r="A214" s="279"/>
      <c r="C214" s="212"/>
      <c r="D214" s="212"/>
      <c r="E214" s="212"/>
      <c r="F214" s="212"/>
      <c r="G214" s="212"/>
      <c r="H214" s="213"/>
      <c r="I214" s="213"/>
      <c r="J214" s="214"/>
      <c r="K214" s="494"/>
      <c r="L214" s="494"/>
      <c r="M214" s="215"/>
      <c r="N214" s="215"/>
      <c r="O214" s="215"/>
      <c r="P214" s="216"/>
      <c r="Q214" s="217"/>
      <c r="R214" s="218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65"/>
      <c r="AJ214" s="222"/>
      <c r="AK214" s="222"/>
    </row>
    <row r="215" ht="15.0" customHeight="1">
      <c r="A215" s="279"/>
      <c r="C215" s="212"/>
      <c r="D215" s="212"/>
      <c r="E215" s="212"/>
      <c r="F215" s="212"/>
      <c r="G215" s="212"/>
      <c r="H215" s="213"/>
      <c r="I215" s="213"/>
      <c r="J215" s="214"/>
      <c r="K215" s="494"/>
      <c r="L215" s="494"/>
      <c r="M215" s="215"/>
      <c r="N215" s="215"/>
      <c r="O215" s="215"/>
      <c r="P215" s="216"/>
      <c r="Q215" s="217"/>
      <c r="R215" s="218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65"/>
      <c r="AJ215" s="222"/>
      <c r="AK215" s="222"/>
    </row>
    <row r="216" ht="15.0" customHeight="1">
      <c r="A216" s="279"/>
      <c r="C216" s="212"/>
      <c r="D216" s="212"/>
      <c r="E216" s="212"/>
      <c r="F216" s="212"/>
      <c r="G216" s="212"/>
      <c r="H216" s="213"/>
      <c r="I216" s="213"/>
      <c r="J216" s="214"/>
      <c r="K216" s="494"/>
      <c r="L216" s="494"/>
      <c r="M216" s="215"/>
      <c r="N216" s="215"/>
      <c r="O216" s="215"/>
      <c r="P216" s="216"/>
      <c r="Q216" s="217"/>
      <c r="R216" s="218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65"/>
      <c r="AJ216" s="222"/>
      <c r="AK216" s="222"/>
    </row>
    <row r="217" ht="15.0" customHeight="1">
      <c r="A217" s="279"/>
      <c r="C217" s="212"/>
      <c r="D217" s="212"/>
      <c r="E217" s="212"/>
      <c r="F217" s="212"/>
      <c r="G217" s="212"/>
      <c r="H217" s="213"/>
      <c r="I217" s="213"/>
      <c r="J217" s="214"/>
      <c r="K217" s="494"/>
      <c r="L217" s="494"/>
      <c r="M217" s="215"/>
      <c r="N217" s="215"/>
      <c r="O217" s="215"/>
      <c r="P217" s="216"/>
      <c r="Q217" s="217"/>
      <c r="R217" s="218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65"/>
      <c r="AJ217" s="222"/>
      <c r="AK217" s="222"/>
    </row>
    <row r="218" ht="15.0" customHeight="1">
      <c r="A218" s="279"/>
      <c r="C218" s="212"/>
      <c r="D218" s="212"/>
      <c r="E218" s="212"/>
      <c r="F218" s="212"/>
      <c r="G218" s="212"/>
      <c r="H218" s="213"/>
      <c r="I218" s="213"/>
      <c r="J218" s="214"/>
      <c r="K218" s="494"/>
      <c r="L218" s="494"/>
      <c r="M218" s="215"/>
      <c r="N218" s="215"/>
      <c r="O218" s="215"/>
      <c r="P218" s="216"/>
      <c r="Q218" s="217"/>
      <c r="R218" s="218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65"/>
      <c r="AJ218" s="222"/>
      <c r="AK218" s="222"/>
    </row>
    <row r="219" ht="15.0" customHeight="1">
      <c r="A219" s="279"/>
      <c r="C219" s="212"/>
      <c r="D219" s="212"/>
      <c r="E219" s="212"/>
      <c r="F219" s="212"/>
      <c r="G219" s="212"/>
      <c r="H219" s="213"/>
      <c r="I219" s="213"/>
      <c r="J219" s="214"/>
      <c r="K219" s="494"/>
      <c r="L219" s="494"/>
      <c r="M219" s="215"/>
      <c r="N219" s="215"/>
      <c r="O219" s="215"/>
      <c r="P219" s="216"/>
      <c r="Q219" s="217"/>
      <c r="R219" s="218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65"/>
      <c r="AJ219" s="222"/>
      <c r="AK219" s="222"/>
    </row>
    <row r="220" ht="15.0" customHeight="1">
      <c r="A220" s="279"/>
      <c r="C220" s="212"/>
      <c r="D220" s="212"/>
      <c r="E220" s="212"/>
      <c r="F220" s="212"/>
      <c r="G220" s="212"/>
      <c r="H220" s="213"/>
      <c r="I220" s="213"/>
      <c r="J220" s="214"/>
      <c r="K220" s="494"/>
      <c r="L220" s="494"/>
      <c r="M220" s="215"/>
      <c r="N220" s="215"/>
      <c r="O220" s="215"/>
      <c r="P220" s="216"/>
      <c r="Q220" s="217"/>
      <c r="R220" s="218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65"/>
      <c r="AJ220" s="222"/>
      <c r="AK220" s="222"/>
    </row>
    <row r="221" ht="15.0" customHeight="1">
      <c r="A221" s="279"/>
      <c r="C221" s="212"/>
      <c r="D221" s="212"/>
      <c r="E221" s="212"/>
      <c r="F221" s="212"/>
      <c r="G221" s="212"/>
      <c r="H221" s="213"/>
      <c r="I221" s="213"/>
      <c r="J221" s="214"/>
      <c r="K221" s="494"/>
      <c r="L221" s="494"/>
      <c r="M221" s="215"/>
      <c r="N221" s="215"/>
      <c r="O221" s="215"/>
      <c r="P221" s="216"/>
      <c r="Q221" s="217"/>
      <c r="R221" s="218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65"/>
      <c r="AJ221" s="222"/>
      <c r="AK221" s="222"/>
    </row>
    <row r="222" ht="15.0" customHeight="1">
      <c r="A222" s="279"/>
      <c r="C222" s="212"/>
      <c r="D222" s="212"/>
      <c r="E222" s="212"/>
      <c r="F222" s="212"/>
      <c r="G222" s="212"/>
      <c r="H222" s="213"/>
      <c r="I222" s="213"/>
      <c r="J222" s="214"/>
      <c r="K222" s="494"/>
      <c r="L222" s="494"/>
      <c r="M222" s="215"/>
      <c r="N222" s="215"/>
      <c r="O222" s="215"/>
      <c r="P222" s="216"/>
      <c r="Q222" s="217"/>
      <c r="R222" s="218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65"/>
      <c r="AJ222" s="222"/>
      <c r="AK222" s="222"/>
    </row>
    <row r="223" ht="15.0" customHeight="1">
      <c r="A223" s="279"/>
      <c r="C223" s="212"/>
      <c r="D223" s="212"/>
      <c r="E223" s="212"/>
      <c r="F223" s="212"/>
      <c r="G223" s="212"/>
      <c r="H223" s="213"/>
      <c r="I223" s="213"/>
      <c r="J223" s="214"/>
      <c r="K223" s="494"/>
      <c r="L223" s="494"/>
      <c r="M223" s="215"/>
      <c r="N223" s="215"/>
      <c r="O223" s="215"/>
      <c r="P223" s="216"/>
      <c r="Q223" s="217"/>
      <c r="R223" s="218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65"/>
      <c r="AJ223" s="222"/>
      <c r="AK223" s="222"/>
    </row>
    <row r="224" ht="15.0" customHeight="1">
      <c r="A224" s="279"/>
      <c r="C224" s="212"/>
      <c r="D224" s="212"/>
      <c r="E224" s="212"/>
      <c r="F224" s="212"/>
      <c r="G224" s="212"/>
      <c r="H224" s="213"/>
      <c r="I224" s="213"/>
      <c r="J224" s="214"/>
      <c r="K224" s="494"/>
      <c r="L224" s="494"/>
      <c r="M224" s="215"/>
      <c r="N224" s="215"/>
      <c r="O224" s="215"/>
      <c r="P224" s="216"/>
      <c r="Q224" s="217"/>
      <c r="R224" s="218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65"/>
      <c r="AJ224" s="222"/>
      <c r="AK224" s="222"/>
    </row>
    <row r="225" ht="15.0" customHeight="1">
      <c r="A225" s="279"/>
      <c r="C225" s="212"/>
      <c r="D225" s="212"/>
      <c r="E225" s="212"/>
      <c r="F225" s="212"/>
      <c r="G225" s="212"/>
      <c r="H225" s="213"/>
      <c r="I225" s="213"/>
      <c r="J225" s="214"/>
      <c r="K225" s="494"/>
      <c r="L225" s="494"/>
      <c r="M225" s="215"/>
      <c r="N225" s="215"/>
      <c r="O225" s="215"/>
      <c r="P225" s="216"/>
      <c r="Q225" s="217"/>
      <c r="R225" s="218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65"/>
      <c r="AJ225" s="222"/>
      <c r="AK225" s="222"/>
    </row>
    <row r="226" ht="15.0" customHeight="1">
      <c r="A226" s="279"/>
      <c r="C226" s="212"/>
      <c r="D226" s="212"/>
      <c r="E226" s="212"/>
      <c r="F226" s="212"/>
      <c r="G226" s="212"/>
      <c r="H226" s="213"/>
      <c r="I226" s="213"/>
      <c r="J226" s="214"/>
      <c r="K226" s="494"/>
      <c r="L226" s="494"/>
      <c r="M226" s="215"/>
      <c r="N226" s="215"/>
      <c r="O226" s="215"/>
      <c r="P226" s="216"/>
      <c r="Q226" s="217"/>
      <c r="R226" s="218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65"/>
      <c r="AJ226" s="222"/>
      <c r="AK226" s="222"/>
    </row>
    <row r="227" ht="15.0" customHeight="1">
      <c r="A227" s="279"/>
      <c r="C227" s="212"/>
      <c r="D227" s="212"/>
      <c r="E227" s="212"/>
      <c r="F227" s="212"/>
      <c r="G227" s="212"/>
      <c r="H227" s="213"/>
      <c r="I227" s="213"/>
      <c r="J227" s="214"/>
      <c r="K227" s="494"/>
      <c r="L227" s="494"/>
      <c r="M227" s="215"/>
      <c r="N227" s="215"/>
      <c r="O227" s="215"/>
      <c r="P227" s="216"/>
      <c r="Q227" s="217"/>
      <c r="R227" s="218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65"/>
      <c r="AJ227" s="222"/>
      <c r="AK227" s="222"/>
    </row>
    <row r="228" ht="15.0" customHeight="1">
      <c r="A228" s="279"/>
      <c r="C228" s="212"/>
      <c r="D228" s="212"/>
      <c r="E228" s="212"/>
      <c r="F228" s="212"/>
      <c r="G228" s="212"/>
      <c r="H228" s="213"/>
      <c r="I228" s="213"/>
      <c r="J228" s="214"/>
      <c r="K228" s="494"/>
      <c r="L228" s="494"/>
      <c r="M228" s="215"/>
      <c r="N228" s="215"/>
      <c r="O228" s="215"/>
      <c r="P228" s="216"/>
      <c r="Q228" s="217"/>
      <c r="R228" s="218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65"/>
      <c r="AJ228" s="222"/>
      <c r="AK228" s="222"/>
    </row>
    <row r="229" ht="15.0" customHeight="1">
      <c r="A229" s="279"/>
      <c r="C229" s="212"/>
      <c r="D229" s="212"/>
      <c r="E229" s="212"/>
      <c r="F229" s="212"/>
      <c r="G229" s="212"/>
      <c r="H229" s="213"/>
      <c r="I229" s="213"/>
      <c r="J229" s="214"/>
      <c r="K229" s="494"/>
      <c r="L229" s="494"/>
      <c r="M229" s="215"/>
      <c r="N229" s="215"/>
      <c r="O229" s="215"/>
      <c r="P229" s="216"/>
      <c r="Q229" s="217"/>
      <c r="R229" s="218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65"/>
      <c r="AJ229" s="222"/>
      <c r="AK229" s="222"/>
    </row>
    <row r="230" ht="15.0" customHeight="1">
      <c r="A230" s="279"/>
      <c r="C230" s="212"/>
      <c r="D230" s="212"/>
      <c r="E230" s="212"/>
      <c r="F230" s="212"/>
      <c r="G230" s="212"/>
      <c r="H230" s="213"/>
      <c r="I230" s="213"/>
      <c r="J230" s="214"/>
      <c r="K230" s="494"/>
      <c r="L230" s="494"/>
      <c r="M230" s="215"/>
      <c r="N230" s="215"/>
      <c r="O230" s="215"/>
      <c r="P230" s="216"/>
      <c r="Q230" s="217"/>
      <c r="R230" s="218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65"/>
      <c r="AJ230" s="222"/>
      <c r="AK230" s="222"/>
    </row>
    <row r="231" ht="15.0" customHeight="1">
      <c r="A231" s="279"/>
      <c r="C231" s="212"/>
      <c r="D231" s="212"/>
      <c r="E231" s="212"/>
      <c r="F231" s="212"/>
      <c r="G231" s="212"/>
      <c r="H231" s="213"/>
      <c r="I231" s="213"/>
      <c r="J231" s="214"/>
      <c r="K231" s="494"/>
      <c r="L231" s="494"/>
      <c r="M231" s="215"/>
      <c r="N231" s="215"/>
      <c r="O231" s="215"/>
      <c r="P231" s="216"/>
      <c r="Q231" s="217"/>
      <c r="R231" s="218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65"/>
      <c r="AJ231" s="222"/>
      <c r="AK231" s="222"/>
    </row>
    <row r="232" ht="15.0" customHeight="1">
      <c r="A232" s="279"/>
      <c r="C232" s="212"/>
      <c r="D232" s="212"/>
      <c r="E232" s="212"/>
      <c r="F232" s="212"/>
      <c r="G232" s="212"/>
      <c r="H232" s="213"/>
      <c r="I232" s="213"/>
      <c r="J232" s="214"/>
      <c r="K232" s="494"/>
      <c r="L232" s="494"/>
      <c r="M232" s="215"/>
      <c r="N232" s="215"/>
      <c r="O232" s="215"/>
      <c r="P232" s="216"/>
      <c r="Q232" s="217"/>
      <c r="R232" s="218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65"/>
      <c r="AJ232" s="222"/>
      <c r="AK232" s="222"/>
    </row>
    <row r="233" ht="15.0" customHeight="1">
      <c r="A233" s="279"/>
      <c r="C233" s="212"/>
      <c r="D233" s="212"/>
      <c r="E233" s="212"/>
      <c r="F233" s="212"/>
      <c r="G233" s="212"/>
      <c r="H233" s="213"/>
      <c r="I233" s="213"/>
      <c r="J233" s="214"/>
      <c r="K233" s="494"/>
      <c r="L233" s="494"/>
      <c r="M233" s="215"/>
      <c r="N233" s="215"/>
      <c r="O233" s="215"/>
      <c r="P233" s="216"/>
      <c r="Q233" s="217"/>
      <c r="R233" s="218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65"/>
      <c r="AJ233" s="222"/>
      <c r="AK233" s="222"/>
    </row>
    <row r="234" ht="15.0" customHeight="1">
      <c r="A234" s="279"/>
      <c r="C234" s="212"/>
      <c r="D234" s="212"/>
      <c r="E234" s="212"/>
      <c r="F234" s="212"/>
      <c r="G234" s="212"/>
      <c r="H234" s="213"/>
      <c r="I234" s="213"/>
      <c r="J234" s="214"/>
      <c r="K234" s="494"/>
      <c r="L234" s="494"/>
      <c r="M234" s="215"/>
      <c r="N234" s="215"/>
      <c r="O234" s="215"/>
      <c r="P234" s="216"/>
      <c r="Q234" s="217"/>
      <c r="R234" s="218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65"/>
      <c r="AJ234" s="222"/>
      <c r="AK234" s="222"/>
    </row>
    <row r="235" ht="15.0" customHeight="1">
      <c r="A235" s="279"/>
      <c r="C235" s="212"/>
      <c r="D235" s="212"/>
      <c r="E235" s="212"/>
      <c r="F235" s="212"/>
      <c r="G235" s="212"/>
      <c r="H235" s="213"/>
      <c r="I235" s="213"/>
      <c r="J235" s="214"/>
      <c r="K235" s="494"/>
      <c r="L235" s="494"/>
      <c r="M235" s="215"/>
      <c r="N235" s="215"/>
      <c r="O235" s="215"/>
      <c r="P235" s="216"/>
      <c r="Q235" s="217"/>
      <c r="R235" s="218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  <c r="AF235" s="265"/>
      <c r="AJ235" s="222"/>
      <c r="AK235" s="222"/>
    </row>
    <row r="236" ht="15.0" customHeight="1">
      <c r="A236" s="279"/>
      <c r="C236" s="212"/>
      <c r="D236" s="212"/>
      <c r="E236" s="212"/>
      <c r="F236" s="212"/>
      <c r="G236" s="212"/>
      <c r="H236" s="213"/>
      <c r="I236" s="213"/>
      <c r="J236" s="214"/>
      <c r="K236" s="494"/>
      <c r="L236" s="494"/>
      <c r="M236" s="215"/>
      <c r="N236" s="215"/>
      <c r="O236" s="215"/>
      <c r="P236" s="216"/>
      <c r="Q236" s="217"/>
      <c r="R236" s="218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  <c r="AF236" s="265"/>
      <c r="AJ236" s="222"/>
      <c r="AK236" s="222"/>
    </row>
    <row r="237" ht="15.0" customHeight="1">
      <c r="A237" s="279"/>
      <c r="C237" s="212"/>
      <c r="D237" s="212"/>
      <c r="E237" s="212"/>
      <c r="F237" s="212"/>
      <c r="G237" s="212"/>
      <c r="H237" s="213"/>
      <c r="I237" s="213"/>
      <c r="J237" s="214"/>
      <c r="K237" s="494"/>
      <c r="L237" s="494"/>
      <c r="M237" s="215"/>
      <c r="N237" s="215"/>
      <c r="O237" s="215"/>
      <c r="P237" s="216"/>
      <c r="Q237" s="217"/>
      <c r="R237" s="218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65"/>
      <c r="AJ237" s="222"/>
      <c r="AK237" s="222"/>
    </row>
    <row r="238" ht="15.0" customHeight="1">
      <c r="A238" s="279"/>
      <c r="C238" s="212"/>
      <c r="D238" s="212"/>
      <c r="E238" s="212"/>
      <c r="F238" s="212"/>
      <c r="G238" s="212"/>
      <c r="H238" s="213"/>
      <c r="I238" s="213"/>
      <c r="J238" s="214"/>
      <c r="K238" s="494"/>
      <c r="L238" s="494"/>
      <c r="M238" s="215"/>
      <c r="N238" s="215"/>
      <c r="O238" s="215"/>
      <c r="P238" s="216"/>
      <c r="Q238" s="217"/>
      <c r="R238" s="218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65"/>
      <c r="AJ238" s="222"/>
      <c r="AK238" s="222"/>
    </row>
    <row r="239" ht="15.0" customHeight="1">
      <c r="A239" s="279"/>
      <c r="C239" s="212"/>
      <c r="D239" s="212"/>
      <c r="E239" s="212"/>
      <c r="F239" s="212"/>
      <c r="G239" s="212"/>
      <c r="H239" s="213"/>
      <c r="I239" s="213"/>
      <c r="J239" s="214"/>
      <c r="K239" s="494"/>
      <c r="L239" s="494"/>
      <c r="M239" s="215"/>
      <c r="N239" s="215"/>
      <c r="O239" s="215"/>
      <c r="P239" s="216"/>
      <c r="Q239" s="217"/>
      <c r="R239" s="218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  <c r="AF239" s="265"/>
      <c r="AJ239" s="222"/>
      <c r="AK239" s="222"/>
    </row>
    <row r="240" ht="15.0" customHeight="1">
      <c r="A240" s="279"/>
      <c r="C240" s="212"/>
      <c r="D240" s="212"/>
      <c r="E240" s="212"/>
      <c r="F240" s="212"/>
      <c r="G240" s="212"/>
      <c r="H240" s="213"/>
      <c r="I240" s="213"/>
      <c r="J240" s="214"/>
      <c r="K240" s="494"/>
      <c r="L240" s="494"/>
      <c r="M240" s="215"/>
      <c r="N240" s="215"/>
      <c r="O240" s="215"/>
      <c r="P240" s="216"/>
      <c r="Q240" s="217"/>
      <c r="R240" s="218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  <c r="AF240" s="265"/>
      <c r="AJ240" s="222"/>
      <c r="AK240" s="222"/>
    </row>
    <row r="241" ht="15.0" customHeight="1">
      <c r="A241" s="279"/>
      <c r="C241" s="212"/>
      <c r="D241" s="212"/>
      <c r="E241" s="212"/>
      <c r="F241" s="212"/>
      <c r="G241" s="212"/>
      <c r="H241" s="213"/>
      <c r="I241" s="213"/>
      <c r="J241" s="214"/>
      <c r="K241" s="494"/>
      <c r="L241" s="494"/>
      <c r="M241" s="215"/>
      <c r="N241" s="215"/>
      <c r="O241" s="215"/>
      <c r="P241" s="216"/>
      <c r="Q241" s="217"/>
      <c r="R241" s="218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  <c r="AF241" s="265"/>
      <c r="AJ241" s="222"/>
      <c r="AK241" s="222"/>
    </row>
    <row r="242" ht="15.0" customHeight="1">
      <c r="A242" s="279"/>
      <c r="C242" s="212"/>
      <c r="D242" s="212"/>
      <c r="E242" s="212"/>
      <c r="F242" s="212"/>
      <c r="G242" s="212"/>
      <c r="H242" s="213"/>
      <c r="I242" s="213"/>
      <c r="J242" s="214"/>
      <c r="K242" s="494"/>
      <c r="L242" s="494"/>
      <c r="M242" s="215"/>
      <c r="N242" s="215"/>
      <c r="O242" s="215"/>
      <c r="P242" s="216"/>
      <c r="Q242" s="217"/>
      <c r="R242" s="218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  <c r="AF242" s="265"/>
      <c r="AJ242" s="222"/>
      <c r="AK242" s="222"/>
    </row>
    <row r="243" ht="15.75" customHeight="1">
      <c r="A243" s="279"/>
      <c r="C243" s="212"/>
      <c r="D243" s="212"/>
      <c r="E243" s="212"/>
      <c r="F243" s="212"/>
      <c r="G243" s="212"/>
      <c r="H243" s="213"/>
      <c r="I243" s="213"/>
      <c r="J243" s="214"/>
      <c r="K243" s="494"/>
      <c r="L243" s="494"/>
      <c r="M243" s="215"/>
      <c r="N243" s="215"/>
      <c r="O243" s="215"/>
      <c r="P243" s="216"/>
      <c r="Q243" s="217"/>
      <c r="R243" s="218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  <c r="AF243" s="265"/>
      <c r="AJ243" s="222"/>
      <c r="AK243" s="222"/>
    </row>
    <row r="244" ht="15.75" customHeight="1">
      <c r="A244" s="279"/>
      <c r="C244" s="212"/>
      <c r="D244" s="212"/>
      <c r="E244" s="212"/>
      <c r="F244" s="212"/>
      <c r="G244" s="212"/>
      <c r="H244" s="213"/>
      <c r="I244" s="213"/>
      <c r="J244" s="214"/>
      <c r="K244" s="494"/>
      <c r="L244" s="494"/>
      <c r="M244" s="215"/>
      <c r="N244" s="215"/>
      <c r="O244" s="215"/>
      <c r="P244" s="216"/>
      <c r="Q244" s="217"/>
      <c r="R244" s="218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65"/>
      <c r="AJ244" s="222"/>
      <c r="AK244" s="22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210"/>
      <c r="B1" s="211"/>
      <c r="C1" s="212"/>
      <c r="D1" s="212"/>
      <c r="E1" s="212"/>
      <c r="F1" s="212"/>
      <c r="G1" s="212"/>
      <c r="H1" s="213"/>
      <c r="I1" s="213"/>
      <c r="J1" s="214"/>
      <c r="K1" s="215"/>
      <c r="L1" s="215"/>
      <c r="M1" s="215"/>
      <c r="N1" s="215"/>
      <c r="O1" s="215"/>
      <c r="P1" s="216"/>
      <c r="Q1" s="217"/>
      <c r="R1" s="218"/>
      <c r="S1" s="211"/>
      <c r="T1" s="211"/>
      <c r="U1" s="211"/>
      <c r="V1" s="219"/>
      <c r="W1" s="211"/>
      <c r="X1" s="211"/>
      <c r="Y1" s="211"/>
      <c r="Z1" s="211"/>
      <c r="AA1" s="211"/>
      <c r="AB1" s="211"/>
      <c r="AC1" s="211"/>
      <c r="AD1" s="211"/>
      <c r="AE1" s="211"/>
      <c r="AF1" s="220"/>
      <c r="AG1" s="211"/>
      <c r="AH1" s="211"/>
      <c r="AI1" s="211"/>
      <c r="AJ1" s="211"/>
      <c r="AK1" s="219"/>
      <c r="AL1" s="211"/>
      <c r="AM1" s="211"/>
      <c r="AN1" s="211"/>
      <c r="AO1" s="221" t="s">
        <v>0</v>
      </c>
      <c r="AP1" s="211"/>
      <c r="AQ1" s="211"/>
      <c r="AR1" s="211"/>
      <c r="AS1" s="211"/>
      <c r="AT1" s="211" t="s">
        <v>1</v>
      </c>
      <c r="AU1" s="211" t="s">
        <v>2</v>
      </c>
      <c r="AX1" s="211"/>
      <c r="BK1" s="222"/>
      <c r="BL1" s="222"/>
      <c r="BM1" s="222"/>
      <c r="BN1" s="222"/>
      <c r="BO1" s="222"/>
      <c r="BP1" s="222"/>
      <c r="BQ1" s="222"/>
      <c r="BR1" s="222"/>
      <c r="BS1" s="222"/>
    </row>
    <row r="2" ht="15.75" customHeight="1">
      <c r="A2" s="223" t="s">
        <v>61</v>
      </c>
      <c r="B2" s="221"/>
      <c r="C2" s="221"/>
      <c r="D2" s="221"/>
      <c r="E2" s="212"/>
      <c r="F2" s="212"/>
      <c r="G2" s="212"/>
      <c r="H2" s="213"/>
      <c r="I2" s="213"/>
      <c r="J2" s="224"/>
      <c r="K2" s="215"/>
      <c r="L2" s="215"/>
      <c r="M2" s="215"/>
      <c r="N2" s="215"/>
      <c r="O2" s="215"/>
      <c r="P2" s="216"/>
      <c r="Q2" s="225"/>
      <c r="R2" s="219"/>
      <c r="S2" s="211"/>
      <c r="T2" s="211"/>
      <c r="U2" s="211"/>
      <c r="V2" s="219"/>
      <c r="W2" s="211"/>
      <c r="X2" s="211"/>
      <c r="Y2" s="211"/>
      <c r="Z2" s="211"/>
      <c r="AA2" s="211"/>
      <c r="AB2" s="211"/>
      <c r="AC2" s="211"/>
      <c r="AD2" s="211"/>
      <c r="AE2" s="211"/>
      <c r="AF2" s="220"/>
      <c r="AG2" s="211"/>
      <c r="AH2" s="211"/>
      <c r="AI2" s="211"/>
      <c r="AJ2" s="211"/>
      <c r="AK2" s="219"/>
      <c r="AL2" s="211"/>
      <c r="AM2" s="211"/>
      <c r="AN2" s="211"/>
      <c r="AO2" s="226" t="str">
        <f>'LUCERO RECOLETA'!AS2</f>
        <v/>
      </c>
      <c r="AP2" s="211"/>
      <c r="AQ2" s="227"/>
      <c r="AR2" s="227"/>
      <c r="AS2" s="228"/>
      <c r="AT2" s="228">
        <v>45323.0</v>
      </c>
      <c r="AU2" s="228">
        <v>45351.0</v>
      </c>
      <c r="AV2" s="227">
        <v>200.0</v>
      </c>
      <c r="AW2" s="227"/>
      <c r="AX2" s="232">
        <v>1200.0</v>
      </c>
      <c r="AY2" s="227"/>
      <c r="AZ2" s="227">
        <v>1000.0</v>
      </c>
      <c r="BA2" s="227"/>
      <c r="BB2" s="227">
        <v>1000.0</v>
      </c>
      <c r="BC2" s="227"/>
      <c r="BD2" s="227">
        <v>1000.0</v>
      </c>
      <c r="BE2" s="227"/>
      <c r="BF2" s="227">
        <v>1200.0</v>
      </c>
      <c r="BK2" s="222"/>
      <c r="BL2" s="222"/>
      <c r="BM2" s="222"/>
      <c r="BN2" s="222"/>
      <c r="BO2" s="222"/>
      <c r="BP2" s="222"/>
      <c r="BQ2" s="222"/>
      <c r="BR2" s="222"/>
      <c r="BS2" s="222"/>
    </row>
    <row r="3" ht="15.75" customHeight="1">
      <c r="A3" s="223" t="s">
        <v>210</v>
      </c>
      <c r="B3" s="221"/>
      <c r="C3" s="221"/>
      <c r="D3" s="221"/>
      <c r="E3" s="221"/>
      <c r="F3" s="212"/>
      <c r="G3" s="212"/>
      <c r="H3" s="213"/>
      <c r="I3" s="213"/>
      <c r="J3" s="224"/>
      <c r="K3" s="215"/>
      <c r="L3" s="215"/>
      <c r="M3" s="215"/>
      <c r="N3" s="215"/>
      <c r="O3" s="215"/>
      <c r="P3" s="216"/>
      <c r="Q3" s="225"/>
      <c r="R3" s="219"/>
      <c r="S3" s="211"/>
      <c r="T3" s="211"/>
      <c r="U3" s="211"/>
      <c r="V3" s="219"/>
      <c r="W3" s="211"/>
      <c r="X3" s="211"/>
      <c r="Y3" s="211"/>
      <c r="Z3" s="211"/>
      <c r="AA3" s="211"/>
      <c r="AB3" s="227"/>
      <c r="AC3" s="227"/>
      <c r="AD3" s="228"/>
      <c r="AE3" s="228"/>
      <c r="AF3" s="229"/>
      <c r="AG3" s="218"/>
      <c r="AH3" s="215"/>
      <c r="AI3" s="215"/>
      <c r="AJ3" s="215"/>
      <c r="AK3" s="219"/>
      <c r="AL3" s="211"/>
      <c r="AM3" s="211"/>
      <c r="AN3" s="211"/>
      <c r="AO3" s="226" t="str">
        <f>'LUCERO RECOLETA'!AS3</f>
        <v/>
      </c>
      <c r="AP3" s="228"/>
      <c r="AQ3" s="228"/>
      <c r="AR3" s="228"/>
      <c r="AS3" s="228"/>
      <c r="AT3" s="228"/>
      <c r="AU3" s="228"/>
      <c r="AV3" s="227"/>
      <c r="AW3" s="227"/>
      <c r="AX3" s="232"/>
      <c r="AY3" s="227"/>
      <c r="AZ3" s="227"/>
      <c r="BA3" s="227"/>
      <c r="BB3" s="227"/>
      <c r="BC3" s="227"/>
      <c r="BD3" s="227"/>
      <c r="BE3" s="227"/>
      <c r="BF3" s="227"/>
      <c r="BK3" s="222"/>
      <c r="BL3" s="222"/>
      <c r="BM3" s="222"/>
      <c r="BN3" s="222"/>
      <c r="BO3" s="222"/>
      <c r="BP3" s="222"/>
      <c r="BQ3" s="222"/>
      <c r="BR3" s="222"/>
      <c r="BS3" s="222"/>
    </row>
    <row r="4" ht="15.75" customHeight="1">
      <c r="A4" s="230"/>
      <c r="B4" s="219"/>
      <c r="C4" s="231"/>
      <c r="D4" s="231"/>
      <c r="E4" s="212"/>
      <c r="F4" s="212"/>
      <c r="G4" s="212" t="s">
        <v>5</v>
      </c>
      <c r="H4" s="213"/>
      <c r="I4" s="213"/>
      <c r="J4" s="214"/>
      <c r="K4" s="214"/>
      <c r="L4" s="214"/>
      <c r="M4" s="214"/>
      <c r="N4" s="214"/>
      <c r="O4" s="214"/>
      <c r="P4" s="217"/>
      <c r="Q4" s="217"/>
      <c r="R4" s="214"/>
      <c r="S4" s="214"/>
      <c r="T4" s="214"/>
      <c r="U4" s="214"/>
      <c r="V4" s="215"/>
      <c r="W4" s="228"/>
      <c r="X4" s="228"/>
      <c r="Y4" s="228"/>
      <c r="Z4" s="280"/>
      <c r="AA4" s="228"/>
      <c r="AB4" s="228"/>
      <c r="AC4" s="228"/>
      <c r="AD4" s="228"/>
      <c r="AE4" s="228"/>
      <c r="AF4" s="229"/>
      <c r="AG4" s="218"/>
      <c r="AH4" s="215"/>
      <c r="AI4" s="215"/>
      <c r="AJ4" s="215"/>
      <c r="AK4" s="215"/>
      <c r="AL4" s="228"/>
      <c r="AM4" s="228"/>
      <c r="AN4" s="228"/>
      <c r="AO4" s="226" t="str">
        <f>'LUCERO RECOLETA'!AS4</f>
        <v/>
      </c>
      <c r="AP4" s="232"/>
      <c r="AQ4" s="232"/>
      <c r="AR4" s="232"/>
      <c r="AS4" s="232"/>
      <c r="AT4" s="228"/>
      <c r="AU4" s="228"/>
      <c r="AV4" s="227"/>
      <c r="AW4" s="227"/>
      <c r="AX4" s="232"/>
      <c r="AY4" s="227"/>
      <c r="AZ4" s="227"/>
      <c r="BA4" s="227"/>
      <c r="BB4" s="227"/>
      <c r="BC4" s="227"/>
      <c r="BD4" s="227"/>
      <c r="BE4" s="227"/>
      <c r="BF4" s="227"/>
      <c r="BK4" s="222"/>
      <c r="BL4" s="222"/>
      <c r="BM4" s="222"/>
      <c r="BN4" s="222"/>
      <c r="BO4" s="222"/>
      <c r="BP4" s="222"/>
      <c r="BQ4" s="222"/>
      <c r="BR4" s="222"/>
      <c r="BS4" s="222"/>
    </row>
    <row r="5" ht="15.75" customHeight="1">
      <c r="A5" s="233" t="s">
        <v>6</v>
      </c>
      <c r="B5" s="234"/>
      <c r="C5" s="234"/>
      <c r="D5" s="234"/>
      <c r="E5" s="234" t="s">
        <v>211</v>
      </c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6"/>
      <c r="AG5" s="232"/>
      <c r="AH5" s="232"/>
      <c r="AI5" s="232"/>
      <c r="AJ5" s="232"/>
      <c r="AK5" s="232"/>
      <c r="AL5" s="232"/>
      <c r="AM5" s="228"/>
      <c r="AN5" s="232"/>
      <c r="AO5" s="226" t="str">
        <f>'LUCERO RECOLETA'!AS5</f>
        <v/>
      </c>
      <c r="AP5" s="232"/>
      <c r="AQ5" s="232"/>
      <c r="AR5" s="232"/>
      <c r="AS5" s="232"/>
      <c r="AT5" s="228"/>
      <c r="AU5" s="228"/>
      <c r="AV5" s="227"/>
      <c r="AW5" s="227"/>
      <c r="AX5" s="232"/>
      <c r="AY5" s="227"/>
      <c r="AZ5" s="227"/>
      <c r="BA5" s="227"/>
      <c r="BB5" s="227"/>
      <c r="BC5" s="227"/>
      <c r="BD5" s="227"/>
      <c r="BE5" s="227"/>
      <c r="BF5" s="227"/>
      <c r="BK5" s="222"/>
      <c r="BL5" s="222"/>
      <c r="BM5" s="222"/>
      <c r="BN5" s="222"/>
      <c r="BO5" s="222"/>
      <c r="BP5" s="222"/>
      <c r="BQ5" s="222"/>
      <c r="BR5" s="222"/>
      <c r="BS5" s="222"/>
    </row>
    <row r="6" ht="14.25" customHeight="1">
      <c r="A6" s="210"/>
      <c r="B6" s="211"/>
      <c r="C6" s="212"/>
      <c r="D6" s="212"/>
      <c r="E6" s="212"/>
      <c r="F6" s="212"/>
      <c r="G6" s="212"/>
      <c r="H6" s="213"/>
      <c r="I6" s="213"/>
      <c r="J6" s="214"/>
      <c r="K6" s="214"/>
      <c r="L6" s="214"/>
      <c r="M6" s="214"/>
      <c r="N6" s="214"/>
      <c r="O6" s="214"/>
      <c r="P6" s="217"/>
      <c r="Q6" s="217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29"/>
      <c r="AG6" s="218"/>
      <c r="AH6" s="215"/>
      <c r="AI6" s="215"/>
      <c r="AJ6" s="215"/>
      <c r="AK6" s="215"/>
      <c r="AL6" s="215"/>
      <c r="AM6" s="215"/>
      <c r="AN6" s="215"/>
      <c r="AO6" s="226" t="str">
        <f>#REF!</f>
        <v>#REF!</v>
      </c>
      <c r="AP6" s="232"/>
      <c r="AQ6" s="232"/>
      <c r="AR6" s="232"/>
      <c r="AS6" s="232"/>
      <c r="AT6" s="237" t="str">
        <f t="shared" ref="AT6:BB6" si="1">#REF!</f>
        <v>#REF!</v>
      </c>
      <c r="AU6" s="237" t="str">
        <f t="shared" si="1"/>
        <v>#REF!</v>
      </c>
      <c r="AV6" s="238" t="str">
        <f t="shared" si="1"/>
        <v>#REF!</v>
      </c>
      <c r="AW6" s="238" t="str">
        <f t="shared" si="1"/>
        <v>#REF!</v>
      </c>
      <c r="AX6" s="238" t="str">
        <f t="shared" si="1"/>
        <v>#REF!</v>
      </c>
      <c r="AY6" s="238" t="str">
        <f t="shared" si="1"/>
        <v>#REF!</v>
      </c>
      <c r="AZ6" s="238" t="str">
        <f t="shared" si="1"/>
        <v>#REF!</v>
      </c>
      <c r="BA6" s="238" t="str">
        <f t="shared" si="1"/>
        <v>#REF!</v>
      </c>
      <c r="BB6" s="238" t="str">
        <f t="shared" si="1"/>
        <v>#REF!</v>
      </c>
      <c r="BC6" s="238"/>
      <c r="BD6" s="238"/>
      <c r="BE6" s="238" t="str">
        <f t="shared" ref="BE6:BF6" si="2">#REF!</f>
        <v>#REF!</v>
      </c>
      <c r="BF6" s="238" t="str">
        <f t="shared" si="2"/>
        <v>#REF!</v>
      </c>
      <c r="BK6" s="222"/>
      <c r="BL6" s="222"/>
      <c r="BM6" s="222"/>
      <c r="BN6" s="222"/>
      <c r="BO6" s="222"/>
      <c r="BP6" s="222"/>
      <c r="BQ6" s="222"/>
      <c r="BR6" s="222"/>
      <c r="BS6" s="222"/>
    </row>
    <row r="7" ht="18.75" customHeight="1">
      <c r="A7" s="570" t="s">
        <v>212</v>
      </c>
      <c r="B7" s="500" t="s">
        <v>8</v>
      </c>
      <c r="C7" s="38"/>
      <c r="D7" s="38"/>
      <c r="E7" s="38"/>
      <c r="F7" s="38"/>
      <c r="G7" s="38"/>
      <c r="H7" s="38"/>
      <c r="I7" s="38"/>
      <c r="J7" s="39"/>
      <c r="K7" s="501" t="s">
        <v>9</v>
      </c>
      <c r="L7" s="38"/>
      <c r="M7" s="38"/>
      <c r="N7" s="38"/>
      <c r="O7" s="39"/>
      <c r="P7" s="502" t="s">
        <v>10</v>
      </c>
      <c r="Q7" s="38"/>
      <c r="R7" s="38"/>
      <c r="S7" s="38"/>
      <c r="T7" s="39"/>
      <c r="U7" s="503" t="s">
        <v>11</v>
      </c>
      <c r="V7" s="38"/>
      <c r="W7" s="38"/>
      <c r="X7" s="38"/>
      <c r="Y7" s="39"/>
      <c r="Z7" s="504" t="s">
        <v>12</v>
      </c>
      <c r="AA7" s="505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506" t="s">
        <v>14</v>
      </c>
      <c r="AM7" s="507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22"/>
      <c r="BL7" s="222"/>
      <c r="BM7" s="222"/>
      <c r="BN7" s="222"/>
      <c r="BO7" s="222"/>
      <c r="BP7" s="222"/>
      <c r="BQ7" s="222"/>
      <c r="BR7" s="222"/>
      <c r="BS7" s="222"/>
    </row>
    <row r="8" ht="45.75" customHeight="1">
      <c r="A8" s="509" t="s">
        <v>16</v>
      </c>
      <c r="B8" s="510" t="s">
        <v>17</v>
      </c>
      <c r="C8" s="511" t="s">
        <v>18</v>
      </c>
      <c r="D8" s="511" t="s">
        <v>19</v>
      </c>
      <c r="E8" s="511" t="s">
        <v>2</v>
      </c>
      <c r="F8" s="511" t="s">
        <v>20</v>
      </c>
      <c r="G8" s="512" t="s">
        <v>21</v>
      </c>
      <c r="H8" s="513" t="s">
        <v>22</v>
      </c>
      <c r="I8" s="513" t="s">
        <v>23</v>
      </c>
      <c r="J8" s="514" t="s">
        <v>25</v>
      </c>
      <c r="K8" s="515" t="s">
        <v>19</v>
      </c>
      <c r="L8" s="515" t="s">
        <v>2</v>
      </c>
      <c r="M8" s="516" t="s">
        <v>26</v>
      </c>
      <c r="N8" s="515" t="s">
        <v>23</v>
      </c>
      <c r="O8" s="515" t="s">
        <v>27</v>
      </c>
      <c r="P8" s="517" t="s">
        <v>19</v>
      </c>
      <c r="Q8" s="517" t="s">
        <v>2</v>
      </c>
      <c r="R8" s="518" t="s">
        <v>26</v>
      </c>
      <c r="S8" s="517" t="s">
        <v>23</v>
      </c>
      <c r="T8" s="517" t="s">
        <v>27</v>
      </c>
      <c r="U8" s="519" t="s">
        <v>19</v>
      </c>
      <c r="V8" s="519" t="s">
        <v>2</v>
      </c>
      <c r="W8" s="516" t="s">
        <v>26</v>
      </c>
      <c r="X8" s="515" t="s">
        <v>28</v>
      </c>
      <c r="Y8" s="520" t="s">
        <v>27</v>
      </c>
      <c r="Z8" s="60"/>
      <c r="AA8" s="521" t="s">
        <v>29</v>
      </c>
      <c r="AB8" s="521" t="s">
        <v>30</v>
      </c>
      <c r="AC8" s="522" t="s">
        <v>31</v>
      </c>
      <c r="AD8" s="521" t="s">
        <v>32</v>
      </c>
      <c r="AE8" s="523" t="s">
        <v>33</v>
      </c>
      <c r="AF8" s="39"/>
      <c r="AG8" s="523" t="s">
        <v>34</v>
      </c>
      <c r="AH8" s="39"/>
      <c r="AI8" s="523" t="s">
        <v>35</v>
      </c>
      <c r="AJ8" s="39"/>
      <c r="AK8" s="524" t="s">
        <v>36</v>
      </c>
      <c r="AL8" s="60"/>
      <c r="AM8" s="525" t="s">
        <v>37</v>
      </c>
      <c r="AN8" s="526" t="s">
        <v>209</v>
      </c>
      <c r="AO8" s="527" t="s">
        <v>39</v>
      </c>
      <c r="AP8" s="527" t="s">
        <v>40</v>
      </c>
      <c r="AQ8" s="527" t="s">
        <v>41</v>
      </c>
      <c r="AR8" s="527" t="s">
        <v>42</v>
      </c>
      <c r="AS8" s="527" t="s">
        <v>104</v>
      </c>
      <c r="AT8" s="527" t="s">
        <v>44</v>
      </c>
      <c r="AU8" s="528" t="s">
        <v>33</v>
      </c>
      <c r="AV8" s="39"/>
      <c r="AW8" s="528" t="s">
        <v>45</v>
      </c>
      <c r="AX8" s="39"/>
      <c r="AY8" s="528" t="s">
        <v>46</v>
      </c>
      <c r="AZ8" s="39"/>
      <c r="BA8" s="528" t="s">
        <v>47</v>
      </c>
      <c r="BB8" s="39"/>
      <c r="BC8" s="528" t="s">
        <v>48</v>
      </c>
      <c r="BD8" s="39"/>
      <c r="BE8" s="528" t="s">
        <v>35</v>
      </c>
      <c r="BF8" s="39"/>
      <c r="BG8" s="527" t="s">
        <v>49</v>
      </c>
      <c r="BH8" s="529" t="s">
        <v>50</v>
      </c>
      <c r="BI8" s="530" t="s">
        <v>14</v>
      </c>
      <c r="BK8" s="239" t="str">
        <f>AM8</f>
        <v>$ Efectivo</v>
      </c>
      <c r="BL8" s="239" t="str">
        <f t="shared" ref="BL8:BN8" si="3">AQ8</f>
        <v>TARJETA DEBITO</v>
      </c>
      <c r="BM8" s="239" t="str">
        <f t="shared" si="3"/>
        <v>TARJETA CREDITO</v>
      </c>
      <c r="BN8" s="239" t="str">
        <f t="shared" si="3"/>
        <v>Mercado Pago</v>
      </c>
      <c r="BO8" s="239" t="str">
        <f>AU8</f>
        <v>Real</v>
      </c>
      <c r="BP8" s="239" t="s">
        <v>51</v>
      </c>
      <c r="BQ8" s="239" t="s">
        <v>52</v>
      </c>
      <c r="BR8" s="239" t="s">
        <v>49</v>
      </c>
      <c r="BS8" s="239" t="s">
        <v>53</v>
      </c>
    </row>
    <row r="9" ht="15.75" customHeight="1">
      <c r="A9" s="571">
        <v>45413.0</v>
      </c>
      <c r="B9" s="533"/>
      <c r="C9" s="533"/>
      <c r="D9" s="533"/>
      <c r="E9" s="533"/>
      <c r="F9" s="533"/>
      <c r="G9" s="534"/>
      <c r="H9" s="330"/>
      <c r="I9" s="535"/>
      <c r="J9" s="245">
        <f t="shared" ref="J9:J39" si="4">H9+I9</f>
        <v>0</v>
      </c>
      <c r="K9" s="537"/>
      <c r="L9" s="537"/>
      <c r="M9" s="537"/>
      <c r="N9" s="537"/>
      <c r="O9" s="538">
        <f t="shared" ref="O9:O39" si="5">+M9+N9</f>
        <v>0</v>
      </c>
      <c r="P9" s="537"/>
      <c r="Q9" s="537"/>
      <c r="R9" s="537"/>
      <c r="S9" s="537"/>
      <c r="T9" s="249">
        <f t="shared" ref="T9:T31" si="6">SUM(R9:S9)</f>
        <v>0</v>
      </c>
      <c r="U9" s="572"/>
      <c r="V9" s="572"/>
      <c r="W9" s="537"/>
      <c r="X9" s="537"/>
      <c r="Y9" s="247">
        <f t="shared" ref="Y9:Y18" si="7">SUM(W9:X9)</f>
        <v>0</v>
      </c>
      <c r="Z9" s="250">
        <f t="shared" ref="Z9:Z39" si="8">+J9+O9+T9-Y9</f>
        <v>0</v>
      </c>
      <c r="AA9" s="542"/>
      <c r="AB9" s="542"/>
      <c r="AC9" s="542"/>
      <c r="AD9" s="542"/>
      <c r="AE9" s="543"/>
      <c r="AF9" s="286">
        <f>(AE9*AD$1)</f>
        <v>0</v>
      </c>
      <c r="AG9" s="543"/>
      <c r="AH9" s="286">
        <f t="shared" ref="AH9:AH13" si="9">AG9*AE$2</f>
        <v>0</v>
      </c>
      <c r="AI9" s="543"/>
      <c r="AJ9" s="286">
        <f t="shared" ref="AJ9:AJ13" si="10">AI9*AD$2</f>
        <v>0</v>
      </c>
      <c r="AK9" s="544">
        <f t="shared" ref="AK9:AK38" si="11">AB9+AC9+AD9+AF9+AH9+AJ9</f>
        <v>0</v>
      </c>
      <c r="AL9" s="545">
        <f t="shared" ref="AL9:AL38" si="12">SUM(AK9-BG9)</f>
        <v>0</v>
      </c>
      <c r="AM9" s="186"/>
      <c r="AN9" s="338"/>
      <c r="AO9" s="547" t="str">
        <f t="shared" ref="AO9:AO38" si="13">AC9</f>
        <v/>
      </c>
      <c r="AP9" s="548">
        <f t="shared" ref="AP9:AP10" si="14">SUM(AQ9:AR9)</f>
        <v>0</v>
      </c>
      <c r="AQ9" s="186"/>
      <c r="AR9" s="186"/>
      <c r="AS9" s="549"/>
      <c r="AT9" s="186"/>
      <c r="AU9" s="186"/>
      <c r="AV9" s="549">
        <f t="shared" ref="AV9:AV40" si="15">AU9*AV$2</f>
        <v>0</v>
      </c>
      <c r="AW9" s="186"/>
      <c r="AX9" s="549">
        <f t="shared" ref="AX9:AX40" si="16">AW9*AX$2</f>
        <v>0</v>
      </c>
      <c r="AY9" s="186"/>
      <c r="AZ9" s="549">
        <f t="shared" ref="AZ9:AZ40" si="17">AY9*AZ$2</f>
        <v>0</v>
      </c>
      <c r="BA9" s="186"/>
      <c r="BB9" s="549">
        <f t="shared" ref="BB9:BB40" si="18">BA9*BB$2</f>
        <v>0</v>
      </c>
      <c r="BC9" s="186"/>
      <c r="BD9" s="549">
        <f t="shared" ref="BD9:BD40" si="19">BC9*BD$2</f>
        <v>0</v>
      </c>
      <c r="BE9" s="186"/>
      <c r="BF9" s="549">
        <f t="shared" ref="BF9:BF40" si="20">BE9*BF$2</f>
        <v>0</v>
      </c>
      <c r="BG9" s="573">
        <f t="shared" ref="BG9:BG40" si="21">+AM9+AN9+AP9+AS9+AT9+AV9+AX9+AZ9+BB9+BD9+BF9</f>
        <v>0</v>
      </c>
      <c r="BH9" s="574">
        <f t="shared" ref="BH9:BH39" si="22">Z9</f>
        <v>0</v>
      </c>
      <c r="BI9" s="552">
        <f t="shared" ref="BI9:BI40" si="23">SUM(BG9-BH9)</f>
        <v>0</v>
      </c>
      <c r="BK9" s="240">
        <f t="shared" ref="BK9:BK38" si="24">IF(AM9+AN9=0,0,(AM9+AN9)/Z9)</f>
        <v>0</v>
      </c>
      <c r="BL9" s="240">
        <f t="shared" ref="BL9:BL38" si="25">IF(AQ9=0,0,AQ9/Z9)</f>
        <v>0</v>
      </c>
      <c r="BM9" s="240">
        <f t="shared" ref="BM9:BM38" si="26">IF(AR9=0,0,AR9/Z9)</f>
        <v>0</v>
      </c>
      <c r="BN9" s="240">
        <f t="shared" ref="BN9:BN38" si="27">IF(AS9=0,0,AS9/Z9)</f>
        <v>0</v>
      </c>
      <c r="BO9" s="240">
        <f t="shared" ref="BO9:BO38" si="28">IF(AV9=0,0,AV9/Z9)</f>
        <v>0</v>
      </c>
      <c r="BP9" s="240">
        <f t="shared" ref="BP9:BP38" si="29">IF(AX9+AZ9+BB9=0,0,(AX9+AZ9+BB9)/Z9)</f>
        <v>0</v>
      </c>
      <c r="BQ9" s="240">
        <f t="shared" ref="BQ9:BQ38" si="30">IF(BF9=0,0,BF9/Z9)</f>
        <v>0</v>
      </c>
      <c r="BR9" s="240">
        <f t="shared" ref="BR9:BR38" si="31">SUM(BK9:BQ9)</f>
        <v>0</v>
      </c>
      <c r="BS9" s="240">
        <f t="shared" ref="BS9:BS39" si="32">IF(Z9=0,0,Z9/$Z$41)</f>
        <v>0</v>
      </c>
    </row>
    <row r="10" ht="15.75" customHeight="1">
      <c r="A10" s="571">
        <v>45414.0</v>
      </c>
      <c r="B10" s="533"/>
      <c r="C10" s="533"/>
      <c r="D10" s="533"/>
      <c r="E10" s="533"/>
      <c r="F10" s="533"/>
      <c r="G10" s="534"/>
      <c r="H10" s="330"/>
      <c r="I10" s="535"/>
      <c r="J10" s="245">
        <f t="shared" si="4"/>
        <v>0</v>
      </c>
      <c r="K10" s="537"/>
      <c r="L10" s="537"/>
      <c r="M10" s="537"/>
      <c r="N10" s="537"/>
      <c r="O10" s="538">
        <f t="shared" si="5"/>
        <v>0</v>
      </c>
      <c r="P10" s="537"/>
      <c r="Q10" s="537"/>
      <c r="R10" s="537"/>
      <c r="S10" s="537"/>
      <c r="T10" s="249">
        <f t="shared" si="6"/>
        <v>0</v>
      </c>
      <c r="U10" s="572"/>
      <c r="V10" s="572"/>
      <c r="W10" s="537"/>
      <c r="X10" s="537"/>
      <c r="Y10" s="247">
        <f t="shared" si="7"/>
        <v>0</v>
      </c>
      <c r="Z10" s="250">
        <f t="shared" si="8"/>
        <v>0</v>
      </c>
      <c r="AA10" s="542"/>
      <c r="AB10" s="542"/>
      <c r="AC10" s="542"/>
      <c r="AD10" s="542"/>
      <c r="AE10" s="543"/>
      <c r="AF10" s="286">
        <f t="shared" ref="AF10:AF13" si="33">(AE10*AF$1)</f>
        <v>0</v>
      </c>
      <c r="AG10" s="543"/>
      <c r="AH10" s="286">
        <f t="shared" si="9"/>
        <v>0</v>
      </c>
      <c r="AI10" s="543"/>
      <c r="AJ10" s="286">
        <f t="shared" si="10"/>
        <v>0</v>
      </c>
      <c r="AK10" s="544">
        <f t="shared" si="11"/>
        <v>0</v>
      </c>
      <c r="AL10" s="545">
        <f t="shared" si="12"/>
        <v>0</v>
      </c>
      <c r="AM10" s="186"/>
      <c r="AN10" s="338"/>
      <c r="AO10" s="547" t="str">
        <f t="shared" si="13"/>
        <v/>
      </c>
      <c r="AP10" s="548">
        <f t="shared" si="14"/>
        <v>0</v>
      </c>
      <c r="AQ10" s="186"/>
      <c r="AR10" s="186"/>
      <c r="AS10" s="549"/>
      <c r="AT10" s="186"/>
      <c r="AU10" s="186"/>
      <c r="AV10" s="549">
        <f t="shared" si="15"/>
        <v>0</v>
      </c>
      <c r="AW10" s="186"/>
      <c r="AX10" s="549">
        <f t="shared" si="16"/>
        <v>0</v>
      </c>
      <c r="AY10" s="186"/>
      <c r="AZ10" s="549">
        <f t="shared" si="17"/>
        <v>0</v>
      </c>
      <c r="BA10" s="186"/>
      <c r="BB10" s="549">
        <f t="shared" si="18"/>
        <v>0</v>
      </c>
      <c r="BC10" s="186"/>
      <c r="BD10" s="549">
        <f t="shared" si="19"/>
        <v>0</v>
      </c>
      <c r="BE10" s="186"/>
      <c r="BF10" s="549">
        <f t="shared" si="20"/>
        <v>0</v>
      </c>
      <c r="BG10" s="573">
        <f t="shared" si="21"/>
        <v>0</v>
      </c>
      <c r="BH10" s="574">
        <f t="shared" si="22"/>
        <v>0</v>
      </c>
      <c r="BI10" s="552">
        <f t="shared" si="23"/>
        <v>0</v>
      </c>
      <c r="BK10" s="240">
        <f t="shared" si="24"/>
        <v>0</v>
      </c>
      <c r="BL10" s="240">
        <f t="shared" si="25"/>
        <v>0</v>
      </c>
      <c r="BM10" s="240">
        <f t="shared" si="26"/>
        <v>0</v>
      </c>
      <c r="BN10" s="240">
        <f t="shared" si="27"/>
        <v>0</v>
      </c>
      <c r="BO10" s="240">
        <f t="shared" si="28"/>
        <v>0</v>
      </c>
      <c r="BP10" s="240">
        <f t="shared" si="29"/>
        <v>0</v>
      </c>
      <c r="BQ10" s="240">
        <f t="shared" si="30"/>
        <v>0</v>
      </c>
      <c r="BR10" s="240">
        <f t="shared" si="31"/>
        <v>0</v>
      </c>
      <c r="BS10" s="240">
        <f t="shared" si="32"/>
        <v>0</v>
      </c>
    </row>
    <row r="11" ht="15.75" customHeight="1">
      <c r="A11" s="571">
        <v>45415.0</v>
      </c>
      <c r="B11" s="533"/>
      <c r="C11" s="533"/>
      <c r="D11" s="533"/>
      <c r="E11" s="533"/>
      <c r="F11" s="533"/>
      <c r="G11" s="534"/>
      <c r="H11" s="330"/>
      <c r="I11" s="535"/>
      <c r="J11" s="245">
        <f t="shared" si="4"/>
        <v>0</v>
      </c>
      <c r="K11" s="537"/>
      <c r="L11" s="537"/>
      <c r="M11" s="537"/>
      <c r="N11" s="537"/>
      <c r="O11" s="538">
        <f t="shared" si="5"/>
        <v>0</v>
      </c>
      <c r="P11" s="537"/>
      <c r="Q11" s="537"/>
      <c r="R11" s="537"/>
      <c r="S11" s="537"/>
      <c r="T11" s="249">
        <f t="shared" si="6"/>
        <v>0</v>
      </c>
      <c r="U11" s="572"/>
      <c r="V11" s="572"/>
      <c r="W11" s="537"/>
      <c r="X11" s="537"/>
      <c r="Y11" s="247">
        <f t="shared" si="7"/>
        <v>0</v>
      </c>
      <c r="Z11" s="250">
        <f t="shared" si="8"/>
        <v>0</v>
      </c>
      <c r="AA11" s="542"/>
      <c r="AB11" s="542"/>
      <c r="AC11" s="542"/>
      <c r="AD11" s="542"/>
      <c r="AE11" s="543"/>
      <c r="AF11" s="286">
        <f t="shared" si="33"/>
        <v>0</v>
      </c>
      <c r="AG11" s="543"/>
      <c r="AH11" s="286">
        <f t="shared" si="9"/>
        <v>0</v>
      </c>
      <c r="AI11" s="543"/>
      <c r="AJ11" s="286">
        <f t="shared" si="10"/>
        <v>0</v>
      </c>
      <c r="AK11" s="544">
        <f t="shared" si="11"/>
        <v>0</v>
      </c>
      <c r="AL11" s="545">
        <f t="shared" si="12"/>
        <v>0</v>
      </c>
      <c r="AM11" s="186"/>
      <c r="AN11" s="338"/>
      <c r="AO11" s="547" t="str">
        <f t="shared" si="13"/>
        <v/>
      </c>
      <c r="AP11" s="548">
        <f>AQ11+AR11</f>
        <v>0</v>
      </c>
      <c r="AQ11" s="186"/>
      <c r="AR11" s="186"/>
      <c r="AS11" s="549"/>
      <c r="AT11" s="186"/>
      <c r="AU11" s="186"/>
      <c r="AV11" s="549">
        <f t="shared" si="15"/>
        <v>0</v>
      </c>
      <c r="AW11" s="186"/>
      <c r="AX11" s="549">
        <f t="shared" si="16"/>
        <v>0</v>
      </c>
      <c r="AY11" s="186"/>
      <c r="AZ11" s="549">
        <f t="shared" si="17"/>
        <v>0</v>
      </c>
      <c r="BA11" s="186"/>
      <c r="BB11" s="549">
        <f t="shared" si="18"/>
        <v>0</v>
      </c>
      <c r="BC11" s="186"/>
      <c r="BD11" s="549">
        <f t="shared" si="19"/>
        <v>0</v>
      </c>
      <c r="BE11" s="186"/>
      <c r="BF11" s="549">
        <f t="shared" si="20"/>
        <v>0</v>
      </c>
      <c r="BG11" s="573">
        <f t="shared" si="21"/>
        <v>0</v>
      </c>
      <c r="BH11" s="574">
        <f t="shared" si="22"/>
        <v>0</v>
      </c>
      <c r="BI11" s="552">
        <f t="shared" si="23"/>
        <v>0</v>
      </c>
      <c r="BK11" s="240">
        <f t="shared" si="24"/>
        <v>0</v>
      </c>
      <c r="BL11" s="240">
        <f t="shared" si="25"/>
        <v>0</v>
      </c>
      <c r="BM11" s="240">
        <f t="shared" si="26"/>
        <v>0</v>
      </c>
      <c r="BN11" s="240">
        <f t="shared" si="27"/>
        <v>0</v>
      </c>
      <c r="BO11" s="240">
        <f t="shared" si="28"/>
        <v>0</v>
      </c>
      <c r="BP11" s="240">
        <f t="shared" si="29"/>
        <v>0</v>
      </c>
      <c r="BQ11" s="240">
        <f t="shared" si="30"/>
        <v>0</v>
      </c>
      <c r="BR11" s="240">
        <f t="shared" si="31"/>
        <v>0</v>
      </c>
      <c r="BS11" s="240">
        <f t="shared" si="32"/>
        <v>0</v>
      </c>
    </row>
    <row r="12" ht="15.75" customHeight="1">
      <c r="A12" s="571">
        <v>45416.0</v>
      </c>
      <c r="B12" s="533"/>
      <c r="C12" s="533"/>
      <c r="D12" s="533"/>
      <c r="E12" s="533"/>
      <c r="F12" s="533"/>
      <c r="G12" s="534"/>
      <c r="H12" s="330"/>
      <c r="I12" s="535"/>
      <c r="J12" s="245">
        <f t="shared" si="4"/>
        <v>0</v>
      </c>
      <c r="K12" s="537"/>
      <c r="L12" s="537"/>
      <c r="M12" s="537"/>
      <c r="N12" s="537"/>
      <c r="O12" s="538">
        <f t="shared" si="5"/>
        <v>0</v>
      </c>
      <c r="P12" s="537"/>
      <c r="Q12" s="537"/>
      <c r="R12" s="537"/>
      <c r="S12" s="537"/>
      <c r="T12" s="249">
        <f t="shared" si="6"/>
        <v>0</v>
      </c>
      <c r="U12" s="572"/>
      <c r="V12" s="572"/>
      <c r="W12" s="537"/>
      <c r="X12" s="537"/>
      <c r="Y12" s="247">
        <f t="shared" si="7"/>
        <v>0</v>
      </c>
      <c r="Z12" s="250">
        <f t="shared" si="8"/>
        <v>0</v>
      </c>
      <c r="AA12" s="542"/>
      <c r="AB12" s="542"/>
      <c r="AC12" s="542"/>
      <c r="AD12" s="542"/>
      <c r="AE12" s="543"/>
      <c r="AF12" s="286">
        <f t="shared" si="33"/>
        <v>0</v>
      </c>
      <c r="AG12" s="543"/>
      <c r="AH12" s="286">
        <f t="shared" si="9"/>
        <v>0</v>
      </c>
      <c r="AI12" s="543"/>
      <c r="AJ12" s="286">
        <f t="shared" si="10"/>
        <v>0</v>
      </c>
      <c r="AK12" s="544">
        <f t="shared" si="11"/>
        <v>0</v>
      </c>
      <c r="AL12" s="545">
        <f t="shared" si="12"/>
        <v>0</v>
      </c>
      <c r="AM12" s="186"/>
      <c r="AN12" s="338"/>
      <c r="AO12" s="547" t="str">
        <f t="shared" si="13"/>
        <v/>
      </c>
      <c r="AP12" s="548">
        <f t="shared" ref="AP12:AP39" si="34">SUM(AQ12:AR12)</f>
        <v>0</v>
      </c>
      <c r="AQ12" s="186"/>
      <c r="AR12" s="186"/>
      <c r="AS12" s="549"/>
      <c r="AT12" s="186"/>
      <c r="AU12" s="186"/>
      <c r="AV12" s="549">
        <f t="shared" si="15"/>
        <v>0</v>
      </c>
      <c r="AW12" s="186"/>
      <c r="AX12" s="549">
        <f t="shared" si="16"/>
        <v>0</v>
      </c>
      <c r="AY12" s="186"/>
      <c r="AZ12" s="549">
        <f t="shared" si="17"/>
        <v>0</v>
      </c>
      <c r="BA12" s="186"/>
      <c r="BB12" s="549">
        <f t="shared" si="18"/>
        <v>0</v>
      </c>
      <c r="BC12" s="186"/>
      <c r="BD12" s="549">
        <f t="shared" si="19"/>
        <v>0</v>
      </c>
      <c r="BE12" s="186"/>
      <c r="BF12" s="549">
        <f t="shared" si="20"/>
        <v>0</v>
      </c>
      <c r="BG12" s="573">
        <f t="shared" si="21"/>
        <v>0</v>
      </c>
      <c r="BH12" s="574">
        <f t="shared" si="22"/>
        <v>0</v>
      </c>
      <c r="BI12" s="552">
        <f t="shared" si="23"/>
        <v>0</v>
      </c>
      <c r="BK12" s="240">
        <f t="shared" si="24"/>
        <v>0</v>
      </c>
      <c r="BL12" s="240">
        <f t="shared" si="25"/>
        <v>0</v>
      </c>
      <c r="BM12" s="240">
        <f t="shared" si="26"/>
        <v>0</v>
      </c>
      <c r="BN12" s="240">
        <f t="shared" si="27"/>
        <v>0</v>
      </c>
      <c r="BO12" s="240">
        <f t="shared" si="28"/>
        <v>0</v>
      </c>
      <c r="BP12" s="240">
        <f t="shared" si="29"/>
        <v>0</v>
      </c>
      <c r="BQ12" s="240">
        <f t="shared" si="30"/>
        <v>0</v>
      </c>
      <c r="BR12" s="240">
        <f t="shared" si="31"/>
        <v>0</v>
      </c>
      <c r="BS12" s="240">
        <f t="shared" si="32"/>
        <v>0</v>
      </c>
    </row>
    <row r="13" ht="15.75" customHeight="1">
      <c r="A13" s="571">
        <v>45417.0</v>
      </c>
      <c r="B13" s="533"/>
      <c r="C13" s="533"/>
      <c r="D13" s="533"/>
      <c r="E13" s="533"/>
      <c r="F13" s="533"/>
      <c r="G13" s="534"/>
      <c r="H13" s="330"/>
      <c r="I13" s="535"/>
      <c r="J13" s="245">
        <f t="shared" si="4"/>
        <v>0</v>
      </c>
      <c r="K13" s="537"/>
      <c r="L13" s="537"/>
      <c r="M13" s="537"/>
      <c r="N13" s="537"/>
      <c r="O13" s="538">
        <f t="shared" si="5"/>
        <v>0</v>
      </c>
      <c r="P13" s="537"/>
      <c r="Q13" s="537"/>
      <c r="R13" s="537"/>
      <c r="S13" s="537"/>
      <c r="T13" s="249">
        <f t="shared" si="6"/>
        <v>0</v>
      </c>
      <c r="U13" s="572"/>
      <c r="V13" s="572"/>
      <c r="W13" s="537"/>
      <c r="X13" s="537"/>
      <c r="Y13" s="247">
        <f t="shared" si="7"/>
        <v>0</v>
      </c>
      <c r="Z13" s="250">
        <f t="shared" si="8"/>
        <v>0</v>
      </c>
      <c r="AA13" s="542"/>
      <c r="AB13" s="542"/>
      <c r="AC13" s="542"/>
      <c r="AD13" s="542"/>
      <c r="AE13" s="543"/>
      <c r="AF13" s="286">
        <f t="shared" si="33"/>
        <v>0</v>
      </c>
      <c r="AG13" s="543"/>
      <c r="AH13" s="286">
        <f t="shared" si="9"/>
        <v>0</v>
      </c>
      <c r="AI13" s="543"/>
      <c r="AJ13" s="286">
        <f t="shared" si="10"/>
        <v>0</v>
      </c>
      <c r="AK13" s="544">
        <f t="shared" si="11"/>
        <v>0</v>
      </c>
      <c r="AL13" s="545">
        <f t="shared" si="12"/>
        <v>0</v>
      </c>
      <c r="AM13" s="186"/>
      <c r="AN13" s="554"/>
      <c r="AO13" s="549" t="str">
        <f t="shared" si="13"/>
        <v/>
      </c>
      <c r="AP13" s="548">
        <f t="shared" si="34"/>
        <v>0</v>
      </c>
      <c r="AQ13" s="186"/>
      <c r="AR13" s="186"/>
      <c r="AS13" s="549"/>
      <c r="AT13" s="186"/>
      <c r="AU13" s="186"/>
      <c r="AV13" s="549">
        <f t="shared" si="15"/>
        <v>0</v>
      </c>
      <c r="AW13" s="186"/>
      <c r="AX13" s="549">
        <f t="shared" si="16"/>
        <v>0</v>
      </c>
      <c r="AY13" s="186"/>
      <c r="AZ13" s="549">
        <f t="shared" si="17"/>
        <v>0</v>
      </c>
      <c r="BA13" s="186"/>
      <c r="BB13" s="549">
        <f t="shared" si="18"/>
        <v>0</v>
      </c>
      <c r="BC13" s="186"/>
      <c r="BD13" s="549">
        <f t="shared" si="19"/>
        <v>0</v>
      </c>
      <c r="BE13" s="186"/>
      <c r="BF13" s="549">
        <f t="shared" si="20"/>
        <v>0</v>
      </c>
      <c r="BG13" s="573">
        <f t="shared" si="21"/>
        <v>0</v>
      </c>
      <c r="BH13" s="574">
        <f t="shared" si="22"/>
        <v>0</v>
      </c>
      <c r="BI13" s="552">
        <f t="shared" si="23"/>
        <v>0</v>
      </c>
      <c r="BK13" s="240">
        <f t="shared" si="24"/>
        <v>0</v>
      </c>
      <c r="BL13" s="240">
        <f t="shared" si="25"/>
        <v>0</v>
      </c>
      <c r="BM13" s="240">
        <f t="shared" si="26"/>
        <v>0</v>
      </c>
      <c r="BN13" s="240">
        <f t="shared" si="27"/>
        <v>0</v>
      </c>
      <c r="BO13" s="240">
        <f t="shared" si="28"/>
        <v>0</v>
      </c>
      <c r="BP13" s="240">
        <f t="shared" si="29"/>
        <v>0</v>
      </c>
      <c r="BQ13" s="240">
        <f t="shared" si="30"/>
        <v>0</v>
      </c>
      <c r="BR13" s="240">
        <f t="shared" si="31"/>
        <v>0</v>
      </c>
      <c r="BS13" s="240">
        <f t="shared" si="32"/>
        <v>0</v>
      </c>
    </row>
    <row r="14" ht="15.75" customHeight="1">
      <c r="A14" s="571">
        <v>45418.0</v>
      </c>
      <c r="B14" s="533"/>
      <c r="C14" s="533"/>
      <c r="D14" s="533"/>
      <c r="E14" s="533"/>
      <c r="F14" s="533"/>
      <c r="G14" s="534"/>
      <c r="H14" s="330"/>
      <c r="I14" s="535"/>
      <c r="J14" s="245">
        <f t="shared" si="4"/>
        <v>0</v>
      </c>
      <c r="K14" s="537"/>
      <c r="L14" s="537"/>
      <c r="M14" s="537"/>
      <c r="N14" s="537"/>
      <c r="O14" s="538">
        <f t="shared" si="5"/>
        <v>0</v>
      </c>
      <c r="P14" s="537"/>
      <c r="Q14" s="537"/>
      <c r="R14" s="537"/>
      <c r="S14" s="537"/>
      <c r="T14" s="249">
        <f t="shared" si="6"/>
        <v>0</v>
      </c>
      <c r="U14" s="572"/>
      <c r="V14" s="572"/>
      <c r="W14" s="537"/>
      <c r="X14" s="537"/>
      <c r="Y14" s="247">
        <f t="shared" si="7"/>
        <v>0</v>
      </c>
      <c r="Z14" s="250">
        <f t="shared" si="8"/>
        <v>0</v>
      </c>
      <c r="AA14" s="542"/>
      <c r="AB14" s="542"/>
      <c r="AC14" s="542"/>
      <c r="AD14" s="542"/>
      <c r="AE14" s="543"/>
      <c r="AF14" s="286">
        <f t="shared" ref="AF14:AF21" si="35">(AE14*AG$1)</f>
        <v>0</v>
      </c>
      <c r="AG14" s="543"/>
      <c r="AH14" s="286">
        <f t="shared" ref="AH14:AH21" si="36">AG14*AG$2</f>
        <v>0</v>
      </c>
      <c r="AI14" s="543"/>
      <c r="AJ14" s="286">
        <f t="shared" ref="AJ14:AJ21" si="37">AI14*AG$2</f>
        <v>0</v>
      </c>
      <c r="AK14" s="544">
        <f t="shared" si="11"/>
        <v>0</v>
      </c>
      <c r="AL14" s="545">
        <f t="shared" si="12"/>
        <v>0</v>
      </c>
      <c r="AM14" s="186"/>
      <c r="AN14" s="186"/>
      <c r="AO14" s="549" t="str">
        <f t="shared" si="13"/>
        <v/>
      </c>
      <c r="AP14" s="548">
        <f t="shared" si="34"/>
        <v>0</v>
      </c>
      <c r="AQ14" s="186"/>
      <c r="AR14" s="186"/>
      <c r="AS14" s="549"/>
      <c r="AT14" s="186"/>
      <c r="AU14" s="186"/>
      <c r="AV14" s="549">
        <f t="shared" si="15"/>
        <v>0</v>
      </c>
      <c r="AW14" s="186"/>
      <c r="AX14" s="549">
        <f t="shared" si="16"/>
        <v>0</v>
      </c>
      <c r="AY14" s="186"/>
      <c r="AZ14" s="549">
        <f t="shared" si="17"/>
        <v>0</v>
      </c>
      <c r="BA14" s="186"/>
      <c r="BB14" s="549">
        <f t="shared" si="18"/>
        <v>0</v>
      </c>
      <c r="BC14" s="186"/>
      <c r="BD14" s="549">
        <f t="shared" si="19"/>
        <v>0</v>
      </c>
      <c r="BE14" s="186"/>
      <c r="BF14" s="549">
        <f t="shared" si="20"/>
        <v>0</v>
      </c>
      <c r="BG14" s="573">
        <f t="shared" si="21"/>
        <v>0</v>
      </c>
      <c r="BH14" s="574">
        <f t="shared" si="22"/>
        <v>0</v>
      </c>
      <c r="BI14" s="552">
        <f t="shared" si="23"/>
        <v>0</v>
      </c>
      <c r="BK14" s="240">
        <f t="shared" si="24"/>
        <v>0</v>
      </c>
      <c r="BL14" s="240">
        <f t="shared" si="25"/>
        <v>0</v>
      </c>
      <c r="BM14" s="240">
        <f t="shared" si="26"/>
        <v>0</v>
      </c>
      <c r="BN14" s="240">
        <f t="shared" si="27"/>
        <v>0</v>
      </c>
      <c r="BO14" s="240">
        <f t="shared" si="28"/>
        <v>0</v>
      </c>
      <c r="BP14" s="240">
        <f t="shared" si="29"/>
        <v>0</v>
      </c>
      <c r="BQ14" s="240">
        <f t="shared" si="30"/>
        <v>0</v>
      </c>
      <c r="BR14" s="240">
        <f t="shared" si="31"/>
        <v>0</v>
      </c>
      <c r="BS14" s="240">
        <f t="shared" si="32"/>
        <v>0</v>
      </c>
    </row>
    <row r="15" ht="15.75" customHeight="1">
      <c r="A15" s="571">
        <v>45419.0</v>
      </c>
      <c r="B15" s="533"/>
      <c r="C15" s="533"/>
      <c r="D15" s="533"/>
      <c r="E15" s="533"/>
      <c r="F15" s="533"/>
      <c r="G15" s="534"/>
      <c r="H15" s="330"/>
      <c r="I15" s="535"/>
      <c r="J15" s="245">
        <f t="shared" si="4"/>
        <v>0</v>
      </c>
      <c r="K15" s="537"/>
      <c r="L15" s="537"/>
      <c r="M15" s="537"/>
      <c r="N15" s="537"/>
      <c r="O15" s="538">
        <f t="shared" si="5"/>
        <v>0</v>
      </c>
      <c r="P15" s="537"/>
      <c r="Q15" s="537"/>
      <c r="R15" s="537"/>
      <c r="S15" s="537"/>
      <c r="T15" s="249">
        <f t="shared" si="6"/>
        <v>0</v>
      </c>
      <c r="U15" s="572"/>
      <c r="V15" s="572"/>
      <c r="W15" s="537"/>
      <c r="X15" s="537"/>
      <c r="Y15" s="247">
        <f t="shared" si="7"/>
        <v>0</v>
      </c>
      <c r="Z15" s="250">
        <f t="shared" si="8"/>
        <v>0</v>
      </c>
      <c r="AA15" s="542"/>
      <c r="AB15" s="542"/>
      <c r="AC15" s="542"/>
      <c r="AD15" s="542"/>
      <c r="AE15" s="543"/>
      <c r="AF15" s="286">
        <f t="shared" si="35"/>
        <v>0</v>
      </c>
      <c r="AG15" s="543"/>
      <c r="AH15" s="286">
        <f t="shared" si="36"/>
        <v>0</v>
      </c>
      <c r="AI15" s="543"/>
      <c r="AJ15" s="286">
        <f t="shared" si="37"/>
        <v>0</v>
      </c>
      <c r="AK15" s="544">
        <f t="shared" si="11"/>
        <v>0</v>
      </c>
      <c r="AL15" s="545">
        <f t="shared" si="12"/>
        <v>0</v>
      </c>
      <c r="AM15" s="186"/>
      <c r="AN15" s="186"/>
      <c r="AO15" s="549" t="str">
        <f t="shared" si="13"/>
        <v/>
      </c>
      <c r="AP15" s="548">
        <f t="shared" si="34"/>
        <v>0</v>
      </c>
      <c r="AQ15" s="186"/>
      <c r="AR15" s="186"/>
      <c r="AS15" s="549"/>
      <c r="AT15" s="555"/>
      <c r="AU15" s="555"/>
      <c r="AV15" s="549">
        <f t="shared" si="15"/>
        <v>0</v>
      </c>
      <c r="AW15" s="186"/>
      <c r="AX15" s="549">
        <f t="shared" si="16"/>
        <v>0</v>
      </c>
      <c r="AY15" s="186"/>
      <c r="AZ15" s="549">
        <f t="shared" si="17"/>
        <v>0</v>
      </c>
      <c r="BA15" s="186"/>
      <c r="BB15" s="549">
        <f t="shared" si="18"/>
        <v>0</v>
      </c>
      <c r="BC15" s="186"/>
      <c r="BD15" s="549">
        <f t="shared" si="19"/>
        <v>0</v>
      </c>
      <c r="BE15" s="186"/>
      <c r="BF15" s="549">
        <f t="shared" si="20"/>
        <v>0</v>
      </c>
      <c r="BG15" s="573">
        <f t="shared" si="21"/>
        <v>0</v>
      </c>
      <c r="BH15" s="574">
        <f t="shared" si="22"/>
        <v>0</v>
      </c>
      <c r="BI15" s="552">
        <f t="shared" si="23"/>
        <v>0</v>
      </c>
      <c r="BK15" s="240">
        <f t="shared" si="24"/>
        <v>0</v>
      </c>
      <c r="BL15" s="240">
        <f t="shared" si="25"/>
        <v>0</v>
      </c>
      <c r="BM15" s="240">
        <f t="shared" si="26"/>
        <v>0</v>
      </c>
      <c r="BN15" s="240">
        <f t="shared" si="27"/>
        <v>0</v>
      </c>
      <c r="BO15" s="240">
        <f t="shared" si="28"/>
        <v>0</v>
      </c>
      <c r="BP15" s="240">
        <f t="shared" si="29"/>
        <v>0</v>
      </c>
      <c r="BQ15" s="240">
        <f t="shared" si="30"/>
        <v>0</v>
      </c>
      <c r="BR15" s="240">
        <f t="shared" si="31"/>
        <v>0</v>
      </c>
      <c r="BS15" s="240">
        <f t="shared" si="32"/>
        <v>0</v>
      </c>
    </row>
    <row r="16" ht="15.75" customHeight="1">
      <c r="A16" s="571">
        <v>45420.0</v>
      </c>
      <c r="B16" s="533"/>
      <c r="C16" s="533"/>
      <c r="D16" s="533"/>
      <c r="E16" s="533"/>
      <c r="F16" s="533"/>
      <c r="G16" s="534"/>
      <c r="H16" s="330"/>
      <c r="I16" s="535"/>
      <c r="J16" s="245">
        <f t="shared" si="4"/>
        <v>0</v>
      </c>
      <c r="K16" s="537"/>
      <c r="L16" s="537"/>
      <c r="M16" s="537"/>
      <c r="N16" s="537"/>
      <c r="O16" s="538">
        <f t="shared" si="5"/>
        <v>0</v>
      </c>
      <c r="P16" s="537"/>
      <c r="Q16" s="537"/>
      <c r="R16" s="537"/>
      <c r="S16" s="537"/>
      <c r="T16" s="249">
        <f t="shared" si="6"/>
        <v>0</v>
      </c>
      <c r="U16" s="572"/>
      <c r="V16" s="572"/>
      <c r="W16" s="537"/>
      <c r="X16" s="537"/>
      <c r="Y16" s="247">
        <f t="shared" si="7"/>
        <v>0</v>
      </c>
      <c r="Z16" s="250">
        <f t="shared" si="8"/>
        <v>0</v>
      </c>
      <c r="AA16" s="542"/>
      <c r="AB16" s="542"/>
      <c r="AC16" s="542"/>
      <c r="AD16" s="542"/>
      <c r="AE16" s="543"/>
      <c r="AF16" s="286">
        <f t="shared" si="35"/>
        <v>0</v>
      </c>
      <c r="AG16" s="543"/>
      <c r="AH16" s="286">
        <f t="shared" si="36"/>
        <v>0</v>
      </c>
      <c r="AI16" s="543"/>
      <c r="AJ16" s="286">
        <f t="shared" si="37"/>
        <v>0</v>
      </c>
      <c r="AK16" s="544">
        <f t="shared" si="11"/>
        <v>0</v>
      </c>
      <c r="AL16" s="545">
        <f t="shared" si="12"/>
        <v>0</v>
      </c>
      <c r="AM16" s="186"/>
      <c r="AN16" s="186"/>
      <c r="AO16" s="549" t="str">
        <f t="shared" si="13"/>
        <v/>
      </c>
      <c r="AP16" s="548">
        <f t="shared" si="34"/>
        <v>0</v>
      </c>
      <c r="AQ16" s="186"/>
      <c r="AR16" s="186"/>
      <c r="AS16" s="549"/>
      <c r="AT16" s="555"/>
      <c r="AU16" s="555"/>
      <c r="AV16" s="549">
        <f t="shared" si="15"/>
        <v>0</v>
      </c>
      <c r="AW16" s="186"/>
      <c r="AX16" s="549">
        <f t="shared" si="16"/>
        <v>0</v>
      </c>
      <c r="AY16" s="186"/>
      <c r="AZ16" s="549">
        <f t="shared" si="17"/>
        <v>0</v>
      </c>
      <c r="BA16" s="186"/>
      <c r="BB16" s="549">
        <f t="shared" si="18"/>
        <v>0</v>
      </c>
      <c r="BC16" s="186"/>
      <c r="BD16" s="549">
        <f t="shared" si="19"/>
        <v>0</v>
      </c>
      <c r="BE16" s="186"/>
      <c r="BF16" s="549">
        <f t="shared" si="20"/>
        <v>0</v>
      </c>
      <c r="BG16" s="573">
        <f t="shared" si="21"/>
        <v>0</v>
      </c>
      <c r="BH16" s="574">
        <f t="shared" si="22"/>
        <v>0</v>
      </c>
      <c r="BI16" s="552">
        <f t="shared" si="23"/>
        <v>0</v>
      </c>
      <c r="BJ16" s="222"/>
      <c r="BK16" s="240">
        <f t="shared" si="24"/>
        <v>0</v>
      </c>
      <c r="BL16" s="240">
        <f t="shared" si="25"/>
        <v>0</v>
      </c>
      <c r="BM16" s="240">
        <f t="shared" si="26"/>
        <v>0</v>
      </c>
      <c r="BN16" s="240">
        <f t="shared" si="27"/>
        <v>0</v>
      </c>
      <c r="BO16" s="240">
        <f t="shared" si="28"/>
        <v>0</v>
      </c>
      <c r="BP16" s="240">
        <f t="shared" si="29"/>
        <v>0</v>
      </c>
      <c r="BQ16" s="240">
        <f t="shared" si="30"/>
        <v>0</v>
      </c>
      <c r="BR16" s="240">
        <f t="shared" si="31"/>
        <v>0</v>
      </c>
      <c r="BS16" s="240">
        <f t="shared" si="32"/>
        <v>0</v>
      </c>
    </row>
    <row r="17" ht="15.75" customHeight="1">
      <c r="A17" s="571">
        <v>45421.0</v>
      </c>
      <c r="B17" s="533"/>
      <c r="C17" s="533"/>
      <c r="D17" s="533"/>
      <c r="E17" s="533"/>
      <c r="F17" s="533"/>
      <c r="G17" s="534"/>
      <c r="H17" s="330"/>
      <c r="I17" s="535"/>
      <c r="J17" s="245">
        <f t="shared" si="4"/>
        <v>0</v>
      </c>
      <c r="K17" s="537"/>
      <c r="L17" s="537"/>
      <c r="M17" s="537"/>
      <c r="N17" s="537"/>
      <c r="O17" s="538">
        <f t="shared" si="5"/>
        <v>0</v>
      </c>
      <c r="P17" s="537"/>
      <c r="Q17" s="537"/>
      <c r="R17" s="537"/>
      <c r="S17" s="537"/>
      <c r="T17" s="249">
        <f t="shared" si="6"/>
        <v>0</v>
      </c>
      <c r="U17" s="572"/>
      <c r="V17" s="572"/>
      <c r="W17" s="537"/>
      <c r="X17" s="537"/>
      <c r="Y17" s="247">
        <f t="shared" si="7"/>
        <v>0</v>
      </c>
      <c r="Z17" s="250">
        <f t="shared" si="8"/>
        <v>0</v>
      </c>
      <c r="AA17" s="542"/>
      <c r="AB17" s="542"/>
      <c r="AC17" s="542"/>
      <c r="AD17" s="542"/>
      <c r="AE17" s="543"/>
      <c r="AF17" s="286">
        <f t="shared" si="35"/>
        <v>0</v>
      </c>
      <c r="AG17" s="543"/>
      <c r="AH17" s="286">
        <f t="shared" si="36"/>
        <v>0</v>
      </c>
      <c r="AI17" s="543"/>
      <c r="AJ17" s="286">
        <f t="shared" si="37"/>
        <v>0</v>
      </c>
      <c r="AK17" s="544">
        <f t="shared" si="11"/>
        <v>0</v>
      </c>
      <c r="AL17" s="545">
        <f t="shared" si="12"/>
        <v>0</v>
      </c>
      <c r="AM17" s="186"/>
      <c r="AN17" s="186"/>
      <c r="AO17" s="549" t="str">
        <f t="shared" si="13"/>
        <v/>
      </c>
      <c r="AP17" s="548">
        <f t="shared" si="34"/>
        <v>0</v>
      </c>
      <c r="AQ17" s="186"/>
      <c r="AR17" s="186"/>
      <c r="AS17" s="549"/>
      <c r="AT17" s="186"/>
      <c r="AU17" s="186"/>
      <c r="AV17" s="549">
        <f t="shared" si="15"/>
        <v>0</v>
      </c>
      <c r="AW17" s="186"/>
      <c r="AX17" s="549">
        <f t="shared" si="16"/>
        <v>0</v>
      </c>
      <c r="AY17" s="186"/>
      <c r="AZ17" s="549">
        <f t="shared" si="17"/>
        <v>0</v>
      </c>
      <c r="BA17" s="186"/>
      <c r="BB17" s="549">
        <f t="shared" si="18"/>
        <v>0</v>
      </c>
      <c r="BC17" s="186"/>
      <c r="BD17" s="549">
        <f t="shared" si="19"/>
        <v>0</v>
      </c>
      <c r="BE17" s="186"/>
      <c r="BF17" s="549">
        <f t="shared" si="20"/>
        <v>0</v>
      </c>
      <c r="BG17" s="573">
        <f t="shared" si="21"/>
        <v>0</v>
      </c>
      <c r="BH17" s="574">
        <f t="shared" si="22"/>
        <v>0</v>
      </c>
      <c r="BI17" s="552">
        <f t="shared" si="23"/>
        <v>0</v>
      </c>
      <c r="BK17" s="240">
        <f t="shared" si="24"/>
        <v>0</v>
      </c>
      <c r="BL17" s="240">
        <f t="shared" si="25"/>
        <v>0</v>
      </c>
      <c r="BM17" s="240">
        <f t="shared" si="26"/>
        <v>0</v>
      </c>
      <c r="BN17" s="240">
        <f t="shared" si="27"/>
        <v>0</v>
      </c>
      <c r="BO17" s="240">
        <f t="shared" si="28"/>
        <v>0</v>
      </c>
      <c r="BP17" s="240">
        <f t="shared" si="29"/>
        <v>0</v>
      </c>
      <c r="BQ17" s="240">
        <f t="shared" si="30"/>
        <v>0</v>
      </c>
      <c r="BR17" s="240">
        <f t="shared" si="31"/>
        <v>0</v>
      </c>
      <c r="BS17" s="240">
        <f t="shared" si="32"/>
        <v>0</v>
      </c>
    </row>
    <row r="18" ht="15.75" customHeight="1">
      <c r="A18" s="571">
        <v>45422.0</v>
      </c>
      <c r="B18" s="533"/>
      <c r="C18" s="533"/>
      <c r="D18" s="533"/>
      <c r="E18" s="533"/>
      <c r="F18" s="533"/>
      <c r="G18" s="534"/>
      <c r="H18" s="330"/>
      <c r="I18" s="535"/>
      <c r="J18" s="245">
        <f t="shared" si="4"/>
        <v>0</v>
      </c>
      <c r="K18" s="537"/>
      <c r="L18" s="537"/>
      <c r="M18" s="537"/>
      <c r="N18" s="537"/>
      <c r="O18" s="538">
        <f t="shared" si="5"/>
        <v>0</v>
      </c>
      <c r="P18" s="537"/>
      <c r="Q18" s="537"/>
      <c r="R18" s="537"/>
      <c r="S18" s="537"/>
      <c r="T18" s="249">
        <f t="shared" si="6"/>
        <v>0</v>
      </c>
      <c r="U18" s="572"/>
      <c r="V18" s="572"/>
      <c r="W18" s="537"/>
      <c r="X18" s="537"/>
      <c r="Y18" s="247">
        <f t="shared" si="7"/>
        <v>0</v>
      </c>
      <c r="Z18" s="250">
        <f t="shared" si="8"/>
        <v>0</v>
      </c>
      <c r="AA18" s="542"/>
      <c r="AB18" s="542"/>
      <c r="AC18" s="542"/>
      <c r="AD18" s="542"/>
      <c r="AE18" s="543"/>
      <c r="AF18" s="286">
        <f t="shared" si="35"/>
        <v>0</v>
      </c>
      <c r="AG18" s="543"/>
      <c r="AH18" s="286">
        <f t="shared" si="36"/>
        <v>0</v>
      </c>
      <c r="AI18" s="543"/>
      <c r="AJ18" s="286">
        <f t="shared" si="37"/>
        <v>0</v>
      </c>
      <c r="AK18" s="544">
        <f t="shared" si="11"/>
        <v>0</v>
      </c>
      <c r="AL18" s="545">
        <f t="shared" si="12"/>
        <v>0</v>
      </c>
      <c r="AM18" s="186"/>
      <c r="AN18" s="186"/>
      <c r="AO18" s="549" t="str">
        <f t="shared" si="13"/>
        <v/>
      </c>
      <c r="AP18" s="548">
        <f t="shared" si="34"/>
        <v>0</v>
      </c>
      <c r="AQ18" s="186"/>
      <c r="AR18" s="186"/>
      <c r="AS18" s="549"/>
      <c r="AT18" s="186"/>
      <c r="AU18" s="186"/>
      <c r="AV18" s="549">
        <f t="shared" si="15"/>
        <v>0</v>
      </c>
      <c r="AW18" s="186"/>
      <c r="AX18" s="549">
        <f t="shared" si="16"/>
        <v>0</v>
      </c>
      <c r="AY18" s="186"/>
      <c r="AZ18" s="549">
        <f t="shared" si="17"/>
        <v>0</v>
      </c>
      <c r="BA18" s="186"/>
      <c r="BB18" s="549">
        <f t="shared" si="18"/>
        <v>0</v>
      </c>
      <c r="BC18" s="186"/>
      <c r="BD18" s="549">
        <f t="shared" si="19"/>
        <v>0</v>
      </c>
      <c r="BE18" s="186"/>
      <c r="BF18" s="549">
        <f t="shared" si="20"/>
        <v>0</v>
      </c>
      <c r="BG18" s="573">
        <f t="shared" si="21"/>
        <v>0</v>
      </c>
      <c r="BH18" s="574">
        <f t="shared" si="22"/>
        <v>0</v>
      </c>
      <c r="BI18" s="552">
        <f t="shared" si="23"/>
        <v>0</v>
      </c>
      <c r="BJ18" s="222"/>
      <c r="BK18" s="240">
        <f t="shared" si="24"/>
        <v>0</v>
      </c>
      <c r="BL18" s="240">
        <f t="shared" si="25"/>
        <v>0</v>
      </c>
      <c r="BM18" s="240">
        <f t="shared" si="26"/>
        <v>0</v>
      </c>
      <c r="BN18" s="240">
        <f t="shared" si="27"/>
        <v>0</v>
      </c>
      <c r="BO18" s="240">
        <f t="shared" si="28"/>
        <v>0</v>
      </c>
      <c r="BP18" s="240">
        <f t="shared" si="29"/>
        <v>0</v>
      </c>
      <c r="BQ18" s="240">
        <f t="shared" si="30"/>
        <v>0</v>
      </c>
      <c r="BR18" s="240">
        <f t="shared" si="31"/>
        <v>0</v>
      </c>
      <c r="BS18" s="240">
        <f t="shared" si="32"/>
        <v>0</v>
      </c>
    </row>
    <row r="19" ht="15.75" customHeight="1">
      <c r="A19" s="571">
        <v>45423.0</v>
      </c>
      <c r="B19" s="533"/>
      <c r="C19" s="533"/>
      <c r="D19" s="533"/>
      <c r="E19" s="533"/>
      <c r="F19" s="533"/>
      <c r="G19" s="534"/>
      <c r="H19" s="330"/>
      <c r="I19" s="535"/>
      <c r="J19" s="245">
        <f t="shared" si="4"/>
        <v>0</v>
      </c>
      <c r="K19" s="537"/>
      <c r="L19" s="537"/>
      <c r="M19" s="537"/>
      <c r="N19" s="537"/>
      <c r="O19" s="538">
        <f t="shared" si="5"/>
        <v>0</v>
      </c>
      <c r="P19" s="537"/>
      <c r="Q19" s="537"/>
      <c r="R19" s="537"/>
      <c r="S19" s="537"/>
      <c r="T19" s="249">
        <f t="shared" si="6"/>
        <v>0</v>
      </c>
      <c r="U19" s="572"/>
      <c r="V19" s="572"/>
      <c r="W19" s="537"/>
      <c r="X19" s="537"/>
      <c r="Y19" s="247">
        <f>+W19+X19</f>
        <v>0</v>
      </c>
      <c r="Z19" s="250">
        <f t="shared" si="8"/>
        <v>0</v>
      </c>
      <c r="AA19" s="542"/>
      <c r="AB19" s="542"/>
      <c r="AC19" s="542"/>
      <c r="AD19" s="542"/>
      <c r="AE19" s="543"/>
      <c r="AF19" s="286">
        <f t="shared" si="35"/>
        <v>0</v>
      </c>
      <c r="AG19" s="543"/>
      <c r="AH19" s="286">
        <f t="shared" si="36"/>
        <v>0</v>
      </c>
      <c r="AI19" s="543"/>
      <c r="AJ19" s="286">
        <f t="shared" si="37"/>
        <v>0</v>
      </c>
      <c r="AK19" s="544">
        <f t="shared" si="11"/>
        <v>0</v>
      </c>
      <c r="AL19" s="545">
        <f t="shared" si="12"/>
        <v>0</v>
      </c>
      <c r="AM19" s="186"/>
      <c r="AN19" s="186"/>
      <c r="AO19" s="549" t="str">
        <f t="shared" si="13"/>
        <v/>
      </c>
      <c r="AP19" s="548">
        <f t="shared" si="34"/>
        <v>0</v>
      </c>
      <c r="AQ19" s="186"/>
      <c r="AR19" s="186"/>
      <c r="AS19" s="549"/>
      <c r="AT19" s="186"/>
      <c r="AU19" s="186"/>
      <c r="AV19" s="549">
        <f t="shared" si="15"/>
        <v>0</v>
      </c>
      <c r="AW19" s="186"/>
      <c r="AX19" s="549">
        <f t="shared" si="16"/>
        <v>0</v>
      </c>
      <c r="AY19" s="186"/>
      <c r="AZ19" s="549">
        <f t="shared" si="17"/>
        <v>0</v>
      </c>
      <c r="BA19" s="186"/>
      <c r="BB19" s="549">
        <f t="shared" si="18"/>
        <v>0</v>
      </c>
      <c r="BC19" s="186"/>
      <c r="BD19" s="549">
        <f t="shared" si="19"/>
        <v>0</v>
      </c>
      <c r="BE19" s="186"/>
      <c r="BF19" s="549">
        <f t="shared" si="20"/>
        <v>0</v>
      </c>
      <c r="BG19" s="573">
        <f t="shared" si="21"/>
        <v>0</v>
      </c>
      <c r="BH19" s="574">
        <f t="shared" si="22"/>
        <v>0</v>
      </c>
      <c r="BI19" s="552">
        <f t="shared" si="23"/>
        <v>0</v>
      </c>
      <c r="BK19" s="240">
        <f t="shared" si="24"/>
        <v>0</v>
      </c>
      <c r="BL19" s="240">
        <f t="shared" si="25"/>
        <v>0</v>
      </c>
      <c r="BM19" s="240">
        <f t="shared" si="26"/>
        <v>0</v>
      </c>
      <c r="BN19" s="240">
        <f t="shared" si="27"/>
        <v>0</v>
      </c>
      <c r="BO19" s="240">
        <f t="shared" si="28"/>
        <v>0</v>
      </c>
      <c r="BP19" s="240">
        <f t="shared" si="29"/>
        <v>0</v>
      </c>
      <c r="BQ19" s="240">
        <f t="shared" si="30"/>
        <v>0</v>
      </c>
      <c r="BR19" s="240">
        <f t="shared" si="31"/>
        <v>0</v>
      </c>
      <c r="BS19" s="240">
        <f t="shared" si="32"/>
        <v>0</v>
      </c>
    </row>
    <row r="20" ht="15.75" customHeight="1">
      <c r="A20" s="571">
        <v>45424.0</v>
      </c>
      <c r="B20" s="533"/>
      <c r="C20" s="533"/>
      <c r="D20" s="533"/>
      <c r="E20" s="533"/>
      <c r="F20" s="533"/>
      <c r="G20" s="534"/>
      <c r="H20" s="330"/>
      <c r="I20" s="535"/>
      <c r="J20" s="245">
        <f t="shared" si="4"/>
        <v>0</v>
      </c>
      <c r="K20" s="537"/>
      <c r="L20" s="537"/>
      <c r="M20" s="537"/>
      <c r="N20" s="537"/>
      <c r="O20" s="538">
        <f t="shared" si="5"/>
        <v>0</v>
      </c>
      <c r="P20" s="537"/>
      <c r="Q20" s="537"/>
      <c r="R20" s="537"/>
      <c r="S20" s="537"/>
      <c r="T20" s="249">
        <f t="shared" si="6"/>
        <v>0</v>
      </c>
      <c r="U20" s="572"/>
      <c r="V20" s="572"/>
      <c r="W20" s="537"/>
      <c r="X20" s="537"/>
      <c r="Y20" s="247">
        <f t="shared" ref="Y20:Y39" si="38">SUM(W20:X20)</f>
        <v>0</v>
      </c>
      <c r="Z20" s="250">
        <f t="shared" si="8"/>
        <v>0</v>
      </c>
      <c r="AA20" s="542"/>
      <c r="AB20" s="542"/>
      <c r="AC20" s="542"/>
      <c r="AD20" s="542"/>
      <c r="AE20" s="543"/>
      <c r="AF20" s="286">
        <f t="shared" si="35"/>
        <v>0</v>
      </c>
      <c r="AG20" s="543"/>
      <c r="AH20" s="286">
        <f t="shared" si="36"/>
        <v>0</v>
      </c>
      <c r="AI20" s="543"/>
      <c r="AJ20" s="286">
        <f t="shared" si="37"/>
        <v>0</v>
      </c>
      <c r="AK20" s="544">
        <f t="shared" si="11"/>
        <v>0</v>
      </c>
      <c r="AL20" s="545">
        <f t="shared" si="12"/>
        <v>0</v>
      </c>
      <c r="AM20" s="186"/>
      <c r="AN20" s="186"/>
      <c r="AO20" s="549" t="str">
        <f t="shared" si="13"/>
        <v/>
      </c>
      <c r="AP20" s="548">
        <f t="shared" si="34"/>
        <v>0</v>
      </c>
      <c r="AQ20" s="186"/>
      <c r="AR20" s="186"/>
      <c r="AS20" s="549"/>
      <c r="AT20" s="186"/>
      <c r="AU20" s="186"/>
      <c r="AV20" s="549">
        <f t="shared" si="15"/>
        <v>0</v>
      </c>
      <c r="AW20" s="186"/>
      <c r="AX20" s="549">
        <f t="shared" si="16"/>
        <v>0</v>
      </c>
      <c r="AY20" s="186"/>
      <c r="AZ20" s="549">
        <f t="shared" si="17"/>
        <v>0</v>
      </c>
      <c r="BA20" s="186"/>
      <c r="BB20" s="549">
        <f t="shared" si="18"/>
        <v>0</v>
      </c>
      <c r="BC20" s="186"/>
      <c r="BD20" s="549">
        <f t="shared" si="19"/>
        <v>0</v>
      </c>
      <c r="BE20" s="186"/>
      <c r="BF20" s="549">
        <f t="shared" si="20"/>
        <v>0</v>
      </c>
      <c r="BG20" s="573">
        <f t="shared" si="21"/>
        <v>0</v>
      </c>
      <c r="BH20" s="574">
        <f t="shared" si="22"/>
        <v>0</v>
      </c>
      <c r="BI20" s="552">
        <f t="shared" si="23"/>
        <v>0</v>
      </c>
      <c r="BK20" s="240">
        <f t="shared" si="24"/>
        <v>0</v>
      </c>
      <c r="BL20" s="240">
        <f t="shared" si="25"/>
        <v>0</v>
      </c>
      <c r="BM20" s="240">
        <f t="shared" si="26"/>
        <v>0</v>
      </c>
      <c r="BN20" s="240">
        <f t="shared" si="27"/>
        <v>0</v>
      </c>
      <c r="BO20" s="240">
        <f t="shared" si="28"/>
        <v>0</v>
      </c>
      <c r="BP20" s="240">
        <f t="shared" si="29"/>
        <v>0</v>
      </c>
      <c r="BQ20" s="240">
        <f t="shared" si="30"/>
        <v>0</v>
      </c>
      <c r="BR20" s="240">
        <f t="shared" si="31"/>
        <v>0</v>
      </c>
      <c r="BS20" s="240">
        <f t="shared" si="32"/>
        <v>0</v>
      </c>
    </row>
    <row r="21" ht="15.75" customHeight="1">
      <c r="A21" s="571">
        <v>45425.0</v>
      </c>
      <c r="B21" s="533"/>
      <c r="C21" s="533"/>
      <c r="D21" s="533"/>
      <c r="E21" s="533"/>
      <c r="F21" s="533"/>
      <c r="G21" s="534"/>
      <c r="H21" s="330"/>
      <c r="I21" s="535"/>
      <c r="J21" s="245">
        <f t="shared" si="4"/>
        <v>0</v>
      </c>
      <c r="K21" s="537"/>
      <c r="L21" s="537"/>
      <c r="M21" s="537"/>
      <c r="N21" s="537"/>
      <c r="O21" s="538">
        <f t="shared" si="5"/>
        <v>0</v>
      </c>
      <c r="P21" s="537"/>
      <c r="Q21" s="537"/>
      <c r="R21" s="537"/>
      <c r="S21" s="537"/>
      <c r="T21" s="249">
        <f t="shared" si="6"/>
        <v>0</v>
      </c>
      <c r="U21" s="572"/>
      <c r="V21" s="572"/>
      <c r="W21" s="537"/>
      <c r="X21" s="537"/>
      <c r="Y21" s="247">
        <f t="shared" si="38"/>
        <v>0</v>
      </c>
      <c r="Z21" s="250">
        <f t="shared" si="8"/>
        <v>0</v>
      </c>
      <c r="AA21" s="542"/>
      <c r="AB21" s="542"/>
      <c r="AC21" s="542"/>
      <c r="AD21" s="542"/>
      <c r="AE21" s="543"/>
      <c r="AF21" s="286">
        <f t="shared" si="35"/>
        <v>0</v>
      </c>
      <c r="AG21" s="543"/>
      <c r="AH21" s="286">
        <f t="shared" si="36"/>
        <v>0</v>
      </c>
      <c r="AI21" s="543"/>
      <c r="AJ21" s="286">
        <f t="shared" si="37"/>
        <v>0</v>
      </c>
      <c r="AK21" s="544">
        <f t="shared" si="11"/>
        <v>0</v>
      </c>
      <c r="AL21" s="545">
        <f t="shared" si="12"/>
        <v>0</v>
      </c>
      <c r="AM21" s="186"/>
      <c r="AN21" s="186"/>
      <c r="AO21" s="549" t="str">
        <f t="shared" si="13"/>
        <v/>
      </c>
      <c r="AP21" s="548">
        <f t="shared" si="34"/>
        <v>0</v>
      </c>
      <c r="AQ21" s="186"/>
      <c r="AR21" s="186"/>
      <c r="AS21" s="549"/>
      <c r="AT21" s="186"/>
      <c r="AU21" s="186"/>
      <c r="AV21" s="549">
        <f t="shared" si="15"/>
        <v>0</v>
      </c>
      <c r="AW21" s="186"/>
      <c r="AX21" s="549">
        <f t="shared" si="16"/>
        <v>0</v>
      </c>
      <c r="AY21" s="186"/>
      <c r="AZ21" s="549">
        <f t="shared" si="17"/>
        <v>0</v>
      </c>
      <c r="BA21" s="186"/>
      <c r="BB21" s="549">
        <f t="shared" si="18"/>
        <v>0</v>
      </c>
      <c r="BC21" s="186"/>
      <c r="BD21" s="549">
        <f t="shared" si="19"/>
        <v>0</v>
      </c>
      <c r="BE21" s="186"/>
      <c r="BF21" s="549">
        <f t="shared" si="20"/>
        <v>0</v>
      </c>
      <c r="BG21" s="573">
        <f t="shared" si="21"/>
        <v>0</v>
      </c>
      <c r="BH21" s="574">
        <f t="shared" si="22"/>
        <v>0</v>
      </c>
      <c r="BI21" s="552">
        <f t="shared" si="23"/>
        <v>0</v>
      </c>
      <c r="BK21" s="240">
        <f t="shared" si="24"/>
        <v>0</v>
      </c>
      <c r="BL21" s="240">
        <f t="shared" si="25"/>
        <v>0</v>
      </c>
      <c r="BM21" s="240">
        <f t="shared" si="26"/>
        <v>0</v>
      </c>
      <c r="BN21" s="240">
        <f t="shared" si="27"/>
        <v>0</v>
      </c>
      <c r="BO21" s="240">
        <f t="shared" si="28"/>
        <v>0</v>
      </c>
      <c r="BP21" s="240">
        <f t="shared" si="29"/>
        <v>0</v>
      </c>
      <c r="BQ21" s="240">
        <f t="shared" si="30"/>
        <v>0</v>
      </c>
      <c r="BR21" s="240">
        <f t="shared" si="31"/>
        <v>0</v>
      </c>
      <c r="BS21" s="240">
        <f t="shared" si="32"/>
        <v>0</v>
      </c>
    </row>
    <row r="22" ht="15.75" customHeight="1">
      <c r="A22" s="571">
        <v>45426.0</v>
      </c>
      <c r="B22" s="533"/>
      <c r="C22" s="533"/>
      <c r="D22" s="533"/>
      <c r="E22" s="533"/>
      <c r="F22" s="533"/>
      <c r="G22" s="534"/>
      <c r="H22" s="330"/>
      <c r="I22" s="535"/>
      <c r="J22" s="245">
        <f t="shared" si="4"/>
        <v>0</v>
      </c>
      <c r="K22" s="537"/>
      <c r="L22" s="537"/>
      <c r="M22" s="537"/>
      <c r="N22" s="537"/>
      <c r="O22" s="538">
        <f t="shared" si="5"/>
        <v>0</v>
      </c>
      <c r="P22" s="537"/>
      <c r="Q22" s="537"/>
      <c r="R22" s="537"/>
      <c r="S22" s="537"/>
      <c r="T22" s="249">
        <f t="shared" si="6"/>
        <v>0</v>
      </c>
      <c r="U22" s="572"/>
      <c r="V22" s="572"/>
      <c r="W22" s="537"/>
      <c r="X22" s="537"/>
      <c r="Y22" s="247">
        <f t="shared" si="38"/>
        <v>0</v>
      </c>
      <c r="Z22" s="250">
        <f t="shared" si="8"/>
        <v>0</v>
      </c>
      <c r="AA22" s="542"/>
      <c r="AB22" s="542"/>
      <c r="AC22" s="542"/>
      <c r="AD22" s="542"/>
      <c r="AE22" s="543"/>
      <c r="AF22" s="286">
        <f t="shared" ref="AF22:AF38" si="39">(AE22*AH$1)</f>
        <v>0</v>
      </c>
      <c r="AG22" s="543"/>
      <c r="AH22" s="286">
        <f t="shared" ref="AH22:AH38" si="40">AG22*AH$2</f>
        <v>0</v>
      </c>
      <c r="AI22" s="543"/>
      <c r="AJ22" s="286">
        <f t="shared" ref="AJ22:AJ38" si="41">AI22*AH$2</f>
        <v>0</v>
      </c>
      <c r="AK22" s="544">
        <f t="shared" si="11"/>
        <v>0</v>
      </c>
      <c r="AL22" s="545">
        <f t="shared" si="12"/>
        <v>0</v>
      </c>
      <c r="AM22" s="186"/>
      <c r="AN22" s="186"/>
      <c r="AO22" s="549" t="str">
        <f t="shared" si="13"/>
        <v/>
      </c>
      <c r="AP22" s="548">
        <f t="shared" si="34"/>
        <v>0</v>
      </c>
      <c r="AQ22" s="186"/>
      <c r="AR22" s="186"/>
      <c r="AS22" s="549"/>
      <c r="AT22" s="186"/>
      <c r="AU22" s="186"/>
      <c r="AV22" s="549">
        <f t="shared" si="15"/>
        <v>0</v>
      </c>
      <c r="AW22" s="186"/>
      <c r="AX22" s="549">
        <f t="shared" si="16"/>
        <v>0</v>
      </c>
      <c r="AY22" s="186"/>
      <c r="AZ22" s="549">
        <f t="shared" si="17"/>
        <v>0</v>
      </c>
      <c r="BA22" s="186"/>
      <c r="BB22" s="549">
        <f t="shared" si="18"/>
        <v>0</v>
      </c>
      <c r="BC22" s="186"/>
      <c r="BD22" s="549">
        <f t="shared" si="19"/>
        <v>0</v>
      </c>
      <c r="BE22" s="186"/>
      <c r="BF22" s="549">
        <f t="shared" si="20"/>
        <v>0</v>
      </c>
      <c r="BG22" s="573">
        <f t="shared" si="21"/>
        <v>0</v>
      </c>
      <c r="BH22" s="574">
        <f t="shared" si="22"/>
        <v>0</v>
      </c>
      <c r="BI22" s="552">
        <f t="shared" si="23"/>
        <v>0</v>
      </c>
      <c r="BK22" s="240">
        <f t="shared" si="24"/>
        <v>0</v>
      </c>
      <c r="BL22" s="240">
        <f t="shared" si="25"/>
        <v>0</v>
      </c>
      <c r="BM22" s="240">
        <f t="shared" si="26"/>
        <v>0</v>
      </c>
      <c r="BN22" s="240">
        <f t="shared" si="27"/>
        <v>0</v>
      </c>
      <c r="BO22" s="240">
        <f t="shared" si="28"/>
        <v>0</v>
      </c>
      <c r="BP22" s="240">
        <f t="shared" si="29"/>
        <v>0</v>
      </c>
      <c r="BQ22" s="240">
        <f t="shared" si="30"/>
        <v>0</v>
      </c>
      <c r="BR22" s="240">
        <f t="shared" si="31"/>
        <v>0</v>
      </c>
      <c r="BS22" s="240">
        <f t="shared" si="32"/>
        <v>0</v>
      </c>
    </row>
    <row r="23" ht="15.75" customHeight="1">
      <c r="A23" s="571">
        <v>45427.0</v>
      </c>
      <c r="B23" s="533"/>
      <c r="C23" s="533"/>
      <c r="D23" s="533"/>
      <c r="E23" s="533"/>
      <c r="F23" s="533"/>
      <c r="G23" s="534"/>
      <c r="H23" s="330"/>
      <c r="I23" s="535"/>
      <c r="J23" s="245">
        <f t="shared" si="4"/>
        <v>0</v>
      </c>
      <c r="K23" s="537"/>
      <c r="L23" s="537"/>
      <c r="M23" s="537"/>
      <c r="N23" s="537"/>
      <c r="O23" s="538">
        <f t="shared" si="5"/>
        <v>0</v>
      </c>
      <c r="P23" s="537"/>
      <c r="Q23" s="537"/>
      <c r="R23" s="537"/>
      <c r="S23" s="537"/>
      <c r="T23" s="249">
        <f t="shared" si="6"/>
        <v>0</v>
      </c>
      <c r="U23" s="572"/>
      <c r="V23" s="572"/>
      <c r="W23" s="537"/>
      <c r="X23" s="537"/>
      <c r="Y23" s="247">
        <f t="shared" si="38"/>
        <v>0</v>
      </c>
      <c r="Z23" s="250">
        <f t="shared" si="8"/>
        <v>0</v>
      </c>
      <c r="AA23" s="542"/>
      <c r="AB23" s="542"/>
      <c r="AC23" s="542"/>
      <c r="AD23" s="542"/>
      <c r="AE23" s="543"/>
      <c r="AF23" s="286">
        <f t="shared" si="39"/>
        <v>0</v>
      </c>
      <c r="AG23" s="543"/>
      <c r="AH23" s="286">
        <f t="shared" si="40"/>
        <v>0</v>
      </c>
      <c r="AI23" s="543"/>
      <c r="AJ23" s="286">
        <f t="shared" si="41"/>
        <v>0</v>
      </c>
      <c r="AK23" s="544">
        <f t="shared" si="11"/>
        <v>0</v>
      </c>
      <c r="AL23" s="545">
        <f t="shared" si="12"/>
        <v>0</v>
      </c>
      <c r="AM23" s="186"/>
      <c r="AN23" s="186"/>
      <c r="AO23" s="549" t="str">
        <f t="shared" si="13"/>
        <v/>
      </c>
      <c r="AP23" s="548">
        <f t="shared" si="34"/>
        <v>0</v>
      </c>
      <c r="AQ23" s="186"/>
      <c r="AR23" s="186"/>
      <c r="AS23" s="549"/>
      <c r="AT23" s="186"/>
      <c r="AU23" s="186"/>
      <c r="AV23" s="549">
        <f t="shared" si="15"/>
        <v>0</v>
      </c>
      <c r="AW23" s="186"/>
      <c r="AX23" s="549">
        <f t="shared" si="16"/>
        <v>0</v>
      </c>
      <c r="AY23" s="186"/>
      <c r="AZ23" s="549">
        <f t="shared" si="17"/>
        <v>0</v>
      </c>
      <c r="BA23" s="186"/>
      <c r="BB23" s="549">
        <f t="shared" si="18"/>
        <v>0</v>
      </c>
      <c r="BC23" s="186"/>
      <c r="BD23" s="549">
        <f t="shared" si="19"/>
        <v>0</v>
      </c>
      <c r="BE23" s="186"/>
      <c r="BF23" s="549">
        <f t="shared" si="20"/>
        <v>0</v>
      </c>
      <c r="BG23" s="573">
        <f t="shared" si="21"/>
        <v>0</v>
      </c>
      <c r="BH23" s="574">
        <f t="shared" si="22"/>
        <v>0</v>
      </c>
      <c r="BI23" s="552">
        <f t="shared" si="23"/>
        <v>0</v>
      </c>
      <c r="BK23" s="240">
        <f t="shared" si="24"/>
        <v>0</v>
      </c>
      <c r="BL23" s="240">
        <f t="shared" si="25"/>
        <v>0</v>
      </c>
      <c r="BM23" s="240">
        <f t="shared" si="26"/>
        <v>0</v>
      </c>
      <c r="BN23" s="240">
        <f t="shared" si="27"/>
        <v>0</v>
      </c>
      <c r="BO23" s="240">
        <f t="shared" si="28"/>
        <v>0</v>
      </c>
      <c r="BP23" s="240">
        <f t="shared" si="29"/>
        <v>0</v>
      </c>
      <c r="BQ23" s="240">
        <f t="shared" si="30"/>
        <v>0</v>
      </c>
      <c r="BR23" s="240">
        <f t="shared" si="31"/>
        <v>0</v>
      </c>
      <c r="BS23" s="240">
        <f t="shared" si="32"/>
        <v>0</v>
      </c>
    </row>
    <row r="24" ht="15.75" customHeight="1">
      <c r="A24" s="571">
        <v>45428.0</v>
      </c>
      <c r="B24" s="533"/>
      <c r="C24" s="533"/>
      <c r="D24" s="533"/>
      <c r="E24" s="533"/>
      <c r="F24" s="533"/>
      <c r="G24" s="534"/>
      <c r="H24" s="330"/>
      <c r="I24" s="535"/>
      <c r="J24" s="245">
        <f t="shared" si="4"/>
        <v>0</v>
      </c>
      <c r="K24" s="537"/>
      <c r="L24" s="537"/>
      <c r="M24" s="537"/>
      <c r="N24" s="537"/>
      <c r="O24" s="538">
        <f t="shared" si="5"/>
        <v>0</v>
      </c>
      <c r="P24" s="537"/>
      <c r="Q24" s="537"/>
      <c r="R24" s="537"/>
      <c r="S24" s="537"/>
      <c r="T24" s="249">
        <f t="shared" si="6"/>
        <v>0</v>
      </c>
      <c r="U24" s="572"/>
      <c r="V24" s="572"/>
      <c r="W24" s="537"/>
      <c r="X24" s="537"/>
      <c r="Y24" s="247">
        <f t="shared" si="38"/>
        <v>0</v>
      </c>
      <c r="Z24" s="250">
        <f t="shared" si="8"/>
        <v>0</v>
      </c>
      <c r="AA24" s="542"/>
      <c r="AB24" s="542"/>
      <c r="AC24" s="542"/>
      <c r="AD24" s="542"/>
      <c r="AE24" s="543"/>
      <c r="AF24" s="286">
        <f t="shared" si="39"/>
        <v>0</v>
      </c>
      <c r="AG24" s="543"/>
      <c r="AH24" s="286">
        <f t="shared" si="40"/>
        <v>0</v>
      </c>
      <c r="AI24" s="543"/>
      <c r="AJ24" s="286">
        <f t="shared" si="41"/>
        <v>0</v>
      </c>
      <c r="AK24" s="544">
        <f t="shared" si="11"/>
        <v>0</v>
      </c>
      <c r="AL24" s="545">
        <f t="shared" si="12"/>
        <v>0</v>
      </c>
      <c r="AM24" s="186"/>
      <c r="AN24" s="186"/>
      <c r="AO24" s="549" t="str">
        <f t="shared" si="13"/>
        <v/>
      </c>
      <c r="AP24" s="548">
        <f t="shared" si="34"/>
        <v>0</v>
      </c>
      <c r="AQ24" s="186"/>
      <c r="AR24" s="186"/>
      <c r="AS24" s="549"/>
      <c r="AT24" s="186"/>
      <c r="AU24" s="186"/>
      <c r="AV24" s="549">
        <f t="shared" si="15"/>
        <v>0</v>
      </c>
      <c r="AW24" s="186"/>
      <c r="AX24" s="549">
        <f t="shared" si="16"/>
        <v>0</v>
      </c>
      <c r="AY24" s="186"/>
      <c r="AZ24" s="549">
        <f t="shared" si="17"/>
        <v>0</v>
      </c>
      <c r="BA24" s="186"/>
      <c r="BB24" s="549">
        <f t="shared" si="18"/>
        <v>0</v>
      </c>
      <c r="BC24" s="186"/>
      <c r="BD24" s="549">
        <f t="shared" si="19"/>
        <v>0</v>
      </c>
      <c r="BE24" s="186"/>
      <c r="BF24" s="549">
        <f t="shared" si="20"/>
        <v>0</v>
      </c>
      <c r="BG24" s="573">
        <f t="shared" si="21"/>
        <v>0</v>
      </c>
      <c r="BH24" s="574">
        <f t="shared" si="22"/>
        <v>0</v>
      </c>
      <c r="BI24" s="552">
        <f t="shared" si="23"/>
        <v>0</v>
      </c>
      <c r="BJ24" s="222"/>
      <c r="BK24" s="240">
        <f t="shared" si="24"/>
        <v>0</v>
      </c>
      <c r="BL24" s="240">
        <f t="shared" si="25"/>
        <v>0</v>
      </c>
      <c r="BM24" s="240">
        <f t="shared" si="26"/>
        <v>0</v>
      </c>
      <c r="BN24" s="240">
        <f t="shared" si="27"/>
        <v>0</v>
      </c>
      <c r="BO24" s="240">
        <f t="shared" si="28"/>
        <v>0</v>
      </c>
      <c r="BP24" s="240">
        <f t="shared" si="29"/>
        <v>0</v>
      </c>
      <c r="BQ24" s="240">
        <f t="shared" si="30"/>
        <v>0</v>
      </c>
      <c r="BR24" s="240">
        <f t="shared" si="31"/>
        <v>0</v>
      </c>
      <c r="BS24" s="240">
        <f t="shared" si="32"/>
        <v>0</v>
      </c>
    </row>
    <row r="25" ht="15.75" customHeight="1">
      <c r="A25" s="571">
        <v>45429.0</v>
      </c>
      <c r="B25" s="533"/>
      <c r="C25" s="533"/>
      <c r="D25" s="533"/>
      <c r="E25" s="533"/>
      <c r="F25" s="533"/>
      <c r="G25" s="534"/>
      <c r="H25" s="330"/>
      <c r="I25" s="535"/>
      <c r="J25" s="245">
        <f t="shared" si="4"/>
        <v>0</v>
      </c>
      <c r="K25" s="537"/>
      <c r="L25" s="537"/>
      <c r="M25" s="537"/>
      <c r="N25" s="537"/>
      <c r="O25" s="538">
        <f t="shared" si="5"/>
        <v>0</v>
      </c>
      <c r="P25" s="537"/>
      <c r="Q25" s="537"/>
      <c r="R25" s="537"/>
      <c r="S25" s="537"/>
      <c r="T25" s="249">
        <f t="shared" si="6"/>
        <v>0</v>
      </c>
      <c r="U25" s="572"/>
      <c r="V25" s="572"/>
      <c r="W25" s="537"/>
      <c r="X25" s="537"/>
      <c r="Y25" s="247">
        <f t="shared" si="38"/>
        <v>0</v>
      </c>
      <c r="Z25" s="250">
        <f t="shared" si="8"/>
        <v>0</v>
      </c>
      <c r="AA25" s="542"/>
      <c r="AB25" s="542"/>
      <c r="AC25" s="542"/>
      <c r="AD25" s="542"/>
      <c r="AE25" s="543"/>
      <c r="AF25" s="286">
        <f t="shared" si="39"/>
        <v>0</v>
      </c>
      <c r="AG25" s="543"/>
      <c r="AH25" s="286">
        <f t="shared" si="40"/>
        <v>0</v>
      </c>
      <c r="AI25" s="543"/>
      <c r="AJ25" s="286">
        <f t="shared" si="41"/>
        <v>0</v>
      </c>
      <c r="AK25" s="544">
        <f t="shared" si="11"/>
        <v>0</v>
      </c>
      <c r="AL25" s="545">
        <f t="shared" si="12"/>
        <v>0</v>
      </c>
      <c r="AM25" s="186"/>
      <c r="AN25" s="330"/>
      <c r="AO25" s="549" t="str">
        <f t="shared" si="13"/>
        <v/>
      </c>
      <c r="AP25" s="548">
        <f t="shared" si="34"/>
        <v>0</v>
      </c>
      <c r="AQ25" s="186"/>
      <c r="AR25" s="186"/>
      <c r="AS25" s="549"/>
      <c r="AT25" s="186"/>
      <c r="AU25" s="186"/>
      <c r="AV25" s="549">
        <f t="shared" si="15"/>
        <v>0</v>
      </c>
      <c r="AW25" s="186"/>
      <c r="AX25" s="549">
        <f t="shared" si="16"/>
        <v>0</v>
      </c>
      <c r="AY25" s="186"/>
      <c r="AZ25" s="549">
        <f t="shared" si="17"/>
        <v>0</v>
      </c>
      <c r="BA25" s="186"/>
      <c r="BB25" s="549">
        <f t="shared" si="18"/>
        <v>0</v>
      </c>
      <c r="BC25" s="186"/>
      <c r="BD25" s="549">
        <f t="shared" si="19"/>
        <v>0</v>
      </c>
      <c r="BE25" s="186"/>
      <c r="BF25" s="549">
        <f t="shared" si="20"/>
        <v>0</v>
      </c>
      <c r="BG25" s="573">
        <f t="shared" si="21"/>
        <v>0</v>
      </c>
      <c r="BH25" s="574">
        <f t="shared" si="22"/>
        <v>0</v>
      </c>
      <c r="BI25" s="552">
        <f t="shared" si="23"/>
        <v>0</v>
      </c>
      <c r="BK25" s="240">
        <f t="shared" si="24"/>
        <v>0</v>
      </c>
      <c r="BL25" s="240">
        <f t="shared" si="25"/>
        <v>0</v>
      </c>
      <c r="BM25" s="240">
        <f t="shared" si="26"/>
        <v>0</v>
      </c>
      <c r="BN25" s="240">
        <f t="shared" si="27"/>
        <v>0</v>
      </c>
      <c r="BO25" s="240">
        <f t="shared" si="28"/>
        <v>0</v>
      </c>
      <c r="BP25" s="240">
        <f t="shared" si="29"/>
        <v>0</v>
      </c>
      <c r="BQ25" s="240">
        <f t="shared" si="30"/>
        <v>0</v>
      </c>
      <c r="BR25" s="240">
        <f t="shared" si="31"/>
        <v>0</v>
      </c>
      <c r="BS25" s="240">
        <f t="shared" si="32"/>
        <v>0</v>
      </c>
    </row>
    <row r="26" ht="15.75" customHeight="1">
      <c r="A26" s="571">
        <v>45430.0</v>
      </c>
      <c r="B26" s="533"/>
      <c r="C26" s="533"/>
      <c r="D26" s="533"/>
      <c r="E26" s="533"/>
      <c r="F26" s="533"/>
      <c r="G26" s="534"/>
      <c r="H26" s="330"/>
      <c r="I26" s="535"/>
      <c r="J26" s="245">
        <f t="shared" si="4"/>
        <v>0</v>
      </c>
      <c r="K26" s="537"/>
      <c r="L26" s="537"/>
      <c r="M26" s="537"/>
      <c r="N26" s="537"/>
      <c r="O26" s="538">
        <f t="shared" si="5"/>
        <v>0</v>
      </c>
      <c r="P26" s="537"/>
      <c r="Q26" s="537"/>
      <c r="R26" s="537"/>
      <c r="S26" s="537"/>
      <c r="T26" s="249">
        <f t="shared" si="6"/>
        <v>0</v>
      </c>
      <c r="U26" s="572"/>
      <c r="V26" s="572"/>
      <c r="W26" s="537"/>
      <c r="X26" s="537"/>
      <c r="Y26" s="247">
        <f t="shared" si="38"/>
        <v>0</v>
      </c>
      <c r="Z26" s="250">
        <f t="shared" si="8"/>
        <v>0</v>
      </c>
      <c r="AA26" s="542"/>
      <c r="AB26" s="542"/>
      <c r="AC26" s="542"/>
      <c r="AD26" s="542"/>
      <c r="AE26" s="543"/>
      <c r="AF26" s="286">
        <f t="shared" si="39"/>
        <v>0</v>
      </c>
      <c r="AG26" s="543"/>
      <c r="AH26" s="286">
        <f t="shared" si="40"/>
        <v>0</v>
      </c>
      <c r="AI26" s="543"/>
      <c r="AJ26" s="286">
        <f t="shared" si="41"/>
        <v>0</v>
      </c>
      <c r="AK26" s="544">
        <f t="shared" si="11"/>
        <v>0</v>
      </c>
      <c r="AL26" s="545">
        <f t="shared" si="12"/>
        <v>0</v>
      </c>
      <c r="AM26" s="186"/>
      <c r="AN26" s="186"/>
      <c r="AO26" s="549" t="str">
        <f t="shared" si="13"/>
        <v/>
      </c>
      <c r="AP26" s="548">
        <f t="shared" si="34"/>
        <v>0</v>
      </c>
      <c r="AQ26" s="186"/>
      <c r="AR26" s="186"/>
      <c r="AS26" s="549"/>
      <c r="AT26" s="186"/>
      <c r="AU26" s="186"/>
      <c r="AV26" s="549">
        <f t="shared" si="15"/>
        <v>0</v>
      </c>
      <c r="AW26" s="186"/>
      <c r="AX26" s="549">
        <f t="shared" si="16"/>
        <v>0</v>
      </c>
      <c r="AY26" s="186"/>
      <c r="AZ26" s="549">
        <f t="shared" si="17"/>
        <v>0</v>
      </c>
      <c r="BA26" s="186"/>
      <c r="BB26" s="549">
        <f t="shared" si="18"/>
        <v>0</v>
      </c>
      <c r="BC26" s="186"/>
      <c r="BD26" s="549">
        <f t="shared" si="19"/>
        <v>0</v>
      </c>
      <c r="BE26" s="186"/>
      <c r="BF26" s="549">
        <f t="shared" si="20"/>
        <v>0</v>
      </c>
      <c r="BG26" s="573">
        <f t="shared" si="21"/>
        <v>0</v>
      </c>
      <c r="BH26" s="574">
        <f t="shared" si="22"/>
        <v>0</v>
      </c>
      <c r="BI26" s="552">
        <f t="shared" si="23"/>
        <v>0</v>
      </c>
      <c r="BJ26" s="222"/>
      <c r="BK26" s="240">
        <f t="shared" si="24"/>
        <v>0</v>
      </c>
      <c r="BL26" s="240">
        <f t="shared" si="25"/>
        <v>0</v>
      </c>
      <c r="BM26" s="240">
        <f t="shared" si="26"/>
        <v>0</v>
      </c>
      <c r="BN26" s="240">
        <f t="shared" si="27"/>
        <v>0</v>
      </c>
      <c r="BO26" s="240">
        <f t="shared" si="28"/>
        <v>0</v>
      </c>
      <c r="BP26" s="240">
        <f t="shared" si="29"/>
        <v>0</v>
      </c>
      <c r="BQ26" s="240">
        <f t="shared" si="30"/>
        <v>0</v>
      </c>
      <c r="BR26" s="240">
        <f t="shared" si="31"/>
        <v>0</v>
      </c>
      <c r="BS26" s="240">
        <f t="shared" si="32"/>
        <v>0</v>
      </c>
    </row>
    <row r="27" ht="15.75" customHeight="1">
      <c r="A27" s="571">
        <v>45431.0</v>
      </c>
      <c r="B27" s="533"/>
      <c r="C27" s="533"/>
      <c r="D27" s="533"/>
      <c r="E27" s="533"/>
      <c r="F27" s="533"/>
      <c r="G27" s="534"/>
      <c r="H27" s="330"/>
      <c r="I27" s="535"/>
      <c r="J27" s="245">
        <f t="shared" si="4"/>
        <v>0</v>
      </c>
      <c r="K27" s="537"/>
      <c r="L27" s="537"/>
      <c r="M27" s="537"/>
      <c r="N27" s="537"/>
      <c r="O27" s="538">
        <f t="shared" si="5"/>
        <v>0</v>
      </c>
      <c r="P27" s="537"/>
      <c r="Q27" s="537"/>
      <c r="R27" s="537"/>
      <c r="S27" s="537"/>
      <c r="T27" s="249">
        <f t="shared" si="6"/>
        <v>0</v>
      </c>
      <c r="U27" s="572"/>
      <c r="V27" s="572"/>
      <c r="W27" s="537"/>
      <c r="X27" s="537"/>
      <c r="Y27" s="247">
        <f t="shared" si="38"/>
        <v>0</v>
      </c>
      <c r="Z27" s="250">
        <f t="shared" si="8"/>
        <v>0</v>
      </c>
      <c r="AA27" s="542"/>
      <c r="AB27" s="542"/>
      <c r="AC27" s="542"/>
      <c r="AD27" s="542"/>
      <c r="AE27" s="543"/>
      <c r="AF27" s="286">
        <f t="shared" si="39"/>
        <v>0</v>
      </c>
      <c r="AG27" s="543"/>
      <c r="AH27" s="286">
        <f t="shared" si="40"/>
        <v>0</v>
      </c>
      <c r="AI27" s="543"/>
      <c r="AJ27" s="286">
        <f t="shared" si="41"/>
        <v>0</v>
      </c>
      <c r="AK27" s="544">
        <f t="shared" si="11"/>
        <v>0</v>
      </c>
      <c r="AL27" s="545">
        <f t="shared" si="12"/>
        <v>0</v>
      </c>
      <c r="AM27" s="186"/>
      <c r="AN27" s="186"/>
      <c r="AO27" s="549" t="str">
        <f t="shared" si="13"/>
        <v/>
      </c>
      <c r="AP27" s="548">
        <f t="shared" si="34"/>
        <v>0</v>
      </c>
      <c r="AQ27" s="186"/>
      <c r="AR27" s="186"/>
      <c r="AS27" s="549"/>
      <c r="AT27" s="186"/>
      <c r="AU27" s="186"/>
      <c r="AV27" s="549">
        <f t="shared" si="15"/>
        <v>0</v>
      </c>
      <c r="AW27" s="186"/>
      <c r="AX27" s="549">
        <f t="shared" si="16"/>
        <v>0</v>
      </c>
      <c r="AY27" s="186"/>
      <c r="AZ27" s="549">
        <f t="shared" si="17"/>
        <v>0</v>
      </c>
      <c r="BA27" s="186"/>
      <c r="BB27" s="549">
        <f t="shared" si="18"/>
        <v>0</v>
      </c>
      <c r="BC27" s="186"/>
      <c r="BD27" s="549">
        <f t="shared" si="19"/>
        <v>0</v>
      </c>
      <c r="BE27" s="186"/>
      <c r="BF27" s="549">
        <f t="shared" si="20"/>
        <v>0</v>
      </c>
      <c r="BG27" s="573">
        <f t="shared" si="21"/>
        <v>0</v>
      </c>
      <c r="BH27" s="574">
        <f t="shared" si="22"/>
        <v>0</v>
      </c>
      <c r="BI27" s="552">
        <f t="shared" si="23"/>
        <v>0</v>
      </c>
      <c r="BJ27" s="222"/>
      <c r="BK27" s="240">
        <f t="shared" si="24"/>
        <v>0</v>
      </c>
      <c r="BL27" s="240">
        <f t="shared" si="25"/>
        <v>0</v>
      </c>
      <c r="BM27" s="240">
        <f t="shared" si="26"/>
        <v>0</v>
      </c>
      <c r="BN27" s="240">
        <f t="shared" si="27"/>
        <v>0</v>
      </c>
      <c r="BO27" s="240">
        <f t="shared" si="28"/>
        <v>0</v>
      </c>
      <c r="BP27" s="240">
        <f t="shared" si="29"/>
        <v>0</v>
      </c>
      <c r="BQ27" s="240">
        <f t="shared" si="30"/>
        <v>0</v>
      </c>
      <c r="BR27" s="240">
        <f t="shared" si="31"/>
        <v>0</v>
      </c>
      <c r="BS27" s="240">
        <f t="shared" si="32"/>
        <v>0</v>
      </c>
    </row>
    <row r="28" ht="15.75" customHeight="1">
      <c r="A28" s="571">
        <v>45432.0</v>
      </c>
      <c r="B28" s="533"/>
      <c r="C28" s="533"/>
      <c r="D28" s="533"/>
      <c r="E28" s="533"/>
      <c r="F28" s="533"/>
      <c r="G28" s="534"/>
      <c r="H28" s="330"/>
      <c r="I28" s="535"/>
      <c r="J28" s="245">
        <f t="shared" si="4"/>
        <v>0</v>
      </c>
      <c r="K28" s="537"/>
      <c r="L28" s="537"/>
      <c r="M28" s="537"/>
      <c r="N28" s="537"/>
      <c r="O28" s="538">
        <f t="shared" si="5"/>
        <v>0</v>
      </c>
      <c r="P28" s="537"/>
      <c r="Q28" s="537"/>
      <c r="R28" s="537"/>
      <c r="S28" s="537"/>
      <c r="T28" s="249">
        <f t="shared" si="6"/>
        <v>0</v>
      </c>
      <c r="U28" s="572"/>
      <c r="V28" s="572"/>
      <c r="W28" s="537"/>
      <c r="X28" s="537"/>
      <c r="Y28" s="247">
        <f t="shared" si="38"/>
        <v>0</v>
      </c>
      <c r="Z28" s="250">
        <f t="shared" si="8"/>
        <v>0</v>
      </c>
      <c r="AA28" s="542"/>
      <c r="AB28" s="542"/>
      <c r="AC28" s="542"/>
      <c r="AD28" s="542"/>
      <c r="AE28" s="543"/>
      <c r="AF28" s="286">
        <f t="shared" si="39"/>
        <v>0</v>
      </c>
      <c r="AG28" s="543"/>
      <c r="AH28" s="286">
        <f t="shared" si="40"/>
        <v>0</v>
      </c>
      <c r="AI28" s="543"/>
      <c r="AJ28" s="286">
        <f t="shared" si="41"/>
        <v>0</v>
      </c>
      <c r="AK28" s="544">
        <f t="shared" si="11"/>
        <v>0</v>
      </c>
      <c r="AL28" s="545">
        <f t="shared" si="12"/>
        <v>0</v>
      </c>
      <c r="AM28" s="186"/>
      <c r="AN28" s="186"/>
      <c r="AO28" s="549" t="str">
        <f t="shared" si="13"/>
        <v/>
      </c>
      <c r="AP28" s="548">
        <f t="shared" si="34"/>
        <v>0</v>
      </c>
      <c r="AQ28" s="186"/>
      <c r="AR28" s="186"/>
      <c r="AS28" s="549"/>
      <c r="AT28" s="186"/>
      <c r="AU28" s="186"/>
      <c r="AV28" s="549">
        <f t="shared" si="15"/>
        <v>0</v>
      </c>
      <c r="AW28" s="186"/>
      <c r="AX28" s="549">
        <f t="shared" si="16"/>
        <v>0</v>
      </c>
      <c r="AY28" s="186"/>
      <c r="AZ28" s="549">
        <f t="shared" si="17"/>
        <v>0</v>
      </c>
      <c r="BA28" s="186"/>
      <c r="BB28" s="549">
        <f t="shared" si="18"/>
        <v>0</v>
      </c>
      <c r="BC28" s="186"/>
      <c r="BD28" s="549">
        <f t="shared" si="19"/>
        <v>0</v>
      </c>
      <c r="BE28" s="186"/>
      <c r="BF28" s="549">
        <f t="shared" si="20"/>
        <v>0</v>
      </c>
      <c r="BG28" s="573">
        <f t="shared" si="21"/>
        <v>0</v>
      </c>
      <c r="BH28" s="574">
        <f t="shared" si="22"/>
        <v>0</v>
      </c>
      <c r="BI28" s="552">
        <f t="shared" si="23"/>
        <v>0</v>
      </c>
      <c r="BK28" s="240">
        <f t="shared" si="24"/>
        <v>0</v>
      </c>
      <c r="BL28" s="240">
        <f t="shared" si="25"/>
        <v>0</v>
      </c>
      <c r="BM28" s="240">
        <f t="shared" si="26"/>
        <v>0</v>
      </c>
      <c r="BN28" s="240">
        <f t="shared" si="27"/>
        <v>0</v>
      </c>
      <c r="BO28" s="240">
        <f t="shared" si="28"/>
        <v>0</v>
      </c>
      <c r="BP28" s="240">
        <f t="shared" si="29"/>
        <v>0</v>
      </c>
      <c r="BQ28" s="240">
        <f t="shared" si="30"/>
        <v>0</v>
      </c>
      <c r="BR28" s="240">
        <f t="shared" si="31"/>
        <v>0</v>
      </c>
      <c r="BS28" s="240">
        <f t="shared" si="32"/>
        <v>0</v>
      </c>
    </row>
    <row r="29" ht="15.75" customHeight="1">
      <c r="A29" s="571">
        <v>45433.0</v>
      </c>
      <c r="B29" s="533"/>
      <c r="C29" s="533"/>
      <c r="D29" s="533"/>
      <c r="E29" s="533"/>
      <c r="F29" s="533"/>
      <c r="G29" s="534"/>
      <c r="H29" s="330"/>
      <c r="I29" s="535"/>
      <c r="J29" s="245">
        <f t="shared" si="4"/>
        <v>0</v>
      </c>
      <c r="K29" s="537"/>
      <c r="L29" s="537"/>
      <c r="M29" s="537"/>
      <c r="N29" s="537"/>
      <c r="O29" s="538">
        <f t="shared" si="5"/>
        <v>0</v>
      </c>
      <c r="P29" s="537"/>
      <c r="Q29" s="537"/>
      <c r="R29" s="537"/>
      <c r="S29" s="537"/>
      <c r="T29" s="249">
        <f t="shared" si="6"/>
        <v>0</v>
      </c>
      <c r="U29" s="572"/>
      <c r="V29" s="572"/>
      <c r="W29" s="537"/>
      <c r="X29" s="537"/>
      <c r="Y29" s="247">
        <f t="shared" si="38"/>
        <v>0</v>
      </c>
      <c r="Z29" s="250">
        <f t="shared" si="8"/>
        <v>0</v>
      </c>
      <c r="AA29" s="542"/>
      <c r="AB29" s="542"/>
      <c r="AC29" s="542"/>
      <c r="AD29" s="542"/>
      <c r="AE29" s="543"/>
      <c r="AF29" s="286">
        <f t="shared" si="39"/>
        <v>0</v>
      </c>
      <c r="AG29" s="543"/>
      <c r="AH29" s="286">
        <f t="shared" si="40"/>
        <v>0</v>
      </c>
      <c r="AI29" s="543"/>
      <c r="AJ29" s="286">
        <f t="shared" si="41"/>
        <v>0</v>
      </c>
      <c r="AK29" s="544">
        <f t="shared" si="11"/>
        <v>0</v>
      </c>
      <c r="AL29" s="545">
        <f t="shared" si="12"/>
        <v>0</v>
      </c>
      <c r="AM29" s="186"/>
      <c r="AN29" s="186"/>
      <c r="AO29" s="549" t="str">
        <f t="shared" si="13"/>
        <v/>
      </c>
      <c r="AP29" s="548">
        <f t="shared" si="34"/>
        <v>0</v>
      </c>
      <c r="AQ29" s="186"/>
      <c r="AR29" s="186"/>
      <c r="AS29" s="549"/>
      <c r="AT29" s="186"/>
      <c r="AU29" s="186"/>
      <c r="AV29" s="549">
        <f t="shared" si="15"/>
        <v>0</v>
      </c>
      <c r="AW29" s="186"/>
      <c r="AX29" s="549">
        <f t="shared" si="16"/>
        <v>0</v>
      </c>
      <c r="AY29" s="186"/>
      <c r="AZ29" s="549">
        <f t="shared" si="17"/>
        <v>0</v>
      </c>
      <c r="BA29" s="186"/>
      <c r="BB29" s="549">
        <f t="shared" si="18"/>
        <v>0</v>
      </c>
      <c r="BC29" s="186"/>
      <c r="BD29" s="549">
        <f t="shared" si="19"/>
        <v>0</v>
      </c>
      <c r="BE29" s="186"/>
      <c r="BF29" s="549">
        <f t="shared" si="20"/>
        <v>0</v>
      </c>
      <c r="BG29" s="573">
        <f t="shared" si="21"/>
        <v>0</v>
      </c>
      <c r="BH29" s="574">
        <f t="shared" si="22"/>
        <v>0</v>
      </c>
      <c r="BI29" s="552">
        <f t="shared" si="23"/>
        <v>0</v>
      </c>
      <c r="BK29" s="240">
        <f t="shared" si="24"/>
        <v>0</v>
      </c>
      <c r="BL29" s="240">
        <f t="shared" si="25"/>
        <v>0</v>
      </c>
      <c r="BM29" s="240">
        <f t="shared" si="26"/>
        <v>0</v>
      </c>
      <c r="BN29" s="240">
        <f t="shared" si="27"/>
        <v>0</v>
      </c>
      <c r="BO29" s="240">
        <f t="shared" si="28"/>
        <v>0</v>
      </c>
      <c r="BP29" s="240">
        <f t="shared" si="29"/>
        <v>0</v>
      </c>
      <c r="BQ29" s="240">
        <f t="shared" si="30"/>
        <v>0</v>
      </c>
      <c r="BR29" s="240">
        <f t="shared" si="31"/>
        <v>0</v>
      </c>
      <c r="BS29" s="240">
        <f t="shared" si="32"/>
        <v>0</v>
      </c>
    </row>
    <row r="30" ht="15.75" customHeight="1">
      <c r="A30" s="571">
        <v>45434.0</v>
      </c>
      <c r="B30" s="533"/>
      <c r="C30" s="533"/>
      <c r="D30" s="533"/>
      <c r="E30" s="533"/>
      <c r="F30" s="533"/>
      <c r="G30" s="534"/>
      <c r="H30" s="330"/>
      <c r="I30" s="535"/>
      <c r="J30" s="245">
        <f t="shared" si="4"/>
        <v>0</v>
      </c>
      <c r="K30" s="537"/>
      <c r="L30" s="537"/>
      <c r="M30" s="537"/>
      <c r="N30" s="537"/>
      <c r="O30" s="538">
        <f t="shared" si="5"/>
        <v>0</v>
      </c>
      <c r="P30" s="537"/>
      <c r="Q30" s="537"/>
      <c r="R30" s="537"/>
      <c r="S30" s="537"/>
      <c r="T30" s="249">
        <f t="shared" si="6"/>
        <v>0</v>
      </c>
      <c r="U30" s="572"/>
      <c r="V30" s="572"/>
      <c r="W30" s="537"/>
      <c r="X30" s="537"/>
      <c r="Y30" s="247">
        <f t="shared" si="38"/>
        <v>0</v>
      </c>
      <c r="Z30" s="250">
        <f t="shared" si="8"/>
        <v>0</v>
      </c>
      <c r="AA30" s="542"/>
      <c r="AB30" s="542"/>
      <c r="AC30" s="542"/>
      <c r="AD30" s="542"/>
      <c r="AE30" s="543"/>
      <c r="AF30" s="286">
        <f t="shared" si="39"/>
        <v>0</v>
      </c>
      <c r="AG30" s="543"/>
      <c r="AH30" s="286">
        <f t="shared" si="40"/>
        <v>0</v>
      </c>
      <c r="AI30" s="543"/>
      <c r="AJ30" s="286">
        <f t="shared" si="41"/>
        <v>0</v>
      </c>
      <c r="AK30" s="544">
        <f t="shared" si="11"/>
        <v>0</v>
      </c>
      <c r="AL30" s="545">
        <f t="shared" si="12"/>
        <v>0</v>
      </c>
      <c r="AM30" s="186"/>
      <c r="AN30" s="186"/>
      <c r="AO30" s="549" t="str">
        <f t="shared" si="13"/>
        <v/>
      </c>
      <c r="AP30" s="548">
        <f t="shared" si="34"/>
        <v>0</v>
      </c>
      <c r="AQ30" s="186"/>
      <c r="AR30" s="186"/>
      <c r="AS30" s="549"/>
      <c r="AT30" s="186"/>
      <c r="AU30" s="186"/>
      <c r="AV30" s="549">
        <f t="shared" si="15"/>
        <v>0</v>
      </c>
      <c r="AW30" s="186"/>
      <c r="AX30" s="549">
        <f t="shared" si="16"/>
        <v>0</v>
      </c>
      <c r="AY30" s="186"/>
      <c r="AZ30" s="549">
        <f t="shared" si="17"/>
        <v>0</v>
      </c>
      <c r="BA30" s="186"/>
      <c r="BB30" s="549">
        <f t="shared" si="18"/>
        <v>0</v>
      </c>
      <c r="BC30" s="186"/>
      <c r="BD30" s="549">
        <f t="shared" si="19"/>
        <v>0</v>
      </c>
      <c r="BE30" s="186"/>
      <c r="BF30" s="549">
        <f t="shared" si="20"/>
        <v>0</v>
      </c>
      <c r="BG30" s="573">
        <f t="shared" si="21"/>
        <v>0</v>
      </c>
      <c r="BH30" s="574">
        <f t="shared" si="22"/>
        <v>0</v>
      </c>
      <c r="BI30" s="552">
        <f t="shared" si="23"/>
        <v>0</v>
      </c>
      <c r="BK30" s="240">
        <f t="shared" si="24"/>
        <v>0</v>
      </c>
      <c r="BL30" s="240">
        <f t="shared" si="25"/>
        <v>0</v>
      </c>
      <c r="BM30" s="240">
        <f t="shared" si="26"/>
        <v>0</v>
      </c>
      <c r="BN30" s="240">
        <f t="shared" si="27"/>
        <v>0</v>
      </c>
      <c r="BO30" s="240">
        <f t="shared" si="28"/>
        <v>0</v>
      </c>
      <c r="BP30" s="240">
        <f t="shared" si="29"/>
        <v>0</v>
      </c>
      <c r="BQ30" s="240">
        <f t="shared" si="30"/>
        <v>0</v>
      </c>
      <c r="BR30" s="240">
        <f t="shared" si="31"/>
        <v>0</v>
      </c>
      <c r="BS30" s="240">
        <f t="shared" si="32"/>
        <v>0</v>
      </c>
    </row>
    <row r="31" ht="15.75" customHeight="1">
      <c r="A31" s="571">
        <v>45435.0</v>
      </c>
      <c r="B31" s="533"/>
      <c r="C31" s="533"/>
      <c r="D31" s="533"/>
      <c r="E31" s="533"/>
      <c r="F31" s="533"/>
      <c r="G31" s="534"/>
      <c r="H31" s="330"/>
      <c r="I31" s="535"/>
      <c r="J31" s="245">
        <f t="shared" si="4"/>
        <v>0</v>
      </c>
      <c r="K31" s="537"/>
      <c r="L31" s="537"/>
      <c r="M31" s="537"/>
      <c r="N31" s="537"/>
      <c r="O31" s="538">
        <f t="shared" si="5"/>
        <v>0</v>
      </c>
      <c r="P31" s="537"/>
      <c r="Q31" s="537"/>
      <c r="R31" s="537"/>
      <c r="S31" s="537"/>
      <c r="T31" s="249">
        <f t="shared" si="6"/>
        <v>0</v>
      </c>
      <c r="U31" s="572"/>
      <c r="V31" s="572"/>
      <c r="W31" s="537"/>
      <c r="X31" s="537"/>
      <c r="Y31" s="247">
        <f t="shared" si="38"/>
        <v>0</v>
      </c>
      <c r="Z31" s="250">
        <f t="shared" si="8"/>
        <v>0</v>
      </c>
      <c r="AA31" s="542"/>
      <c r="AB31" s="542"/>
      <c r="AC31" s="542"/>
      <c r="AD31" s="542"/>
      <c r="AE31" s="543"/>
      <c r="AF31" s="286">
        <f t="shared" si="39"/>
        <v>0</v>
      </c>
      <c r="AG31" s="543"/>
      <c r="AH31" s="286">
        <f t="shared" si="40"/>
        <v>0</v>
      </c>
      <c r="AI31" s="543"/>
      <c r="AJ31" s="286">
        <f t="shared" si="41"/>
        <v>0</v>
      </c>
      <c r="AK31" s="544">
        <f t="shared" si="11"/>
        <v>0</v>
      </c>
      <c r="AL31" s="545">
        <f t="shared" si="12"/>
        <v>0</v>
      </c>
      <c r="AM31" s="186"/>
      <c r="AN31" s="186"/>
      <c r="AO31" s="549" t="str">
        <f t="shared" si="13"/>
        <v/>
      </c>
      <c r="AP31" s="548">
        <f t="shared" si="34"/>
        <v>0</v>
      </c>
      <c r="AQ31" s="186"/>
      <c r="AR31" s="186"/>
      <c r="AS31" s="549"/>
      <c r="AT31" s="186"/>
      <c r="AU31" s="186"/>
      <c r="AV31" s="549">
        <f t="shared" si="15"/>
        <v>0</v>
      </c>
      <c r="AW31" s="186"/>
      <c r="AX31" s="549">
        <f t="shared" si="16"/>
        <v>0</v>
      </c>
      <c r="AY31" s="186"/>
      <c r="AZ31" s="549">
        <f t="shared" si="17"/>
        <v>0</v>
      </c>
      <c r="BA31" s="186"/>
      <c r="BB31" s="549">
        <f t="shared" si="18"/>
        <v>0</v>
      </c>
      <c r="BC31" s="186"/>
      <c r="BD31" s="549">
        <f t="shared" si="19"/>
        <v>0</v>
      </c>
      <c r="BE31" s="186"/>
      <c r="BF31" s="549">
        <f t="shared" si="20"/>
        <v>0</v>
      </c>
      <c r="BG31" s="573">
        <f t="shared" si="21"/>
        <v>0</v>
      </c>
      <c r="BH31" s="574">
        <f t="shared" si="22"/>
        <v>0</v>
      </c>
      <c r="BI31" s="552">
        <f t="shared" si="23"/>
        <v>0</v>
      </c>
      <c r="BK31" s="240">
        <f t="shared" si="24"/>
        <v>0</v>
      </c>
      <c r="BL31" s="240">
        <f t="shared" si="25"/>
        <v>0</v>
      </c>
      <c r="BM31" s="240">
        <f t="shared" si="26"/>
        <v>0</v>
      </c>
      <c r="BN31" s="240">
        <f t="shared" si="27"/>
        <v>0</v>
      </c>
      <c r="BO31" s="240">
        <f t="shared" si="28"/>
        <v>0</v>
      </c>
      <c r="BP31" s="240">
        <f t="shared" si="29"/>
        <v>0</v>
      </c>
      <c r="BQ31" s="240">
        <f t="shared" si="30"/>
        <v>0</v>
      </c>
      <c r="BR31" s="240">
        <f t="shared" si="31"/>
        <v>0</v>
      </c>
      <c r="BS31" s="240">
        <f t="shared" si="32"/>
        <v>0</v>
      </c>
    </row>
    <row r="32" ht="15.75" customHeight="1">
      <c r="A32" s="571">
        <v>45436.0</v>
      </c>
      <c r="B32" s="533"/>
      <c r="C32" s="533"/>
      <c r="D32" s="533"/>
      <c r="E32" s="533"/>
      <c r="F32" s="533"/>
      <c r="G32" s="534"/>
      <c r="H32" s="330"/>
      <c r="I32" s="535"/>
      <c r="J32" s="245">
        <f t="shared" si="4"/>
        <v>0</v>
      </c>
      <c r="K32" s="537"/>
      <c r="L32" s="537"/>
      <c r="M32" s="537"/>
      <c r="N32" s="537"/>
      <c r="O32" s="538">
        <f t="shared" si="5"/>
        <v>0</v>
      </c>
      <c r="P32" s="537"/>
      <c r="Q32" s="537"/>
      <c r="R32" s="537"/>
      <c r="S32" s="537"/>
      <c r="T32" s="249">
        <v>0.0</v>
      </c>
      <c r="U32" s="572"/>
      <c r="V32" s="572"/>
      <c r="W32" s="537"/>
      <c r="X32" s="537"/>
      <c r="Y32" s="247">
        <f t="shared" si="38"/>
        <v>0</v>
      </c>
      <c r="Z32" s="250">
        <f t="shared" si="8"/>
        <v>0</v>
      </c>
      <c r="AA32" s="542"/>
      <c r="AB32" s="542"/>
      <c r="AC32" s="542"/>
      <c r="AD32" s="542"/>
      <c r="AE32" s="543"/>
      <c r="AF32" s="286">
        <f t="shared" si="39"/>
        <v>0</v>
      </c>
      <c r="AG32" s="543"/>
      <c r="AH32" s="286">
        <f t="shared" si="40"/>
        <v>0</v>
      </c>
      <c r="AI32" s="543"/>
      <c r="AJ32" s="286">
        <f t="shared" si="41"/>
        <v>0</v>
      </c>
      <c r="AK32" s="544">
        <f t="shared" si="11"/>
        <v>0</v>
      </c>
      <c r="AL32" s="545">
        <f t="shared" si="12"/>
        <v>0</v>
      </c>
      <c r="AM32" s="186"/>
      <c r="AN32" s="186"/>
      <c r="AO32" s="549" t="str">
        <f t="shared" si="13"/>
        <v/>
      </c>
      <c r="AP32" s="548">
        <f t="shared" si="34"/>
        <v>0</v>
      </c>
      <c r="AQ32" s="186"/>
      <c r="AR32" s="186"/>
      <c r="AS32" s="549"/>
      <c r="AT32" s="186"/>
      <c r="AU32" s="186"/>
      <c r="AV32" s="549">
        <f t="shared" si="15"/>
        <v>0</v>
      </c>
      <c r="AW32" s="186"/>
      <c r="AX32" s="549">
        <f t="shared" si="16"/>
        <v>0</v>
      </c>
      <c r="AY32" s="186"/>
      <c r="AZ32" s="549">
        <f t="shared" si="17"/>
        <v>0</v>
      </c>
      <c r="BA32" s="186"/>
      <c r="BB32" s="549">
        <f t="shared" si="18"/>
        <v>0</v>
      </c>
      <c r="BC32" s="186"/>
      <c r="BD32" s="549">
        <f t="shared" si="19"/>
        <v>0</v>
      </c>
      <c r="BE32" s="186"/>
      <c r="BF32" s="549">
        <f t="shared" si="20"/>
        <v>0</v>
      </c>
      <c r="BG32" s="573">
        <f t="shared" si="21"/>
        <v>0</v>
      </c>
      <c r="BH32" s="574">
        <f t="shared" si="22"/>
        <v>0</v>
      </c>
      <c r="BI32" s="552">
        <f t="shared" si="23"/>
        <v>0</v>
      </c>
      <c r="BK32" s="240">
        <f t="shared" si="24"/>
        <v>0</v>
      </c>
      <c r="BL32" s="240">
        <f t="shared" si="25"/>
        <v>0</v>
      </c>
      <c r="BM32" s="240">
        <f t="shared" si="26"/>
        <v>0</v>
      </c>
      <c r="BN32" s="240">
        <f t="shared" si="27"/>
        <v>0</v>
      </c>
      <c r="BO32" s="240">
        <f t="shared" si="28"/>
        <v>0</v>
      </c>
      <c r="BP32" s="240">
        <f t="shared" si="29"/>
        <v>0</v>
      </c>
      <c r="BQ32" s="240">
        <f t="shared" si="30"/>
        <v>0</v>
      </c>
      <c r="BR32" s="240">
        <f t="shared" si="31"/>
        <v>0</v>
      </c>
      <c r="BS32" s="240">
        <f t="shared" si="32"/>
        <v>0</v>
      </c>
    </row>
    <row r="33" ht="15.75" customHeight="1">
      <c r="A33" s="571">
        <v>45437.0</v>
      </c>
      <c r="B33" s="533"/>
      <c r="C33" s="533"/>
      <c r="D33" s="533"/>
      <c r="E33" s="533"/>
      <c r="F33" s="533"/>
      <c r="G33" s="534"/>
      <c r="H33" s="330"/>
      <c r="I33" s="535"/>
      <c r="J33" s="245">
        <f t="shared" si="4"/>
        <v>0</v>
      </c>
      <c r="K33" s="537"/>
      <c r="L33" s="537"/>
      <c r="M33" s="537"/>
      <c r="N33" s="537"/>
      <c r="O33" s="538">
        <f t="shared" si="5"/>
        <v>0</v>
      </c>
      <c r="P33" s="537"/>
      <c r="Q33" s="537"/>
      <c r="R33" s="537"/>
      <c r="S33" s="537"/>
      <c r="T33" s="249">
        <f t="shared" ref="T33:T39" si="42">SUM(R33:S33)</f>
        <v>0</v>
      </c>
      <c r="U33" s="572"/>
      <c r="V33" s="572"/>
      <c r="W33" s="537"/>
      <c r="X33" s="537"/>
      <c r="Y33" s="247">
        <f t="shared" si="38"/>
        <v>0</v>
      </c>
      <c r="Z33" s="250">
        <f t="shared" si="8"/>
        <v>0</v>
      </c>
      <c r="AA33" s="542"/>
      <c r="AB33" s="542"/>
      <c r="AC33" s="542"/>
      <c r="AD33" s="542"/>
      <c r="AE33" s="543"/>
      <c r="AF33" s="286">
        <f t="shared" si="39"/>
        <v>0</v>
      </c>
      <c r="AG33" s="543"/>
      <c r="AH33" s="286">
        <f t="shared" si="40"/>
        <v>0</v>
      </c>
      <c r="AI33" s="543"/>
      <c r="AJ33" s="286">
        <f t="shared" si="41"/>
        <v>0</v>
      </c>
      <c r="AK33" s="544">
        <f t="shared" si="11"/>
        <v>0</v>
      </c>
      <c r="AL33" s="545">
        <f t="shared" si="12"/>
        <v>0</v>
      </c>
      <c r="AM33" s="186"/>
      <c r="AN33" s="186"/>
      <c r="AO33" s="549" t="str">
        <f t="shared" si="13"/>
        <v/>
      </c>
      <c r="AP33" s="548">
        <f t="shared" si="34"/>
        <v>0</v>
      </c>
      <c r="AQ33" s="186"/>
      <c r="AR33" s="186"/>
      <c r="AS33" s="549"/>
      <c r="AT33" s="186"/>
      <c r="AU33" s="186"/>
      <c r="AV33" s="549">
        <f t="shared" si="15"/>
        <v>0</v>
      </c>
      <c r="AW33" s="186"/>
      <c r="AX33" s="549">
        <f t="shared" si="16"/>
        <v>0</v>
      </c>
      <c r="AY33" s="186"/>
      <c r="AZ33" s="549">
        <f t="shared" si="17"/>
        <v>0</v>
      </c>
      <c r="BA33" s="186"/>
      <c r="BB33" s="549">
        <f t="shared" si="18"/>
        <v>0</v>
      </c>
      <c r="BC33" s="186"/>
      <c r="BD33" s="549">
        <f t="shared" si="19"/>
        <v>0</v>
      </c>
      <c r="BE33" s="186"/>
      <c r="BF33" s="549">
        <f t="shared" si="20"/>
        <v>0</v>
      </c>
      <c r="BG33" s="573">
        <f t="shared" si="21"/>
        <v>0</v>
      </c>
      <c r="BH33" s="574">
        <f t="shared" si="22"/>
        <v>0</v>
      </c>
      <c r="BI33" s="552">
        <f t="shared" si="23"/>
        <v>0</v>
      </c>
      <c r="BK33" s="240">
        <f t="shared" si="24"/>
        <v>0</v>
      </c>
      <c r="BL33" s="240">
        <f t="shared" si="25"/>
        <v>0</v>
      </c>
      <c r="BM33" s="240">
        <f t="shared" si="26"/>
        <v>0</v>
      </c>
      <c r="BN33" s="240">
        <f t="shared" si="27"/>
        <v>0</v>
      </c>
      <c r="BO33" s="240">
        <f t="shared" si="28"/>
        <v>0</v>
      </c>
      <c r="BP33" s="240">
        <f t="shared" si="29"/>
        <v>0</v>
      </c>
      <c r="BQ33" s="240">
        <f t="shared" si="30"/>
        <v>0</v>
      </c>
      <c r="BR33" s="240">
        <f t="shared" si="31"/>
        <v>0</v>
      </c>
      <c r="BS33" s="240">
        <f t="shared" si="32"/>
        <v>0</v>
      </c>
    </row>
    <row r="34" ht="15.75" customHeight="1">
      <c r="A34" s="571">
        <v>45438.0</v>
      </c>
      <c r="B34" s="533"/>
      <c r="C34" s="533"/>
      <c r="D34" s="533"/>
      <c r="E34" s="533"/>
      <c r="F34" s="533"/>
      <c r="G34" s="534"/>
      <c r="H34" s="330"/>
      <c r="I34" s="535"/>
      <c r="J34" s="245">
        <f t="shared" si="4"/>
        <v>0</v>
      </c>
      <c r="K34" s="537"/>
      <c r="L34" s="537"/>
      <c r="M34" s="537"/>
      <c r="N34" s="537"/>
      <c r="O34" s="538">
        <f t="shared" si="5"/>
        <v>0</v>
      </c>
      <c r="P34" s="537"/>
      <c r="Q34" s="537"/>
      <c r="R34" s="537"/>
      <c r="S34" s="537"/>
      <c r="T34" s="249">
        <f t="shared" si="42"/>
        <v>0</v>
      </c>
      <c r="U34" s="572"/>
      <c r="V34" s="572"/>
      <c r="W34" s="537"/>
      <c r="X34" s="537"/>
      <c r="Y34" s="247">
        <f t="shared" si="38"/>
        <v>0</v>
      </c>
      <c r="Z34" s="250">
        <f t="shared" si="8"/>
        <v>0</v>
      </c>
      <c r="AA34" s="542"/>
      <c r="AB34" s="542"/>
      <c r="AC34" s="542"/>
      <c r="AD34" s="542"/>
      <c r="AE34" s="543"/>
      <c r="AF34" s="286">
        <f t="shared" si="39"/>
        <v>0</v>
      </c>
      <c r="AG34" s="543"/>
      <c r="AH34" s="286">
        <f t="shared" si="40"/>
        <v>0</v>
      </c>
      <c r="AI34" s="543"/>
      <c r="AJ34" s="286">
        <f t="shared" si="41"/>
        <v>0</v>
      </c>
      <c r="AK34" s="544">
        <f t="shared" si="11"/>
        <v>0</v>
      </c>
      <c r="AL34" s="556">
        <f t="shared" si="12"/>
        <v>0</v>
      </c>
      <c r="AM34" s="186"/>
      <c r="AN34" s="186"/>
      <c r="AO34" s="549" t="str">
        <f t="shared" si="13"/>
        <v/>
      </c>
      <c r="AP34" s="548">
        <f t="shared" si="34"/>
        <v>0</v>
      </c>
      <c r="AQ34" s="186"/>
      <c r="AR34" s="186"/>
      <c r="AS34" s="549"/>
      <c r="AT34" s="186"/>
      <c r="AU34" s="186"/>
      <c r="AV34" s="549">
        <f t="shared" si="15"/>
        <v>0</v>
      </c>
      <c r="AW34" s="186"/>
      <c r="AX34" s="549">
        <f t="shared" si="16"/>
        <v>0</v>
      </c>
      <c r="AY34" s="186"/>
      <c r="AZ34" s="549">
        <f t="shared" si="17"/>
        <v>0</v>
      </c>
      <c r="BA34" s="186"/>
      <c r="BB34" s="549">
        <f t="shared" si="18"/>
        <v>0</v>
      </c>
      <c r="BC34" s="186"/>
      <c r="BD34" s="549">
        <f t="shared" si="19"/>
        <v>0</v>
      </c>
      <c r="BE34" s="186"/>
      <c r="BF34" s="549">
        <f t="shared" si="20"/>
        <v>0</v>
      </c>
      <c r="BG34" s="573">
        <f t="shared" si="21"/>
        <v>0</v>
      </c>
      <c r="BH34" s="574">
        <f t="shared" si="22"/>
        <v>0</v>
      </c>
      <c r="BI34" s="552">
        <f t="shared" si="23"/>
        <v>0</v>
      </c>
      <c r="BJ34" s="222"/>
      <c r="BK34" s="240">
        <f t="shared" si="24"/>
        <v>0</v>
      </c>
      <c r="BL34" s="240">
        <f t="shared" si="25"/>
        <v>0</v>
      </c>
      <c r="BM34" s="240">
        <f t="shared" si="26"/>
        <v>0</v>
      </c>
      <c r="BN34" s="240">
        <f t="shared" si="27"/>
        <v>0</v>
      </c>
      <c r="BO34" s="240">
        <f t="shared" si="28"/>
        <v>0</v>
      </c>
      <c r="BP34" s="240">
        <f t="shared" si="29"/>
        <v>0</v>
      </c>
      <c r="BQ34" s="240">
        <f t="shared" si="30"/>
        <v>0</v>
      </c>
      <c r="BR34" s="240">
        <f t="shared" si="31"/>
        <v>0</v>
      </c>
      <c r="BS34" s="240">
        <f t="shared" si="32"/>
        <v>0</v>
      </c>
    </row>
    <row r="35" ht="15.75" customHeight="1">
      <c r="A35" s="571">
        <v>45439.0</v>
      </c>
      <c r="B35" s="533"/>
      <c r="C35" s="533"/>
      <c r="D35" s="533"/>
      <c r="E35" s="533"/>
      <c r="F35" s="533"/>
      <c r="G35" s="534"/>
      <c r="H35" s="330"/>
      <c r="I35" s="535"/>
      <c r="J35" s="245">
        <f t="shared" si="4"/>
        <v>0</v>
      </c>
      <c r="K35" s="537"/>
      <c r="L35" s="537"/>
      <c r="M35" s="537"/>
      <c r="N35" s="537"/>
      <c r="O35" s="538">
        <f t="shared" si="5"/>
        <v>0</v>
      </c>
      <c r="P35" s="537"/>
      <c r="Q35" s="537"/>
      <c r="R35" s="537"/>
      <c r="S35" s="537"/>
      <c r="T35" s="249">
        <f t="shared" si="42"/>
        <v>0</v>
      </c>
      <c r="U35" s="572"/>
      <c r="V35" s="572"/>
      <c r="W35" s="537"/>
      <c r="X35" s="537"/>
      <c r="Y35" s="247">
        <f t="shared" si="38"/>
        <v>0</v>
      </c>
      <c r="Z35" s="250">
        <f t="shared" si="8"/>
        <v>0</v>
      </c>
      <c r="AA35" s="542"/>
      <c r="AB35" s="542"/>
      <c r="AC35" s="542"/>
      <c r="AD35" s="542"/>
      <c r="AE35" s="543"/>
      <c r="AF35" s="286">
        <f t="shared" si="39"/>
        <v>0</v>
      </c>
      <c r="AG35" s="543"/>
      <c r="AH35" s="286">
        <f t="shared" si="40"/>
        <v>0</v>
      </c>
      <c r="AI35" s="543"/>
      <c r="AJ35" s="286">
        <f t="shared" si="41"/>
        <v>0</v>
      </c>
      <c r="AK35" s="544">
        <f t="shared" si="11"/>
        <v>0</v>
      </c>
      <c r="AL35" s="545">
        <f t="shared" si="12"/>
        <v>0</v>
      </c>
      <c r="AM35" s="186"/>
      <c r="AN35" s="186"/>
      <c r="AO35" s="549" t="str">
        <f t="shared" si="13"/>
        <v/>
      </c>
      <c r="AP35" s="548">
        <f t="shared" si="34"/>
        <v>0</v>
      </c>
      <c r="AQ35" s="186"/>
      <c r="AR35" s="186"/>
      <c r="AS35" s="549"/>
      <c r="AT35" s="186"/>
      <c r="AU35" s="186"/>
      <c r="AV35" s="549">
        <f t="shared" si="15"/>
        <v>0</v>
      </c>
      <c r="AW35" s="186"/>
      <c r="AX35" s="549">
        <f t="shared" si="16"/>
        <v>0</v>
      </c>
      <c r="AY35" s="186"/>
      <c r="AZ35" s="549">
        <f t="shared" si="17"/>
        <v>0</v>
      </c>
      <c r="BA35" s="186"/>
      <c r="BB35" s="549">
        <f t="shared" si="18"/>
        <v>0</v>
      </c>
      <c r="BC35" s="186"/>
      <c r="BD35" s="549">
        <f t="shared" si="19"/>
        <v>0</v>
      </c>
      <c r="BE35" s="186"/>
      <c r="BF35" s="549">
        <f t="shared" si="20"/>
        <v>0</v>
      </c>
      <c r="BG35" s="573">
        <f t="shared" si="21"/>
        <v>0</v>
      </c>
      <c r="BH35" s="574">
        <f t="shared" si="22"/>
        <v>0</v>
      </c>
      <c r="BI35" s="552">
        <f t="shared" si="23"/>
        <v>0</v>
      </c>
      <c r="BK35" s="240">
        <f t="shared" si="24"/>
        <v>0</v>
      </c>
      <c r="BL35" s="240">
        <f t="shared" si="25"/>
        <v>0</v>
      </c>
      <c r="BM35" s="240">
        <f t="shared" si="26"/>
        <v>0</v>
      </c>
      <c r="BN35" s="240">
        <f t="shared" si="27"/>
        <v>0</v>
      </c>
      <c r="BO35" s="240">
        <f t="shared" si="28"/>
        <v>0</v>
      </c>
      <c r="BP35" s="240">
        <f t="shared" si="29"/>
        <v>0</v>
      </c>
      <c r="BQ35" s="240">
        <f t="shared" si="30"/>
        <v>0</v>
      </c>
      <c r="BR35" s="240">
        <f t="shared" si="31"/>
        <v>0</v>
      </c>
      <c r="BS35" s="240">
        <f t="shared" si="32"/>
        <v>0</v>
      </c>
    </row>
    <row r="36" ht="15.75" customHeight="1">
      <c r="A36" s="571">
        <v>45440.0</v>
      </c>
      <c r="B36" s="533"/>
      <c r="C36" s="533"/>
      <c r="D36" s="533"/>
      <c r="E36" s="533"/>
      <c r="F36" s="533"/>
      <c r="G36" s="534"/>
      <c r="H36" s="330"/>
      <c r="I36" s="535"/>
      <c r="J36" s="245">
        <f t="shared" si="4"/>
        <v>0</v>
      </c>
      <c r="K36" s="537"/>
      <c r="L36" s="537"/>
      <c r="M36" s="537"/>
      <c r="N36" s="537"/>
      <c r="O36" s="538">
        <f t="shared" si="5"/>
        <v>0</v>
      </c>
      <c r="P36" s="537"/>
      <c r="Q36" s="537"/>
      <c r="R36" s="537"/>
      <c r="S36" s="537"/>
      <c r="T36" s="249">
        <f t="shared" si="42"/>
        <v>0</v>
      </c>
      <c r="U36" s="572"/>
      <c r="V36" s="572"/>
      <c r="W36" s="537"/>
      <c r="X36" s="537"/>
      <c r="Y36" s="247">
        <f t="shared" si="38"/>
        <v>0</v>
      </c>
      <c r="Z36" s="250">
        <f t="shared" si="8"/>
        <v>0</v>
      </c>
      <c r="AA36" s="542"/>
      <c r="AB36" s="542"/>
      <c r="AC36" s="542"/>
      <c r="AD36" s="542"/>
      <c r="AE36" s="543"/>
      <c r="AF36" s="286">
        <f t="shared" si="39"/>
        <v>0</v>
      </c>
      <c r="AG36" s="543"/>
      <c r="AH36" s="286">
        <f t="shared" si="40"/>
        <v>0</v>
      </c>
      <c r="AI36" s="543"/>
      <c r="AJ36" s="286">
        <f t="shared" si="41"/>
        <v>0</v>
      </c>
      <c r="AK36" s="544">
        <f t="shared" si="11"/>
        <v>0</v>
      </c>
      <c r="AL36" s="545">
        <f t="shared" si="12"/>
        <v>0</v>
      </c>
      <c r="AM36" s="186"/>
      <c r="AN36" s="186"/>
      <c r="AO36" s="549" t="str">
        <f t="shared" si="13"/>
        <v/>
      </c>
      <c r="AP36" s="548">
        <f t="shared" si="34"/>
        <v>0</v>
      </c>
      <c r="AQ36" s="186"/>
      <c r="AR36" s="186"/>
      <c r="AS36" s="549"/>
      <c r="AT36" s="186"/>
      <c r="AU36" s="186"/>
      <c r="AV36" s="549">
        <f t="shared" si="15"/>
        <v>0</v>
      </c>
      <c r="AW36" s="186"/>
      <c r="AX36" s="549">
        <f t="shared" si="16"/>
        <v>0</v>
      </c>
      <c r="AY36" s="186"/>
      <c r="AZ36" s="549">
        <f t="shared" si="17"/>
        <v>0</v>
      </c>
      <c r="BA36" s="186"/>
      <c r="BB36" s="549">
        <f t="shared" si="18"/>
        <v>0</v>
      </c>
      <c r="BC36" s="186"/>
      <c r="BD36" s="549">
        <f t="shared" si="19"/>
        <v>0</v>
      </c>
      <c r="BE36" s="186"/>
      <c r="BF36" s="549">
        <f t="shared" si="20"/>
        <v>0</v>
      </c>
      <c r="BG36" s="573">
        <f t="shared" si="21"/>
        <v>0</v>
      </c>
      <c r="BH36" s="574">
        <f t="shared" si="22"/>
        <v>0</v>
      </c>
      <c r="BI36" s="552">
        <f t="shared" si="23"/>
        <v>0</v>
      </c>
      <c r="BK36" s="240">
        <f t="shared" si="24"/>
        <v>0</v>
      </c>
      <c r="BL36" s="240">
        <f t="shared" si="25"/>
        <v>0</v>
      </c>
      <c r="BM36" s="240">
        <f t="shared" si="26"/>
        <v>0</v>
      </c>
      <c r="BN36" s="240">
        <f t="shared" si="27"/>
        <v>0</v>
      </c>
      <c r="BO36" s="240">
        <f t="shared" si="28"/>
        <v>0</v>
      </c>
      <c r="BP36" s="240">
        <f t="shared" si="29"/>
        <v>0</v>
      </c>
      <c r="BQ36" s="240">
        <f t="shared" si="30"/>
        <v>0</v>
      </c>
      <c r="BR36" s="240">
        <f t="shared" si="31"/>
        <v>0</v>
      </c>
      <c r="BS36" s="240">
        <f t="shared" si="32"/>
        <v>0</v>
      </c>
    </row>
    <row r="37" ht="15.75" customHeight="1">
      <c r="A37" s="571">
        <v>45441.0</v>
      </c>
      <c r="B37" s="533"/>
      <c r="C37" s="533"/>
      <c r="D37" s="533"/>
      <c r="E37" s="533"/>
      <c r="F37" s="533"/>
      <c r="G37" s="534"/>
      <c r="H37" s="330"/>
      <c r="I37" s="535"/>
      <c r="J37" s="245">
        <f t="shared" si="4"/>
        <v>0</v>
      </c>
      <c r="K37" s="537"/>
      <c r="L37" s="537"/>
      <c r="M37" s="537"/>
      <c r="N37" s="537"/>
      <c r="O37" s="538">
        <f t="shared" si="5"/>
        <v>0</v>
      </c>
      <c r="P37" s="537"/>
      <c r="Q37" s="537"/>
      <c r="R37" s="537"/>
      <c r="S37" s="537"/>
      <c r="T37" s="249">
        <f t="shared" si="42"/>
        <v>0</v>
      </c>
      <c r="U37" s="572"/>
      <c r="V37" s="572"/>
      <c r="W37" s="537"/>
      <c r="X37" s="537"/>
      <c r="Y37" s="247">
        <f t="shared" si="38"/>
        <v>0</v>
      </c>
      <c r="Z37" s="250">
        <f t="shared" si="8"/>
        <v>0</v>
      </c>
      <c r="AA37" s="559"/>
      <c r="AB37" s="559"/>
      <c r="AC37" s="559"/>
      <c r="AD37" s="559"/>
      <c r="AE37" s="543"/>
      <c r="AF37" s="286">
        <f t="shared" si="39"/>
        <v>0</v>
      </c>
      <c r="AG37" s="543"/>
      <c r="AH37" s="286">
        <f t="shared" si="40"/>
        <v>0</v>
      </c>
      <c r="AI37" s="543"/>
      <c r="AJ37" s="286">
        <f t="shared" si="41"/>
        <v>0</v>
      </c>
      <c r="AK37" s="544">
        <f t="shared" si="11"/>
        <v>0</v>
      </c>
      <c r="AL37" s="545">
        <f t="shared" si="12"/>
        <v>0</v>
      </c>
      <c r="AM37" s="186"/>
      <c r="AN37" s="186"/>
      <c r="AO37" s="549" t="str">
        <f t="shared" si="13"/>
        <v/>
      </c>
      <c r="AP37" s="548">
        <f t="shared" si="34"/>
        <v>0</v>
      </c>
      <c r="AQ37" s="186"/>
      <c r="AR37" s="186"/>
      <c r="AS37" s="549"/>
      <c r="AT37" s="186"/>
      <c r="AU37" s="186"/>
      <c r="AV37" s="549">
        <f t="shared" si="15"/>
        <v>0</v>
      </c>
      <c r="AW37" s="186"/>
      <c r="AX37" s="549">
        <f t="shared" si="16"/>
        <v>0</v>
      </c>
      <c r="AY37" s="186"/>
      <c r="AZ37" s="549">
        <f t="shared" si="17"/>
        <v>0</v>
      </c>
      <c r="BA37" s="186"/>
      <c r="BB37" s="549">
        <f t="shared" si="18"/>
        <v>0</v>
      </c>
      <c r="BC37" s="186"/>
      <c r="BD37" s="549">
        <f t="shared" si="19"/>
        <v>0</v>
      </c>
      <c r="BE37" s="186"/>
      <c r="BF37" s="549">
        <f t="shared" si="20"/>
        <v>0</v>
      </c>
      <c r="BG37" s="573">
        <f t="shared" si="21"/>
        <v>0</v>
      </c>
      <c r="BH37" s="574">
        <f t="shared" si="22"/>
        <v>0</v>
      </c>
      <c r="BI37" s="552">
        <f t="shared" si="23"/>
        <v>0</v>
      </c>
      <c r="BK37" s="240">
        <f t="shared" si="24"/>
        <v>0</v>
      </c>
      <c r="BL37" s="240">
        <f t="shared" si="25"/>
        <v>0</v>
      </c>
      <c r="BM37" s="240">
        <f t="shared" si="26"/>
        <v>0</v>
      </c>
      <c r="BN37" s="240">
        <f t="shared" si="27"/>
        <v>0</v>
      </c>
      <c r="BO37" s="240">
        <f t="shared" si="28"/>
        <v>0</v>
      </c>
      <c r="BP37" s="240">
        <f t="shared" si="29"/>
        <v>0</v>
      </c>
      <c r="BQ37" s="240">
        <f t="shared" si="30"/>
        <v>0</v>
      </c>
      <c r="BR37" s="240">
        <f t="shared" si="31"/>
        <v>0</v>
      </c>
      <c r="BS37" s="240">
        <f t="shared" si="32"/>
        <v>0</v>
      </c>
    </row>
    <row r="38" ht="15.75" customHeight="1">
      <c r="A38" s="571">
        <v>45442.0</v>
      </c>
      <c r="B38" s="533"/>
      <c r="C38" s="533"/>
      <c r="D38" s="533"/>
      <c r="E38" s="533"/>
      <c r="F38" s="533"/>
      <c r="G38" s="534"/>
      <c r="H38" s="330"/>
      <c r="I38" s="535"/>
      <c r="J38" s="245">
        <f t="shared" si="4"/>
        <v>0</v>
      </c>
      <c r="K38" s="537"/>
      <c r="L38" s="537"/>
      <c r="M38" s="537"/>
      <c r="N38" s="537"/>
      <c r="O38" s="538">
        <f t="shared" si="5"/>
        <v>0</v>
      </c>
      <c r="P38" s="537"/>
      <c r="Q38" s="537"/>
      <c r="R38" s="537"/>
      <c r="S38" s="537"/>
      <c r="T38" s="249">
        <f t="shared" si="42"/>
        <v>0</v>
      </c>
      <c r="U38" s="572"/>
      <c r="V38" s="572"/>
      <c r="W38" s="537"/>
      <c r="X38" s="537"/>
      <c r="Y38" s="247">
        <f t="shared" si="38"/>
        <v>0</v>
      </c>
      <c r="Z38" s="250">
        <f t="shared" si="8"/>
        <v>0</v>
      </c>
      <c r="AA38" s="560"/>
      <c r="AB38" s="560"/>
      <c r="AC38" s="560"/>
      <c r="AD38" s="560"/>
      <c r="AE38" s="543"/>
      <c r="AF38" s="286">
        <f t="shared" si="39"/>
        <v>0</v>
      </c>
      <c r="AG38" s="543"/>
      <c r="AH38" s="286">
        <f t="shared" si="40"/>
        <v>0</v>
      </c>
      <c r="AI38" s="543"/>
      <c r="AJ38" s="286">
        <f t="shared" si="41"/>
        <v>0</v>
      </c>
      <c r="AK38" s="544">
        <f t="shared" si="11"/>
        <v>0</v>
      </c>
      <c r="AL38" s="545">
        <f t="shared" si="12"/>
        <v>0</v>
      </c>
      <c r="AM38" s="186"/>
      <c r="AN38" s="186"/>
      <c r="AO38" s="549" t="str">
        <f t="shared" si="13"/>
        <v/>
      </c>
      <c r="AP38" s="548">
        <f t="shared" si="34"/>
        <v>0</v>
      </c>
      <c r="AQ38" s="186"/>
      <c r="AR38" s="186"/>
      <c r="AS38" s="549"/>
      <c r="AT38" s="186"/>
      <c r="AU38" s="186"/>
      <c r="AV38" s="549">
        <f t="shared" si="15"/>
        <v>0</v>
      </c>
      <c r="AW38" s="186"/>
      <c r="AX38" s="549">
        <f t="shared" si="16"/>
        <v>0</v>
      </c>
      <c r="AY38" s="186"/>
      <c r="AZ38" s="549">
        <f t="shared" si="17"/>
        <v>0</v>
      </c>
      <c r="BA38" s="186"/>
      <c r="BB38" s="549">
        <f t="shared" si="18"/>
        <v>0</v>
      </c>
      <c r="BC38" s="186"/>
      <c r="BD38" s="549">
        <f t="shared" si="19"/>
        <v>0</v>
      </c>
      <c r="BE38" s="186"/>
      <c r="BF38" s="549">
        <f t="shared" si="20"/>
        <v>0</v>
      </c>
      <c r="BG38" s="573">
        <f t="shared" si="21"/>
        <v>0</v>
      </c>
      <c r="BH38" s="574">
        <f t="shared" si="22"/>
        <v>0</v>
      </c>
      <c r="BI38" s="552">
        <f t="shared" si="23"/>
        <v>0</v>
      </c>
      <c r="BJ38" s="222"/>
      <c r="BK38" s="240">
        <f t="shared" si="24"/>
        <v>0</v>
      </c>
      <c r="BL38" s="240">
        <f t="shared" si="25"/>
        <v>0</v>
      </c>
      <c r="BM38" s="240">
        <f t="shared" si="26"/>
        <v>0</v>
      </c>
      <c r="BN38" s="240">
        <f t="shared" si="27"/>
        <v>0</v>
      </c>
      <c r="BO38" s="240">
        <f t="shared" si="28"/>
        <v>0</v>
      </c>
      <c r="BP38" s="240">
        <f t="shared" si="29"/>
        <v>0</v>
      </c>
      <c r="BQ38" s="240">
        <f t="shared" si="30"/>
        <v>0</v>
      </c>
      <c r="BR38" s="240">
        <f t="shared" si="31"/>
        <v>0</v>
      </c>
      <c r="BS38" s="240">
        <f t="shared" si="32"/>
        <v>0</v>
      </c>
    </row>
    <row r="39" ht="15.75" customHeight="1">
      <c r="A39" s="571">
        <v>45443.0</v>
      </c>
      <c r="B39" s="533"/>
      <c r="C39" s="533"/>
      <c r="D39" s="533"/>
      <c r="E39" s="533"/>
      <c r="F39" s="533"/>
      <c r="G39" s="534"/>
      <c r="H39" s="330"/>
      <c r="I39" s="535"/>
      <c r="J39" s="245">
        <f t="shared" si="4"/>
        <v>0</v>
      </c>
      <c r="K39" s="537"/>
      <c r="L39" s="537"/>
      <c r="M39" s="537"/>
      <c r="N39" s="537"/>
      <c r="O39" s="538">
        <f t="shared" si="5"/>
        <v>0</v>
      </c>
      <c r="P39" s="537"/>
      <c r="Q39" s="537"/>
      <c r="R39" s="537"/>
      <c r="S39" s="537"/>
      <c r="T39" s="249">
        <f t="shared" si="42"/>
        <v>0</v>
      </c>
      <c r="U39" s="572"/>
      <c r="V39" s="572"/>
      <c r="W39" s="537"/>
      <c r="X39" s="537"/>
      <c r="Y39" s="247">
        <f t="shared" si="38"/>
        <v>0</v>
      </c>
      <c r="Z39" s="250">
        <f t="shared" si="8"/>
        <v>0</v>
      </c>
      <c r="AA39" s="560"/>
      <c r="AB39" s="560"/>
      <c r="AC39" s="560"/>
      <c r="AD39" s="560"/>
      <c r="AE39" s="543"/>
      <c r="AF39" s="286"/>
      <c r="AG39" s="543"/>
      <c r="AH39" s="286"/>
      <c r="AI39" s="543"/>
      <c r="AJ39" s="286"/>
      <c r="AK39" s="544"/>
      <c r="AL39" s="545"/>
      <c r="AM39" s="186"/>
      <c r="AN39" s="186"/>
      <c r="AO39" s="549"/>
      <c r="AP39" s="548">
        <f t="shared" si="34"/>
        <v>0</v>
      </c>
      <c r="AQ39" s="186"/>
      <c r="AR39" s="186"/>
      <c r="AS39" s="549"/>
      <c r="AT39" s="186"/>
      <c r="AU39" s="186"/>
      <c r="AV39" s="549">
        <f t="shared" si="15"/>
        <v>0</v>
      </c>
      <c r="AW39" s="186"/>
      <c r="AX39" s="549">
        <f t="shared" si="16"/>
        <v>0</v>
      </c>
      <c r="AY39" s="186"/>
      <c r="AZ39" s="549">
        <f t="shared" si="17"/>
        <v>0</v>
      </c>
      <c r="BA39" s="186"/>
      <c r="BB39" s="549">
        <f t="shared" si="18"/>
        <v>0</v>
      </c>
      <c r="BC39" s="186"/>
      <c r="BD39" s="549">
        <f t="shared" si="19"/>
        <v>0</v>
      </c>
      <c r="BE39" s="186"/>
      <c r="BF39" s="549">
        <f t="shared" si="20"/>
        <v>0</v>
      </c>
      <c r="BG39" s="573">
        <f t="shared" si="21"/>
        <v>0</v>
      </c>
      <c r="BH39" s="574">
        <f t="shared" si="22"/>
        <v>0</v>
      </c>
      <c r="BI39" s="552">
        <f t="shared" si="23"/>
        <v>0</v>
      </c>
      <c r="BJ39" s="222"/>
      <c r="BK39" s="240"/>
      <c r="BL39" s="240"/>
      <c r="BM39" s="240"/>
      <c r="BN39" s="240"/>
      <c r="BO39" s="240"/>
      <c r="BP39" s="240"/>
      <c r="BQ39" s="240"/>
      <c r="BR39" s="240"/>
      <c r="BS39" s="240">
        <f t="shared" si="32"/>
        <v>0</v>
      </c>
    </row>
    <row r="40" ht="15.75" customHeight="1">
      <c r="A40" s="571"/>
      <c r="B40" s="533"/>
      <c r="C40" s="533"/>
      <c r="D40" s="533"/>
      <c r="E40" s="533"/>
      <c r="F40" s="533"/>
      <c r="G40" s="534"/>
      <c r="H40" s="330"/>
      <c r="I40" s="535"/>
      <c r="J40" s="245"/>
      <c r="K40" s="537"/>
      <c r="L40" s="537"/>
      <c r="M40" s="537"/>
      <c r="N40" s="537"/>
      <c r="O40" s="538"/>
      <c r="P40" s="537"/>
      <c r="Q40" s="537"/>
      <c r="R40" s="537"/>
      <c r="S40" s="537"/>
      <c r="T40" s="249"/>
      <c r="U40" s="572"/>
      <c r="V40" s="572"/>
      <c r="W40" s="537"/>
      <c r="X40" s="537"/>
      <c r="Y40" s="247"/>
      <c r="Z40" s="250"/>
      <c r="AA40" s="560"/>
      <c r="AB40" s="560"/>
      <c r="AC40" s="560"/>
      <c r="AD40" s="560"/>
      <c r="AE40" s="543"/>
      <c r="AF40" s="286"/>
      <c r="AG40" s="543"/>
      <c r="AH40" s="286"/>
      <c r="AI40" s="543"/>
      <c r="AJ40" s="286"/>
      <c r="AK40" s="544"/>
      <c r="AL40" s="545"/>
      <c r="AM40" s="186"/>
      <c r="AN40" s="186"/>
      <c r="AO40" s="549"/>
      <c r="AP40" s="548"/>
      <c r="AQ40" s="186"/>
      <c r="AR40" s="186"/>
      <c r="AS40" s="549"/>
      <c r="AT40" s="186"/>
      <c r="AU40" s="186"/>
      <c r="AV40" s="549">
        <f t="shared" si="15"/>
        <v>0</v>
      </c>
      <c r="AW40" s="186"/>
      <c r="AX40" s="549">
        <f t="shared" si="16"/>
        <v>0</v>
      </c>
      <c r="AY40" s="186"/>
      <c r="AZ40" s="549">
        <f t="shared" si="17"/>
        <v>0</v>
      </c>
      <c r="BA40" s="186"/>
      <c r="BB40" s="549">
        <f t="shared" si="18"/>
        <v>0</v>
      </c>
      <c r="BC40" s="186"/>
      <c r="BD40" s="549">
        <f t="shared" si="19"/>
        <v>0</v>
      </c>
      <c r="BE40" s="186"/>
      <c r="BF40" s="549">
        <f t="shared" si="20"/>
        <v>0</v>
      </c>
      <c r="BG40" s="573">
        <f t="shared" si="21"/>
        <v>0</v>
      </c>
      <c r="BH40" s="574"/>
      <c r="BI40" s="552">
        <f t="shared" si="23"/>
        <v>0</v>
      </c>
      <c r="BJ40" s="222"/>
      <c r="BK40" s="240"/>
      <c r="BL40" s="240"/>
      <c r="BM40" s="240"/>
      <c r="BN40" s="240"/>
      <c r="BO40" s="240"/>
      <c r="BP40" s="240"/>
      <c r="BQ40" s="240"/>
      <c r="BR40" s="240"/>
      <c r="BS40" s="240"/>
    </row>
    <row r="41" ht="20.25" customHeight="1">
      <c r="A41" s="242" t="s">
        <v>54</v>
      </c>
      <c r="B41" s="243">
        <f>MAX(B9:B40)</f>
        <v>0</v>
      </c>
      <c r="C41" s="244">
        <f>SUM(C9:C40)</f>
        <v>0</v>
      </c>
      <c r="D41" s="243">
        <f>MIN(D9:D40)</f>
        <v>0</v>
      </c>
      <c r="E41" s="243">
        <f>MAX(E9:E40)</f>
        <v>0</v>
      </c>
      <c r="F41" s="244">
        <f t="shared" ref="F41:J41" si="43">SUM(F9:F40)</f>
        <v>0</v>
      </c>
      <c r="G41" s="244">
        <f t="shared" si="43"/>
        <v>0</v>
      </c>
      <c r="H41" s="245">
        <f t="shared" si="43"/>
        <v>0</v>
      </c>
      <c r="I41" s="245">
        <f t="shared" si="43"/>
        <v>0</v>
      </c>
      <c r="J41" s="245">
        <f t="shared" si="43"/>
        <v>0</v>
      </c>
      <c r="K41" s="246">
        <f>MIN(K9:K40)</f>
        <v>0</v>
      </c>
      <c r="L41" s="246">
        <f>MAX(L9:L40)</f>
        <v>0</v>
      </c>
      <c r="M41" s="247">
        <f t="shared" ref="M41:O41" si="44">SUM(M9:M40)</f>
        <v>0</v>
      </c>
      <c r="N41" s="247">
        <f t="shared" si="44"/>
        <v>0</v>
      </c>
      <c r="O41" s="247">
        <f t="shared" si="44"/>
        <v>0</v>
      </c>
      <c r="P41" s="248">
        <f>MIN(P9:P40)</f>
        <v>0</v>
      </c>
      <c r="Q41" s="248">
        <f>MAX(Q9:Q40)</f>
        <v>0</v>
      </c>
      <c r="R41" s="249">
        <f t="shared" ref="R41:T41" si="45">SUM(R9:R40)</f>
        <v>0</v>
      </c>
      <c r="S41" s="249">
        <f t="shared" si="45"/>
        <v>0</v>
      </c>
      <c r="T41" s="249">
        <f t="shared" si="45"/>
        <v>0</v>
      </c>
      <c r="U41" s="246">
        <f>MIN(U9:U40)</f>
        <v>0</v>
      </c>
      <c r="V41" s="246">
        <f>MAX(V9:V40)</f>
        <v>0</v>
      </c>
      <c r="W41" s="247">
        <f t="shared" ref="W41:Z41" si="46">SUM(W9:W40)</f>
        <v>0</v>
      </c>
      <c r="X41" s="247">
        <f t="shared" si="46"/>
        <v>0</v>
      </c>
      <c r="Y41" s="247">
        <f t="shared" si="46"/>
        <v>0</v>
      </c>
      <c r="Z41" s="250">
        <f t="shared" si="46"/>
        <v>0</v>
      </c>
      <c r="AA41" s="251">
        <f t="shared" ref="AA41:AL41" si="47">SUM(AA9:AA38)</f>
        <v>0</v>
      </c>
      <c r="AB41" s="251">
        <f t="shared" si="47"/>
        <v>0</v>
      </c>
      <c r="AC41" s="251">
        <f t="shared" si="47"/>
        <v>0</v>
      </c>
      <c r="AD41" s="251">
        <f t="shared" si="47"/>
        <v>0</v>
      </c>
      <c r="AE41" s="251">
        <f t="shared" si="47"/>
        <v>0</v>
      </c>
      <c r="AF41" s="251">
        <f t="shared" si="47"/>
        <v>0</v>
      </c>
      <c r="AG41" s="251">
        <f t="shared" si="47"/>
        <v>0</v>
      </c>
      <c r="AH41" s="251">
        <f t="shared" si="47"/>
        <v>0</v>
      </c>
      <c r="AI41" s="251">
        <f t="shared" si="47"/>
        <v>0</v>
      </c>
      <c r="AJ41" s="251">
        <f t="shared" si="47"/>
        <v>0</v>
      </c>
      <c r="AK41" s="253">
        <f t="shared" si="47"/>
        <v>0</v>
      </c>
      <c r="AL41" s="254">
        <f t="shared" si="47"/>
        <v>0</v>
      </c>
      <c r="AM41" s="254">
        <f t="shared" ref="AM41:BI41" si="48">SUM(AM9:AM40)</f>
        <v>0</v>
      </c>
      <c r="AN41" s="254">
        <f t="shared" si="48"/>
        <v>0</v>
      </c>
      <c r="AO41" s="254">
        <f t="shared" si="48"/>
        <v>0</v>
      </c>
      <c r="AP41" s="254">
        <f t="shared" si="48"/>
        <v>0</v>
      </c>
      <c r="AQ41" s="254">
        <f t="shared" si="48"/>
        <v>0</v>
      </c>
      <c r="AR41" s="254">
        <f t="shared" si="48"/>
        <v>0</v>
      </c>
      <c r="AS41" s="254">
        <f t="shared" si="48"/>
        <v>0</v>
      </c>
      <c r="AT41" s="254">
        <f t="shared" si="48"/>
        <v>0</v>
      </c>
      <c r="AU41" s="254">
        <f t="shared" si="48"/>
        <v>0</v>
      </c>
      <c r="AV41" s="254">
        <f t="shared" si="48"/>
        <v>0</v>
      </c>
      <c r="AW41" s="254">
        <f t="shared" si="48"/>
        <v>0</v>
      </c>
      <c r="AX41" s="254">
        <f t="shared" si="48"/>
        <v>0</v>
      </c>
      <c r="AY41" s="254">
        <f t="shared" si="48"/>
        <v>0</v>
      </c>
      <c r="AZ41" s="254">
        <f t="shared" si="48"/>
        <v>0</v>
      </c>
      <c r="BA41" s="254">
        <f t="shared" si="48"/>
        <v>0</v>
      </c>
      <c r="BB41" s="254">
        <f t="shared" si="48"/>
        <v>0</v>
      </c>
      <c r="BC41" s="254">
        <f t="shared" si="48"/>
        <v>0</v>
      </c>
      <c r="BD41" s="254">
        <f t="shared" si="48"/>
        <v>0</v>
      </c>
      <c r="BE41" s="254">
        <f t="shared" si="48"/>
        <v>0</v>
      </c>
      <c r="BF41" s="254">
        <f t="shared" si="48"/>
        <v>0</v>
      </c>
      <c r="BG41" s="254">
        <f t="shared" si="48"/>
        <v>0</v>
      </c>
      <c r="BH41" s="254">
        <f t="shared" si="48"/>
        <v>0</v>
      </c>
      <c r="BI41" s="254">
        <f t="shared" si="48"/>
        <v>0</v>
      </c>
      <c r="BJ41" s="222"/>
      <c r="BK41" s="240">
        <f>IF((AM41+AN41)=0,0,(AM41+AN41)/Z41)</f>
        <v>0</v>
      </c>
      <c r="BL41" s="240">
        <f>IF(AQ41=0,0,AQ41/Z41)</f>
        <v>0</v>
      </c>
      <c r="BM41" s="240">
        <f t="shared" ref="BM41:BN41" si="49">IF(AR41=0,0,AR41/$Z$41)</f>
        <v>0</v>
      </c>
      <c r="BN41" s="240">
        <f t="shared" si="49"/>
        <v>0</v>
      </c>
      <c r="BO41" s="240">
        <f>IF(AV41=0,0,AV41/$Z$41)</f>
        <v>0</v>
      </c>
      <c r="BP41" s="240">
        <f>IF((AX41+AZ41+BB41)=0,0,(AX41+AZ41+BB41)/Z41)</f>
        <v>0</v>
      </c>
      <c r="BQ41" s="240">
        <f>IF(BF41=0,0,BF41/$Z$41)</f>
        <v>0</v>
      </c>
      <c r="BR41" s="240">
        <f>SUM(BK41:BQ41)</f>
        <v>0</v>
      </c>
      <c r="BS41" s="255"/>
    </row>
    <row r="42" ht="14.25" customHeight="1">
      <c r="A42" s="210"/>
      <c r="B42" s="211">
        <v>406.0</v>
      </c>
      <c r="C42" s="212"/>
      <c r="D42" s="212">
        <v>341.0</v>
      </c>
      <c r="E42" s="212"/>
      <c r="F42" s="212"/>
      <c r="G42" s="212"/>
      <c r="H42" s="213"/>
      <c r="I42" s="213"/>
      <c r="J42" s="214"/>
      <c r="K42" s="214"/>
      <c r="L42" s="214"/>
      <c r="M42" s="214"/>
      <c r="N42" s="214"/>
      <c r="O42" s="214"/>
      <c r="P42" s="214">
        <v>5.0</v>
      </c>
      <c r="Q42" s="214"/>
      <c r="R42" s="214"/>
      <c r="S42" s="214"/>
      <c r="T42" s="214"/>
      <c r="U42" s="217" t="s">
        <v>213</v>
      </c>
      <c r="V42" s="217"/>
      <c r="W42" s="214"/>
      <c r="X42" s="214"/>
      <c r="Y42" s="214"/>
      <c r="Z42" s="214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65"/>
      <c r="AL42" s="218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4"/>
      <c r="BI42" s="218"/>
      <c r="BJ42" s="218"/>
      <c r="BK42" s="222"/>
      <c r="BL42" s="222"/>
      <c r="BM42" s="222"/>
      <c r="BN42" s="222"/>
      <c r="BO42" s="222"/>
      <c r="BP42" s="222"/>
      <c r="BQ42" s="222"/>
      <c r="BR42" s="222"/>
      <c r="BS42" s="222"/>
    </row>
    <row r="43" ht="15.0" customHeight="1">
      <c r="A43" s="287" t="s">
        <v>54</v>
      </c>
      <c r="B43" s="256"/>
      <c r="C43" s="288"/>
      <c r="D43" s="256"/>
      <c r="E43" s="256"/>
      <c r="F43" s="288"/>
      <c r="G43" s="288"/>
      <c r="H43" s="258"/>
      <c r="I43" s="258"/>
      <c r="J43" s="258"/>
      <c r="K43" s="256"/>
      <c r="L43" s="256"/>
      <c r="M43" s="258"/>
      <c r="N43" s="258"/>
      <c r="O43" s="258"/>
      <c r="P43" s="256"/>
      <c r="Q43" s="256"/>
      <c r="R43" s="258"/>
      <c r="S43" s="258"/>
      <c r="T43" s="258"/>
      <c r="U43" s="256"/>
      <c r="V43" s="256"/>
      <c r="W43" s="575"/>
      <c r="X43" s="494"/>
      <c r="Y43" s="494"/>
      <c r="Z43" s="494"/>
      <c r="AA43" s="494"/>
      <c r="AB43" s="494"/>
      <c r="AC43" s="494"/>
      <c r="AD43" s="494"/>
      <c r="AE43" s="576"/>
      <c r="AF43" s="494"/>
      <c r="AG43" s="494"/>
      <c r="AH43" s="494"/>
      <c r="AI43" s="494"/>
      <c r="AJ43" s="494"/>
      <c r="AK43" s="577"/>
      <c r="AL43" s="494"/>
      <c r="AM43" s="494"/>
      <c r="AN43" s="494"/>
      <c r="AO43" s="494"/>
      <c r="AP43" s="494"/>
      <c r="AQ43" s="494"/>
      <c r="AR43" s="494"/>
      <c r="AS43" s="494"/>
      <c r="AT43" s="494"/>
      <c r="AU43" s="494"/>
      <c r="AV43" s="494"/>
      <c r="AW43" s="494"/>
      <c r="AX43" s="494"/>
      <c r="AY43" s="494"/>
      <c r="AZ43" s="494"/>
      <c r="BA43" s="494"/>
      <c r="BB43" s="494"/>
      <c r="BC43" s="494"/>
      <c r="BD43" s="494"/>
      <c r="BE43" s="494"/>
      <c r="BF43" s="494"/>
      <c r="BG43" s="494"/>
      <c r="BH43" s="494"/>
      <c r="BI43" s="494"/>
      <c r="BJ43" s="494"/>
      <c r="BK43" s="494"/>
      <c r="BL43" s="494"/>
      <c r="BM43" s="494"/>
      <c r="BN43" s="494"/>
      <c r="BO43" s="494"/>
      <c r="BP43" s="494"/>
      <c r="BQ43" s="494"/>
      <c r="BR43" s="494"/>
      <c r="BS43" s="222"/>
    </row>
    <row r="44" ht="15.0" customHeight="1">
      <c r="A44" s="256" t="s">
        <v>55</v>
      </c>
      <c r="B44" s="256">
        <f>B9-B42</f>
        <v>-406</v>
      </c>
      <c r="C44" s="256"/>
      <c r="D44" s="256">
        <f>D41-D42</f>
        <v>-341</v>
      </c>
      <c r="E44" s="256"/>
      <c r="F44" s="256"/>
      <c r="G44" s="256"/>
      <c r="H44" s="256"/>
      <c r="I44" s="256"/>
      <c r="J44" s="257"/>
      <c r="K44" s="256">
        <f>K41-K42</f>
        <v>0</v>
      </c>
      <c r="L44" s="256"/>
      <c r="M44" s="257"/>
      <c r="N44" s="257"/>
      <c r="O44" s="257"/>
      <c r="P44" s="256">
        <f>P41-P42</f>
        <v>-5</v>
      </c>
      <c r="Q44" s="256"/>
      <c r="R44" s="258"/>
      <c r="S44" s="258"/>
      <c r="T44" s="258"/>
      <c r="U44" s="256">
        <f>U41-U42</f>
        <v>-13</v>
      </c>
      <c r="V44" s="256"/>
      <c r="W44" s="259"/>
      <c r="X44" s="258"/>
      <c r="Y44" s="260"/>
      <c r="Z44" s="260"/>
      <c r="AA44" s="261">
        <v>0.0</v>
      </c>
      <c r="AB44" s="261">
        <v>0.0</v>
      </c>
      <c r="AC44" s="261">
        <v>0.0</v>
      </c>
      <c r="AD44" s="261">
        <v>0.0</v>
      </c>
      <c r="AE44" s="261">
        <v>0.0</v>
      </c>
      <c r="AF44" s="261">
        <v>0.0</v>
      </c>
      <c r="AG44" s="261">
        <v>0.0</v>
      </c>
      <c r="AH44" s="261">
        <v>0.0</v>
      </c>
      <c r="AI44" s="261">
        <v>0.0</v>
      </c>
      <c r="AJ44" s="261">
        <v>0.0</v>
      </c>
      <c r="AK44" s="262">
        <v>0.0</v>
      </c>
      <c r="AL44" s="258" t="s">
        <v>91</v>
      </c>
      <c r="AM44" s="258"/>
      <c r="AN44" s="258"/>
      <c r="AO44" s="258"/>
      <c r="AP44" s="258"/>
      <c r="AQ44" s="258"/>
      <c r="AR44" s="258"/>
      <c r="AS44" s="258"/>
      <c r="AT44" s="258"/>
      <c r="AU44" s="258"/>
      <c r="AV44" s="258"/>
      <c r="AW44" s="258"/>
      <c r="AX44" s="258"/>
      <c r="AY44" s="258"/>
      <c r="AZ44" s="258"/>
      <c r="BA44" s="258"/>
      <c r="BB44" s="258"/>
      <c r="BC44" s="258"/>
      <c r="BD44" s="258"/>
      <c r="BE44" s="258"/>
      <c r="BF44" s="258"/>
      <c r="BG44" s="258"/>
      <c r="BH44" s="258"/>
      <c r="BI44" s="258"/>
      <c r="BJ44" s="260"/>
      <c r="BK44" s="263"/>
      <c r="BL44" s="263"/>
      <c r="BM44" s="263"/>
      <c r="BN44" s="263"/>
      <c r="BO44" s="263"/>
      <c r="BP44" s="263"/>
      <c r="BQ44" s="263"/>
      <c r="BR44" s="263"/>
      <c r="BS44" s="263"/>
    </row>
    <row r="45" ht="15.0" customHeight="1">
      <c r="A45" s="210"/>
      <c r="C45" s="212"/>
      <c r="D45" s="212"/>
      <c r="E45" s="212"/>
      <c r="F45" s="212"/>
      <c r="G45" s="212"/>
      <c r="H45" s="213"/>
      <c r="I45" s="213"/>
      <c r="J45" s="214"/>
      <c r="K45" s="214"/>
      <c r="L45" s="214"/>
      <c r="M45" s="214"/>
      <c r="N45" s="214"/>
      <c r="O45" s="214"/>
      <c r="P45" s="264"/>
      <c r="Q45" s="264"/>
      <c r="R45" s="215"/>
      <c r="S45" s="215"/>
      <c r="T45" s="215"/>
      <c r="U45" s="216"/>
      <c r="V45" s="217"/>
      <c r="W45" s="218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65"/>
      <c r="AO45" s="222"/>
      <c r="AP45" s="222"/>
      <c r="BK45" s="222"/>
      <c r="BL45" s="222"/>
      <c r="BM45" s="222"/>
      <c r="BN45" s="222"/>
      <c r="BO45" s="222"/>
      <c r="BP45" s="222"/>
      <c r="BQ45" s="222"/>
      <c r="BR45" s="222"/>
      <c r="BS45" s="222"/>
    </row>
    <row r="46" ht="15.0" customHeight="1">
      <c r="A46" s="210"/>
      <c r="C46" s="212"/>
      <c r="D46" s="212"/>
      <c r="E46" s="212"/>
      <c r="F46" s="212"/>
      <c r="G46" s="212"/>
      <c r="H46" s="213"/>
      <c r="I46" s="213"/>
      <c r="J46" s="214"/>
      <c r="K46" s="214"/>
      <c r="L46" s="214"/>
      <c r="M46" s="214"/>
      <c r="N46" s="214"/>
      <c r="O46" s="214"/>
      <c r="P46" s="264"/>
      <c r="Q46" s="264"/>
      <c r="R46" s="215"/>
      <c r="S46" s="215"/>
      <c r="T46" s="215"/>
      <c r="U46" s="216"/>
      <c r="V46" s="217"/>
      <c r="W46" s="218"/>
      <c r="Y46" s="300"/>
      <c r="Z46" s="300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65"/>
      <c r="AO46" s="222"/>
      <c r="AP46" s="222"/>
      <c r="BK46" s="222"/>
      <c r="BL46" s="222"/>
      <c r="BM46" s="222"/>
      <c r="BN46" s="222"/>
      <c r="BO46" s="222"/>
      <c r="BP46" s="222"/>
      <c r="BQ46" s="222"/>
      <c r="BR46" s="222"/>
      <c r="BS46" s="222"/>
    </row>
    <row r="47" ht="15.0" customHeight="1">
      <c r="A47" s="210"/>
      <c r="C47" s="212"/>
      <c r="D47" s="212"/>
      <c r="E47" s="212"/>
      <c r="F47" s="212"/>
      <c r="G47" s="212"/>
      <c r="H47" s="213"/>
      <c r="I47" s="213"/>
      <c r="J47" s="214"/>
      <c r="K47" s="214"/>
      <c r="L47" s="214"/>
      <c r="M47" s="214"/>
      <c r="N47" s="214"/>
      <c r="O47" s="214"/>
      <c r="P47" s="264"/>
      <c r="Q47" s="264"/>
      <c r="R47" s="215"/>
      <c r="S47" s="215"/>
      <c r="T47" s="215"/>
      <c r="U47" s="216"/>
      <c r="V47" s="217"/>
      <c r="W47" s="218"/>
      <c r="Y47" s="267" t="s">
        <v>56</v>
      </c>
      <c r="Z47" s="268">
        <f>Z41+Z46</f>
        <v>0</v>
      </c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65"/>
      <c r="AO47" s="222"/>
      <c r="AP47" s="222"/>
      <c r="BK47" s="222"/>
      <c r="BL47" s="222"/>
      <c r="BM47" s="222"/>
      <c r="BN47" s="222"/>
      <c r="BO47" s="222"/>
      <c r="BP47" s="222"/>
      <c r="BQ47" s="222"/>
      <c r="BR47" s="222"/>
      <c r="BS47" s="222"/>
    </row>
    <row r="48" ht="15.0" customHeight="1">
      <c r="A48" s="210"/>
      <c r="C48" s="212"/>
      <c r="D48" s="212"/>
      <c r="E48" s="212"/>
      <c r="F48" s="212"/>
      <c r="G48" s="212"/>
      <c r="H48" s="213"/>
      <c r="I48" s="213"/>
      <c r="J48" s="214"/>
      <c r="K48" s="214"/>
      <c r="L48" s="214"/>
      <c r="M48" s="214"/>
      <c r="N48" s="214"/>
      <c r="O48" s="214"/>
      <c r="P48" s="264"/>
      <c r="Q48" s="264"/>
      <c r="R48" s="215"/>
      <c r="S48" s="215"/>
      <c r="T48" s="215"/>
      <c r="U48" s="216"/>
      <c r="V48" s="217"/>
      <c r="W48" s="218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65"/>
      <c r="AO48" s="222"/>
      <c r="AP48" s="222"/>
      <c r="BK48" s="222"/>
      <c r="BL48" s="222"/>
      <c r="BM48" s="222"/>
      <c r="BN48" s="222"/>
      <c r="BO48" s="222"/>
      <c r="BP48" s="222"/>
      <c r="BQ48" s="222"/>
      <c r="BR48" s="222"/>
      <c r="BS48" s="222"/>
    </row>
    <row r="49" ht="15.0" customHeight="1">
      <c r="A49" s="210"/>
      <c r="C49" s="212"/>
      <c r="D49" s="212"/>
      <c r="E49" s="212"/>
      <c r="F49" s="212"/>
      <c r="G49" s="212"/>
      <c r="H49" s="213"/>
      <c r="I49" s="213"/>
      <c r="J49" s="214"/>
      <c r="K49" s="215"/>
      <c r="L49" s="215"/>
      <c r="M49" s="215"/>
      <c r="N49" s="215"/>
      <c r="O49" s="215"/>
      <c r="P49" s="216"/>
      <c r="Q49" s="217"/>
      <c r="R49" s="218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65"/>
      <c r="AJ49" s="222"/>
      <c r="AK49" s="222"/>
      <c r="BK49" s="222"/>
      <c r="BL49" s="222"/>
      <c r="BM49" s="222"/>
      <c r="BN49" s="222"/>
      <c r="BO49" s="222"/>
      <c r="BP49" s="222"/>
      <c r="BQ49" s="222"/>
      <c r="BR49" s="222"/>
      <c r="BS49" s="222"/>
    </row>
    <row r="50" ht="15.0" customHeight="1">
      <c r="A50" s="210"/>
      <c r="C50" s="212"/>
      <c r="D50" s="212"/>
      <c r="E50" s="212"/>
      <c r="F50" s="212"/>
      <c r="G50" s="212"/>
      <c r="H50" s="213"/>
      <c r="I50" s="213"/>
      <c r="J50" s="214"/>
      <c r="K50" s="215"/>
      <c r="L50" s="215"/>
      <c r="M50" s="215"/>
      <c r="N50" s="215"/>
      <c r="O50" s="215"/>
      <c r="P50" s="216"/>
      <c r="Q50" s="217"/>
      <c r="R50" s="218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65"/>
      <c r="AJ50" s="222"/>
      <c r="AK50" s="222"/>
      <c r="BK50" s="222"/>
      <c r="BL50" s="222"/>
      <c r="BM50" s="222"/>
      <c r="BN50" s="222"/>
      <c r="BO50" s="222"/>
      <c r="BP50" s="222"/>
      <c r="BQ50" s="222"/>
      <c r="BR50" s="222"/>
      <c r="BS50" s="222"/>
    </row>
    <row r="51" ht="15.0" customHeight="1">
      <c r="A51" s="210"/>
      <c r="C51" s="212"/>
      <c r="D51" s="212"/>
      <c r="E51" s="212"/>
      <c r="F51" s="212"/>
      <c r="G51" s="212"/>
      <c r="H51" s="213"/>
      <c r="I51" s="213"/>
      <c r="J51" s="214"/>
      <c r="K51" s="215"/>
      <c r="L51" s="215"/>
      <c r="M51" s="215"/>
      <c r="N51" s="215"/>
      <c r="O51" s="215"/>
      <c r="P51" s="216"/>
      <c r="Q51" s="217"/>
      <c r="R51" s="218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65"/>
      <c r="AJ51" s="222"/>
      <c r="AK51" s="222"/>
      <c r="BK51" s="222"/>
      <c r="BL51" s="222"/>
      <c r="BM51" s="222"/>
      <c r="BN51" s="222"/>
      <c r="BO51" s="222"/>
      <c r="BP51" s="222"/>
      <c r="BQ51" s="222"/>
      <c r="BR51" s="222"/>
      <c r="BS51" s="222"/>
    </row>
    <row r="52" ht="15.0" customHeight="1">
      <c r="A52" s="210"/>
      <c r="C52" s="212"/>
      <c r="D52" s="212"/>
      <c r="E52" s="212"/>
      <c r="F52" s="212"/>
      <c r="G52" s="212"/>
      <c r="H52" s="213"/>
      <c r="I52" s="213"/>
      <c r="J52" s="214"/>
      <c r="K52" s="215"/>
      <c r="L52" s="215"/>
      <c r="M52" s="215"/>
      <c r="N52" s="215"/>
      <c r="O52" s="215"/>
      <c r="P52" s="216"/>
      <c r="Q52" s="217"/>
      <c r="R52" s="218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65"/>
      <c r="AJ52" s="222"/>
      <c r="AK52" s="222"/>
      <c r="BK52" s="222"/>
      <c r="BL52" s="222"/>
      <c r="BM52" s="222"/>
      <c r="BN52" s="222"/>
      <c r="BO52" s="222"/>
      <c r="BP52" s="222"/>
      <c r="BQ52" s="222"/>
      <c r="BR52" s="222"/>
      <c r="BS52" s="222"/>
    </row>
    <row r="53" ht="15.0" customHeight="1">
      <c r="A53" s="210"/>
      <c r="C53" s="212"/>
      <c r="D53" s="212"/>
      <c r="E53" s="212"/>
      <c r="F53" s="212"/>
      <c r="G53" s="212"/>
      <c r="H53" s="213"/>
      <c r="I53" s="213"/>
      <c r="J53" s="214"/>
      <c r="K53" s="215"/>
      <c r="L53" s="215"/>
      <c r="M53" s="215"/>
      <c r="N53" s="215"/>
      <c r="O53" s="215"/>
      <c r="P53" s="216"/>
      <c r="Q53" s="217"/>
      <c r="R53" s="218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65"/>
      <c r="AJ53" s="222"/>
      <c r="AK53" s="222"/>
      <c r="BK53" s="222"/>
      <c r="BL53" s="222"/>
      <c r="BM53" s="222"/>
      <c r="BN53" s="222"/>
      <c r="BO53" s="222"/>
      <c r="BP53" s="222"/>
      <c r="BQ53" s="222"/>
      <c r="BR53" s="222"/>
      <c r="BS53" s="222"/>
    </row>
    <row r="54" ht="15.0" customHeight="1">
      <c r="A54" s="210"/>
      <c r="C54" s="212"/>
      <c r="D54" s="212"/>
      <c r="E54" s="212"/>
      <c r="F54" s="212"/>
      <c r="G54" s="212"/>
      <c r="H54" s="213"/>
      <c r="I54" s="213"/>
      <c r="J54" s="214"/>
      <c r="K54" s="215"/>
      <c r="L54" s="215"/>
      <c r="M54" s="215"/>
      <c r="N54" s="215"/>
      <c r="O54" s="215"/>
      <c r="P54" s="216"/>
      <c r="Q54" s="217"/>
      <c r="R54" s="218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65"/>
      <c r="AJ54" s="222"/>
      <c r="AK54" s="222"/>
      <c r="BK54" s="222"/>
      <c r="BL54" s="222"/>
      <c r="BM54" s="222"/>
      <c r="BN54" s="222"/>
      <c r="BO54" s="222"/>
      <c r="BP54" s="222"/>
      <c r="BQ54" s="222"/>
      <c r="BR54" s="222"/>
      <c r="BS54" s="222"/>
    </row>
    <row r="55" ht="15.0" customHeight="1">
      <c r="A55" s="210"/>
      <c r="C55" s="212"/>
      <c r="D55" s="212"/>
      <c r="E55" s="212"/>
      <c r="F55" s="212"/>
      <c r="G55" s="212"/>
      <c r="H55" s="213"/>
      <c r="I55" s="213"/>
      <c r="J55" s="214"/>
      <c r="K55" s="215"/>
      <c r="L55" s="215"/>
      <c r="M55" s="215"/>
      <c r="N55" s="215"/>
      <c r="O55" s="215"/>
      <c r="P55" s="216"/>
      <c r="Q55" s="217"/>
      <c r="R55" s="218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65"/>
      <c r="AJ55" s="222"/>
      <c r="AK55" s="222"/>
      <c r="BK55" s="222"/>
      <c r="BL55" s="222"/>
      <c r="BM55" s="222"/>
      <c r="BN55" s="222"/>
      <c r="BO55" s="222"/>
      <c r="BP55" s="222"/>
      <c r="BQ55" s="222"/>
      <c r="BR55" s="222"/>
      <c r="BS55" s="222"/>
    </row>
    <row r="56" ht="15.0" customHeight="1">
      <c r="A56" s="210"/>
      <c r="C56" s="212"/>
      <c r="D56" s="212"/>
      <c r="E56" s="212"/>
      <c r="F56" s="212"/>
      <c r="G56" s="212"/>
      <c r="H56" s="213"/>
      <c r="I56" s="213"/>
      <c r="J56" s="214"/>
      <c r="K56" s="215"/>
      <c r="L56" s="215"/>
      <c r="M56" s="215"/>
      <c r="N56" s="215"/>
      <c r="O56" s="215"/>
      <c r="P56" s="216"/>
      <c r="Q56" s="217"/>
      <c r="R56" s="218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65"/>
      <c r="AJ56" s="222"/>
      <c r="AK56" s="222"/>
      <c r="BK56" s="222"/>
      <c r="BL56" s="222"/>
      <c r="BM56" s="222"/>
      <c r="BN56" s="222"/>
      <c r="BO56" s="222"/>
      <c r="BP56" s="222"/>
      <c r="BQ56" s="222"/>
      <c r="BR56" s="222"/>
      <c r="BS56" s="222"/>
    </row>
    <row r="57" ht="15.0" customHeight="1">
      <c r="A57" s="210"/>
      <c r="C57" s="212"/>
      <c r="D57" s="212"/>
      <c r="E57" s="212"/>
      <c r="F57" s="212"/>
      <c r="G57" s="212"/>
      <c r="H57" s="213"/>
      <c r="I57" s="213"/>
      <c r="J57" s="214"/>
      <c r="K57" s="215"/>
      <c r="L57" s="215"/>
      <c r="M57" s="215"/>
      <c r="N57" s="215"/>
      <c r="O57" s="215"/>
      <c r="P57" s="216"/>
      <c r="Q57" s="217"/>
      <c r="R57" s="218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65"/>
      <c r="AJ57" s="222"/>
      <c r="AK57" s="222"/>
      <c r="BK57" s="222"/>
      <c r="BL57" s="222"/>
      <c r="BM57" s="222"/>
      <c r="BN57" s="222"/>
      <c r="BO57" s="222"/>
      <c r="BP57" s="222"/>
      <c r="BQ57" s="222"/>
      <c r="BR57" s="222"/>
      <c r="BS57" s="222"/>
    </row>
    <row r="58" ht="15.0" customHeight="1">
      <c r="A58" s="210"/>
      <c r="C58" s="212"/>
      <c r="D58" s="212"/>
      <c r="E58" s="212"/>
      <c r="F58" s="212"/>
      <c r="G58" s="212"/>
      <c r="H58" s="213"/>
      <c r="I58" s="213"/>
      <c r="J58" s="214"/>
      <c r="K58" s="215"/>
      <c r="L58" s="215"/>
      <c r="M58" s="215"/>
      <c r="N58" s="215"/>
      <c r="O58" s="215"/>
      <c r="P58" s="216"/>
      <c r="Q58" s="217"/>
      <c r="R58" s="218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65"/>
      <c r="AJ58" s="222"/>
      <c r="AK58" s="222"/>
      <c r="BK58" s="222"/>
      <c r="BL58" s="222"/>
      <c r="BM58" s="222"/>
      <c r="BN58" s="222"/>
      <c r="BO58" s="222"/>
      <c r="BP58" s="222"/>
      <c r="BQ58" s="222"/>
      <c r="BR58" s="222"/>
      <c r="BS58" s="222"/>
    </row>
    <row r="59" ht="15.0" customHeight="1">
      <c r="A59" s="210"/>
      <c r="C59" s="212"/>
      <c r="D59" s="212"/>
      <c r="E59" s="212"/>
      <c r="F59" s="212"/>
      <c r="G59" s="212"/>
      <c r="H59" s="213"/>
      <c r="I59" s="213"/>
      <c r="J59" s="214"/>
      <c r="K59" s="215"/>
      <c r="L59" s="215"/>
      <c r="M59" s="215"/>
      <c r="N59" s="215"/>
      <c r="O59" s="215"/>
      <c r="P59" s="216"/>
      <c r="Q59" s="217"/>
      <c r="R59" s="218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65"/>
      <c r="AJ59" s="222"/>
      <c r="AK59" s="222"/>
      <c r="BK59" s="222"/>
      <c r="BL59" s="222"/>
      <c r="BM59" s="222"/>
      <c r="BN59" s="222"/>
      <c r="BO59" s="222"/>
      <c r="BP59" s="222"/>
      <c r="BQ59" s="222"/>
      <c r="BR59" s="222"/>
      <c r="BS59" s="222"/>
    </row>
    <row r="60" ht="15.0" customHeight="1">
      <c r="A60" s="210"/>
      <c r="C60" s="212"/>
      <c r="D60" s="212"/>
      <c r="E60" s="212"/>
      <c r="F60" s="212"/>
      <c r="G60" s="212"/>
      <c r="H60" s="213"/>
      <c r="I60" s="213"/>
      <c r="J60" s="214"/>
      <c r="K60" s="215"/>
      <c r="L60" s="215"/>
      <c r="M60" s="215"/>
      <c r="N60" s="215"/>
      <c r="O60" s="215"/>
      <c r="P60" s="216"/>
      <c r="Q60" s="217"/>
      <c r="R60" s="218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65"/>
      <c r="AJ60" s="222"/>
      <c r="AK60" s="222"/>
      <c r="BK60" s="222"/>
      <c r="BL60" s="222"/>
      <c r="BM60" s="222"/>
      <c r="BN60" s="222"/>
      <c r="BO60" s="222"/>
      <c r="BP60" s="222"/>
      <c r="BQ60" s="222"/>
      <c r="BR60" s="222"/>
      <c r="BS60" s="222"/>
    </row>
    <row r="61" ht="15.0" customHeight="1">
      <c r="A61" s="210"/>
      <c r="C61" s="212"/>
      <c r="D61" s="212"/>
      <c r="E61" s="212"/>
      <c r="F61" s="212"/>
      <c r="G61" s="212"/>
      <c r="H61" s="213"/>
      <c r="I61" s="213"/>
      <c r="J61" s="214"/>
      <c r="K61" s="215"/>
      <c r="L61" s="215"/>
      <c r="M61" s="215"/>
      <c r="N61" s="215"/>
      <c r="O61" s="215"/>
      <c r="P61" s="216"/>
      <c r="Q61" s="217"/>
      <c r="R61" s="218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65"/>
      <c r="AJ61" s="222"/>
      <c r="AK61" s="222"/>
      <c r="BK61" s="222"/>
      <c r="BL61" s="222"/>
      <c r="BM61" s="222"/>
      <c r="BN61" s="222"/>
      <c r="BO61" s="222"/>
      <c r="BP61" s="222"/>
      <c r="BQ61" s="222"/>
      <c r="BR61" s="222"/>
      <c r="BS61" s="222"/>
    </row>
    <row r="62" ht="15.0" customHeight="1">
      <c r="A62" s="210"/>
      <c r="C62" s="212"/>
      <c r="D62" s="212"/>
      <c r="E62" s="212"/>
      <c r="F62" s="212"/>
      <c r="G62" s="212"/>
      <c r="H62" s="213"/>
      <c r="I62" s="213"/>
      <c r="J62" s="214"/>
      <c r="K62" s="215"/>
      <c r="L62" s="215"/>
      <c r="M62" s="215"/>
      <c r="N62" s="215"/>
      <c r="O62" s="215"/>
      <c r="P62" s="216"/>
      <c r="Q62" s="217"/>
      <c r="R62" s="218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65"/>
      <c r="AJ62" s="222"/>
      <c r="AK62" s="222"/>
      <c r="BK62" s="222"/>
      <c r="BL62" s="222"/>
      <c r="BM62" s="222"/>
      <c r="BN62" s="222"/>
      <c r="BO62" s="222"/>
      <c r="BP62" s="222"/>
      <c r="BQ62" s="222"/>
      <c r="BR62" s="222"/>
      <c r="BS62" s="222"/>
    </row>
    <row r="63" ht="15.0" customHeight="1">
      <c r="A63" s="210"/>
      <c r="C63" s="212"/>
      <c r="D63" s="212"/>
      <c r="E63" s="212"/>
      <c r="F63" s="212"/>
      <c r="G63" s="212"/>
      <c r="H63" s="213"/>
      <c r="I63" s="213"/>
      <c r="J63" s="214"/>
      <c r="K63" s="215"/>
      <c r="L63" s="215"/>
      <c r="M63" s="215"/>
      <c r="N63" s="215"/>
      <c r="O63" s="215"/>
      <c r="P63" s="216"/>
      <c r="Q63" s="217"/>
      <c r="R63" s="218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65"/>
      <c r="AJ63" s="222"/>
      <c r="AK63" s="222"/>
      <c r="BK63" s="222"/>
      <c r="BL63" s="222"/>
      <c r="BM63" s="222"/>
      <c r="BN63" s="222"/>
      <c r="BO63" s="222"/>
      <c r="BP63" s="222"/>
      <c r="BQ63" s="222"/>
      <c r="BR63" s="222"/>
      <c r="BS63" s="222"/>
    </row>
    <row r="64" ht="15.0" customHeight="1">
      <c r="A64" s="210"/>
      <c r="C64" s="212"/>
      <c r="D64" s="212"/>
      <c r="E64" s="212"/>
      <c r="F64" s="212"/>
      <c r="G64" s="212"/>
      <c r="H64" s="213"/>
      <c r="I64" s="213"/>
      <c r="J64" s="214"/>
      <c r="K64" s="215"/>
      <c r="L64" s="215"/>
      <c r="M64" s="215"/>
      <c r="N64" s="215"/>
      <c r="O64" s="215"/>
      <c r="P64" s="216"/>
      <c r="Q64" s="217"/>
      <c r="R64" s="218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65"/>
      <c r="AJ64" s="222"/>
      <c r="AK64" s="222"/>
      <c r="BK64" s="222"/>
      <c r="BL64" s="222"/>
      <c r="BM64" s="222"/>
      <c r="BN64" s="222"/>
      <c r="BO64" s="222"/>
      <c r="BP64" s="222"/>
      <c r="BQ64" s="222"/>
      <c r="BR64" s="222"/>
      <c r="BS64" s="222"/>
    </row>
    <row r="65" ht="15.0" customHeight="1">
      <c r="A65" s="210"/>
      <c r="C65" s="212"/>
      <c r="D65" s="212"/>
      <c r="E65" s="212"/>
      <c r="F65" s="212"/>
      <c r="G65" s="212"/>
      <c r="H65" s="213"/>
      <c r="I65" s="213"/>
      <c r="J65" s="214"/>
      <c r="K65" s="215"/>
      <c r="L65" s="215"/>
      <c r="M65" s="215"/>
      <c r="N65" s="215"/>
      <c r="O65" s="215"/>
      <c r="P65" s="216"/>
      <c r="Q65" s="217"/>
      <c r="R65" s="218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65"/>
      <c r="AJ65" s="222"/>
      <c r="AK65" s="222"/>
      <c r="BK65" s="222"/>
      <c r="BL65" s="222"/>
      <c r="BM65" s="222"/>
      <c r="BN65" s="222"/>
      <c r="BO65" s="222"/>
      <c r="BP65" s="222"/>
      <c r="BQ65" s="222"/>
      <c r="BR65" s="222"/>
      <c r="BS65" s="222"/>
    </row>
    <row r="66" ht="15.0" customHeight="1">
      <c r="A66" s="210"/>
      <c r="C66" s="212"/>
      <c r="D66" s="212"/>
      <c r="E66" s="212"/>
      <c r="F66" s="212"/>
      <c r="G66" s="212"/>
      <c r="H66" s="213"/>
      <c r="I66" s="213"/>
      <c r="J66" s="214"/>
      <c r="K66" s="215"/>
      <c r="L66" s="215"/>
      <c r="M66" s="215"/>
      <c r="N66" s="215"/>
      <c r="O66" s="215"/>
      <c r="P66" s="216"/>
      <c r="Q66" s="217"/>
      <c r="R66" s="218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65"/>
      <c r="AJ66" s="222"/>
      <c r="AK66" s="222"/>
      <c r="BK66" s="222"/>
      <c r="BL66" s="222"/>
      <c r="BM66" s="222"/>
      <c r="BN66" s="222"/>
      <c r="BO66" s="222"/>
      <c r="BP66" s="222"/>
      <c r="BQ66" s="222"/>
      <c r="BR66" s="222"/>
      <c r="BS66" s="222"/>
    </row>
    <row r="67" ht="15.0" customHeight="1">
      <c r="A67" s="210"/>
      <c r="C67" s="212"/>
      <c r="D67" s="212"/>
      <c r="E67" s="212"/>
      <c r="F67" s="212"/>
      <c r="G67" s="212"/>
      <c r="H67" s="213"/>
      <c r="I67" s="213"/>
      <c r="J67" s="214"/>
      <c r="K67" s="215"/>
      <c r="L67" s="215"/>
      <c r="M67" s="215"/>
      <c r="N67" s="215"/>
      <c r="O67" s="215"/>
      <c r="P67" s="216"/>
      <c r="Q67" s="217"/>
      <c r="R67" s="218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65"/>
      <c r="AJ67" s="222"/>
      <c r="AK67" s="222"/>
      <c r="BK67" s="222"/>
      <c r="BL67" s="222"/>
      <c r="BM67" s="222"/>
      <c r="BN67" s="222"/>
      <c r="BO67" s="222"/>
      <c r="BP67" s="222"/>
      <c r="BQ67" s="222"/>
      <c r="BR67" s="222"/>
      <c r="BS67" s="222"/>
    </row>
    <row r="68" ht="15.0" customHeight="1">
      <c r="A68" s="210"/>
      <c r="C68" s="212"/>
      <c r="D68" s="212"/>
      <c r="E68" s="212"/>
      <c r="F68" s="212"/>
      <c r="G68" s="212"/>
      <c r="H68" s="213"/>
      <c r="I68" s="213"/>
      <c r="J68" s="214"/>
      <c r="K68" s="215"/>
      <c r="L68" s="215"/>
      <c r="M68" s="215"/>
      <c r="N68" s="215"/>
      <c r="O68" s="215"/>
      <c r="P68" s="216"/>
      <c r="Q68" s="217"/>
      <c r="R68" s="218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65"/>
      <c r="AJ68" s="222"/>
      <c r="AK68" s="222"/>
      <c r="BK68" s="222"/>
      <c r="BL68" s="222"/>
      <c r="BM68" s="222"/>
      <c r="BN68" s="222"/>
      <c r="BO68" s="222"/>
      <c r="BP68" s="222"/>
      <c r="BQ68" s="222"/>
      <c r="BR68" s="222"/>
      <c r="BS68" s="222"/>
    </row>
    <row r="69" ht="15.0" customHeight="1">
      <c r="A69" s="210"/>
      <c r="C69" s="212"/>
      <c r="D69" s="212"/>
      <c r="E69" s="212"/>
      <c r="F69" s="212"/>
      <c r="G69" s="212"/>
      <c r="H69" s="213"/>
      <c r="I69" s="213"/>
      <c r="J69" s="214"/>
      <c r="K69" s="215"/>
      <c r="L69" s="215"/>
      <c r="M69" s="215"/>
      <c r="N69" s="215"/>
      <c r="O69" s="215"/>
      <c r="P69" s="216"/>
      <c r="Q69" s="217"/>
      <c r="R69" s="218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65"/>
      <c r="AJ69" s="222"/>
      <c r="AK69" s="222"/>
      <c r="BK69" s="222"/>
      <c r="BL69" s="222"/>
      <c r="BM69" s="222"/>
      <c r="BN69" s="222"/>
      <c r="BO69" s="222"/>
      <c r="BP69" s="222"/>
      <c r="BQ69" s="222"/>
      <c r="BR69" s="222"/>
      <c r="BS69" s="222"/>
    </row>
    <row r="70" ht="15.0" customHeight="1">
      <c r="A70" s="210"/>
      <c r="C70" s="212"/>
      <c r="D70" s="212"/>
      <c r="E70" s="212"/>
      <c r="F70" s="212"/>
      <c r="G70" s="212"/>
      <c r="H70" s="213"/>
      <c r="I70" s="213"/>
      <c r="J70" s="214"/>
      <c r="K70" s="215"/>
      <c r="L70" s="215"/>
      <c r="M70" s="215"/>
      <c r="N70" s="215"/>
      <c r="O70" s="215"/>
      <c r="P70" s="216"/>
      <c r="Q70" s="217"/>
      <c r="R70" s="218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65"/>
      <c r="AJ70" s="222"/>
      <c r="AK70" s="222"/>
      <c r="BK70" s="222"/>
      <c r="BL70" s="222"/>
      <c r="BM70" s="222"/>
      <c r="BN70" s="222"/>
      <c r="BO70" s="222"/>
      <c r="BP70" s="222"/>
      <c r="BQ70" s="222"/>
      <c r="BR70" s="222"/>
      <c r="BS70" s="222"/>
    </row>
    <row r="71" ht="15.0" customHeight="1">
      <c r="A71" s="210"/>
      <c r="C71" s="212"/>
      <c r="D71" s="212"/>
      <c r="E71" s="212"/>
      <c r="F71" s="212"/>
      <c r="G71" s="212"/>
      <c r="H71" s="213"/>
      <c r="I71" s="213"/>
      <c r="J71" s="214"/>
      <c r="K71" s="215"/>
      <c r="L71" s="215"/>
      <c r="M71" s="215"/>
      <c r="N71" s="215"/>
      <c r="O71" s="215"/>
      <c r="P71" s="216"/>
      <c r="Q71" s="217"/>
      <c r="R71" s="218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65"/>
      <c r="AJ71" s="222"/>
      <c r="AK71" s="222"/>
      <c r="BK71" s="222"/>
      <c r="BL71" s="222"/>
      <c r="BM71" s="222"/>
      <c r="BN71" s="222"/>
      <c r="BO71" s="222"/>
      <c r="BP71" s="222"/>
      <c r="BQ71" s="222"/>
      <c r="BR71" s="222"/>
      <c r="BS71" s="222"/>
    </row>
    <row r="72" ht="15.0" customHeight="1">
      <c r="A72" s="210"/>
      <c r="C72" s="212"/>
      <c r="D72" s="212"/>
      <c r="E72" s="212"/>
      <c r="F72" s="212"/>
      <c r="G72" s="212"/>
      <c r="H72" s="213"/>
      <c r="I72" s="213"/>
      <c r="J72" s="214"/>
      <c r="K72" s="215"/>
      <c r="L72" s="215"/>
      <c r="M72" s="215"/>
      <c r="N72" s="215"/>
      <c r="O72" s="215"/>
      <c r="P72" s="216"/>
      <c r="Q72" s="217"/>
      <c r="R72" s="218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65"/>
      <c r="AJ72" s="222"/>
      <c r="AK72" s="222"/>
      <c r="BK72" s="222"/>
      <c r="BL72" s="222"/>
      <c r="BM72" s="222"/>
      <c r="BN72" s="222"/>
      <c r="BO72" s="222"/>
      <c r="BP72" s="222"/>
      <c r="BQ72" s="222"/>
      <c r="BR72" s="222"/>
      <c r="BS72" s="222"/>
    </row>
    <row r="73" ht="15.0" customHeight="1">
      <c r="A73" s="210"/>
      <c r="C73" s="212"/>
      <c r="D73" s="212"/>
      <c r="E73" s="212"/>
      <c r="F73" s="212"/>
      <c r="G73" s="212"/>
      <c r="H73" s="213"/>
      <c r="I73" s="213"/>
      <c r="J73" s="214"/>
      <c r="K73" s="215"/>
      <c r="L73" s="215"/>
      <c r="M73" s="215"/>
      <c r="N73" s="215"/>
      <c r="O73" s="215"/>
      <c r="P73" s="216"/>
      <c r="Q73" s="217"/>
      <c r="R73" s="218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65"/>
      <c r="AJ73" s="222"/>
      <c r="AK73" s="222"/>
      <c r="BK73" s="222"/>
      <c r="BL73" s="222"/>
      <c r="BM73" s="222"/>
      <c r="BN73" s="222"/>
      <c r="BO73" s="222"/>
      <c r="BP73" s="222"/>
      <c r="BQ73" s="222"/>
      <c r="BR73" s="222"/>
      <c r="BS73" s="222"/>
    </row>
    <row r="74" ht="15.0" customHeight="1">
      <c r="A74" s="210"/>
      <c r="C74" s="212"/>
      <c r="D74" s="212"/>
      <c r="E74" s="212"/>
      <c r="F74" s="212"/>
      <c r="G74" s="212"/>
      <c r="H74" s="213"/>
      <c r="I74" s="213"/>
      <c r="J74" s="214"/>
      <c r="K74" s="215"/>
      <c r="L74" s="215"/>
      <c r="M74" s="215"/>
      <c r="N74" s="215"/>
      <c r="O74" s="215"/>
      <c r="P74" s="216"/>
      <c r="Q74" s="217"/>
      <c r="R74" s="218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65"/>
      <c r="AJ74" s="222"/>
      <c r="AK74" s="222"/>
      <c r="BK74" s="222"/>
      <c r="BL74" s="222"/>
      <c r="BM74" s="222"/>
      <c r="BN74" s="222"/>
      <c r="BO74" s="222"/>
      <c r="BP74" s="222"/>
      <c r="BQ74" s="222"/>
      <c r="BR74" s="222"/>
      <c r="BS74" s="222"/>
    </row>
    <row r="75" ht="15.0" customHeight="1">
      <c r="A75" s="210"/>
      <c r="C75" s="212"/>
      <c r="D75" s="212"/>
      <c r="E75" s="212"/>
      <c r="F75" s="212"/>
      <c r="G75" s="212"/>
      <c r="H75" s="213"/>
      <c r="I75" s="213"/>
      <c r="J75" s="214"/>
      <c r="K75" s="215"/>
      <c r="L75" s="215"/>
      <c r="M75" s="215"/>
      <c r="N75" s="215"/>
      <c r="O75" s="215"/>
      <c r="P75" s="216"/>
      <c r="Q75" s="217"/>
      <c r="R75" s="218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65"/>
      <c r="AJ75" s="222"/>
      <c r="AK75" s="222"/>
      <c r="BK75" s="222"/>
      <c r="BL75" s="222"/>
      <c r="BM75" s="222"/>
      <c r="BN75" s="222"/>
      <c r="BO75" s="222"/>
      <c r="BP75" s="222"/>
      <c r="BQ75" s="222"/>
      <c r="BR75" s="222"/>
      <c r="BS75" s="222"/>
    </row>
    <row r="76" ht="15.0" customHeight="1">
      <c r="A76" s="210"/>
      <c r="C76" s="212"/>
      <c r="D76" s="212"/>
      <c r="E76" s="212"/>
      <c r="F76" s="212"/>
      <c r="G76" s="212"/>
      <c r="H76" s="213"/>
      <c r="I76" s="213"/>
      <c r="J76" s="214"/>
      <c r="K76" s="215"/>
      <c r="L76" s="215"/>
      <c r="M76" s="215"/>
      <c r="N76" s="215"/>
      <c r="O76" s="215"/>
      <c r="P76" s="216"/>
      <c r="Q76" s="217"/>
      <c r="R76" s="218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65"/>
      <c r="AJ76" s="222"/>
      <c r="AK76" s="222"/>
      <c r="BK76" s="222"/>
      <c r="BL76" s="222"/>
      <c r="BM76" s="222"/>
      <c r="BN76" s="222"/>
      <c r="BO76" s="222"/>
      <c r="BP76" s="222"/>
      <c r="BQ76" s="222"/>
      <c r="BR76" s="222"/>
      <c r="BS76" s="222"/>
    </row>
    <row r="77" ht="15.0" customHeight="1">
      <c r="A77" s="210"/>
      <c r="C77" s="212"/>
      <c r="D77" s="212"/>
      <c r="E77" s="212"/>
      <c r="F77" s="212"/>
      <c r="G77" s="212"/>
      <c r="H77" s="213"/>
      <c r="I77" s="213"/>
      <c r="J77" s="214"/>
      <c r="K77" s="215"/>
      <c r="L77" s="215"/>
      <c r="M77" s="215"/>
      <c r="N77" s="215"/>
      <c r="O77" s="215"/>
      <c r="P77" s="216"/>
      <c r="Q77" s="217"/>
      <c r="R77" s="218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65"/>
      <c r="AJ77" s="222"/>
      <c r="AK77" s="222"/>
      <c r="BK77" s="222"/>
      <c r="BL77" s="222"/>
      <c r="BM77" s="222"/>
      <c r="BN77" s="222"/>
      <c r="BO77" s="222"/>
      <c r="BP77" s="222"/>
      <c r="BQ77" s="222"/>
      <c r="BR77" s="222"/>
      <c r="BS77" s="222"/>
    </row>
    <row r="78" ht="15.0" customHeight="1">
      <c r="A78" s="210"/>
      <c r="C78" s="212"/>
      <c r="D78" s="212"/>
      <c r="E78" s="212"/>
      <c r="F78" s="212"/>
      <c r="G78" s="212"/>
      <c r="H78" s="213"/>
      <c r="I78" s="213"/>
      <c r="J78" s="214"/>
      <c r="K78" s="215"/>
      <c r="L78" s="215"/>
      <c r="M78" s="215"/>
      <c r="N78" s="215"/>
      <c r="O78" s="215"/>
      <c r="P78" s="216"/>
      <c r="Q78" s="217"/>
      <c r="R78" s="218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65"/>
      <c r="AJ78" s="222"/>
      <c r="AK78" s="222"/>
      <c r="BK78" s="222"/>
      <c r="BL78" s="222"/>
      <c r="BM78" s="222"/>
      <c r="BN78" s="222"/>
      <c r="BO78" s="222"/>
      <c r="BP78" s="222"/>
      <c r="BQ78" s="222"/>
      <c r="BR78" s="222"/>
      <c r="BS78" s="222"/>
    </row>
    <row r="79" ht="15.0" customHeight="1">
      <c r="A79" s="210"/>
      <c r="C79" s="212"/>
      <c r="D79" s="212"/>
      <c r="E79" s="212"/>
      <c r="F79" s="212"/>
      <c r="G79" s="212"/>
      <c r="H79" s="213"/>
      <c r="I79" s="213"/>
      <c r="J79" s="214"/>
      <c r="K79" s="215"/>
      <c r="L79" s="215"/>
      <c r="M79" s="215"/>
      <c r="N79" s="215"/>
      <c r="O79" s="215"/>
      <c r="P79" s="216"/>
      <c r="Q79" s="217"/>
      <c r="R79" s="218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65"/>
      <c r="AJ79" s="222"/>
      <c r="AK79" s="222"/>
      <c r="BK79" s="222"/>
      <c r="BL79" s="222"/>
      <c r="BM79" s="222"/>
      <c r="BN79" s="222"/>
      <c r="BO79" s="222"/>
      <c r="BP79" s="222"/>
      <c r="BQ79" s="222"/>
      <c r="BR79" s="222"/>
      <c r="BS79" s="222"/>
    </row>
    <row r="80" ht="15.0" customHeight="1">
      <c r="A80" s="210"/>
      <c r="C80" s="212"/>
      <c r="D80" s="212"/>
      <c r="E80" s="212"/>
      <c r="F80" s="212"/>
      <c r="G80" s="212"/>
      <c r="H80" s="213"/>
      <c r="I80" s="213"/>
      <c r="J80" s="214"/>
      <c r="K80" s="215"/>
      <c r="L80" s="215"/>
      <c r="M80" s="215"/>
      <c r="N80" s="215"/>
      <c r="O80" s="215"/>
      <c r="P80" s="216"/>
      <c r="Q80" s="217"/>
      <c r="R80" s="218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65"/>
      <c r="AJ80" s="222"/>
      <c r="AK80" s="222"/>
      <c r="BK80" s="222"/>
      <c r="BL80" s="222"/>
      <c r="BM80" s="222"/>
      <c r="BN80" s="222"/>
      <c r="BO80" s="222"/>
      <c r="BP80" s="222"/>
      <c r="BQ80" s="222"/>
      <c r="BR80" s="222"/>
      <c r="BS80" s="222"/>
    </row>
    <row r="81" ht="15.0" customHeight="1">
      <c r="A81" s="210"/>
      <c r="C81" s="212"/>
      <c r="D81" s="212"/>
      <c r="E81" s="212"/>
      <c r="F81" s="212"/>
      <c r="G81" s="212"/>
      <c r="H81" s="213"/>
      <c r="I81" s="213"/>
      <c r="J81" s="214"/>
      <c r="K81" s="215"/>
      <c r="L81" s="215"/>
      <c r="M81" s="215"/>
      <c r="N81" s="215"/>
      <c r="O81" s="215"/>
      <c r="P81" s="216"/>
      <c r="Q81" s="217"/>
      <c r="R81" s="218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65"/>
      <c r="AJ81" s="222"/>
      <c r="AK81" s="222"/>
      <c r="BK81" s="222"/>
      <c r="BL81" s="222"/>
      <c r="BM81" s="222"/>
      <c r="BN81" s="222"/>
      <c r="BO81" s="222"/>
      <c r="BP81" s="222"/>
      <c r="BQ81" s="222"/>
      <c r="BR81" s="222"/>
      <c r="BS81" s="222"/>
    </row>
    <row r="82" ht="15.0" customHeight="1">
      <c r="A82" s="210"/>
      <c r="C82" s="212"/>
      <c r="D82" s="212"/>
      <c r="E82" s="212"/>
      <c r="F82" s="212"/>
      <c r="G82" s="212"/>
      <c r="H82" s="213"/>
      <c r="I82" s="213"/>
      <c r="J82" s="214"/>
      <c r="K82" s="215"/>
      <c r="L82" s="215"/>
      <c r="M82" s="215"/>
      <c r="N82" s="215"/>
      <c r="O82" s="215"/>
      <c r="P82" s="216"/>
      <c r="Q82" s="217"/>
      <c r="R82" s="218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65"/>
      <c r="AJ82" s="222"/>
      <c r="AK82" s="222"/>
      <c r="BK82" s="222"/>
      <c r="BL82" s="222"/>
      <c r="BM82" s="222"/>
      <c r="BN82" s="222"/>
      <c r="BO82" s="222"/>
      <c r="BP82" s="222"/>
      <c r="BQ82" s="222"/>
      <c r="BR82" s="222"/>
      <c r="BS82" s="222"/>
    </row>
    <row r="83" ht="15.0" customHeight="1">
      <c r="A83" s="210"/>
      <c r="C83" s="212"/>
      <c r="D83" s="212"/>
      <c r="E83" s="212"/>
      <c r="F83" s="212"/>
      <c r="G83" s="212"/>
      <c r="H83" s="213"/>
      <c r="I83" s="213"/>
      <c r="J83" s="214"/>
      <c r="K83" s="215"/>
      <c r="L83" s="215"/>
      <c r="M83" s="215"/>
      <c r="N83" s="215"/>
      <c r="O83" s="215"/>
      <c r="P83" s="216"/>
      <c r="Q83" s="217"/>
      <c r="R83" s="218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65"/>
      <c r="AJ83" s="222"/>
      <c r="AK83" s="222"/>
      <c r="BK83" s="222"/>
      <c r="BL83" s="222"/>
      <c r="BM83" s="222"/>
      <c r="BN83" s="222"/>
      <c r="BO83" s="222"/>
      <c r="BP83" s="222"/>
      <c r="BQ83" s="222"/>
      <c r="BR83" s="222"/>
      <c r="BS83" s="222"/>
    </row>
    <row r="84" ht="15.0" customHeight="1">
      <c r="A84" s="210"/>
      <c r="C84" s="212"/>
      <c r="D84" s="212"/>
      <c r="E84" s="212"/>
      <c r="F84" s="212"/>
      <c r="G84" s="212"/>
      <c r="H84" s="213"/>
      <c r="I84" s="213"/>
      <c r="J84" s="214"/>
      <c r="K84" s="215"/>
      <c r="L84" s="215"/>
      <c r="M84" s="215"/>
      <c r="N84" s="215"/>
      <c r="O84" s="215"/>
      <c r="P84" s="216"/>
      <c r="Q84" s="217"/>
      <c r="R84" s="218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65"/>
      <c r="AJ84" s="222"/>
      <c r="AK84" s="222"/>
      <c r="BK84" s="222"/>
      <c r="BL84" s="222"/>
      <c r="BM84" s="222"/>
      <c r="BN84" s="222"/>
      <c r="BO84" s="222"/>
      <c r="BP84" s="222"/>
      <c r="BQ84" s="222"/>
      <c r="BR84" s="222"/>
      <c r="BS84" s="222"/>
    </row>
    <row r="85" ht="15.0" customHeight="1">
      <c r="A85" s="210"/>
      <c r="C85" s="212"/>
      <c r="D85" s="212"/>
      <c r="E85" s="212"/>
      <c r="F85" s="212"/>
      <c r="G85" s="212"/>
      <c r="H85" s="213"/>
      <c r="I85" s="213"/>
      <c r="J85" s="214"/>
      <c r="K85" s="215"/>
      <c r="L85" s="215"/>
      <c r="M85" s="215"/>
      <c r="N85" s="215"/>
      <c r="O85" s="215"/>
      <c r="P85" s="216"/>
      <c r="Q85" s="217"/>
      <c r="R85" s="218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65"/>
      <c r="AJ85" s="222"/>
      <c r="AK85" s="222"/>
      <c r="BK85" s="222"/>
      <c r="BL85" s="222"/>
      <c r="BM85" s="222"/>
      <c r="BN85" s="222"/>
      <c r="BO85" s="222"/>
      <c r="BP85" s="222"/>
      <c r="BQ85" s="222"/>
      <c r="BR85" s="222"/>
      <c r="BS85" s="222"/>
    </row>
    <row r="86" ht="15.0" customHeight="1">
      <c r="A86" s="210"/>
      <c r="C86" s="212"/>
      <c r="D86" s="212"/>
      <c r="E86" s="212"/>
      <c r="F86" s="212"/>
      <c r="G86" s="212"/>
      <c r="H86" s="213"/>
      <c r="I86" s="213"/>
      <c r="J86" s="214"/>
      <c r="K86" s="215"/>
      <c r="L86" s="215"/>
      <c r="M86" s="215"/>
      <c r="N86" s="215"/>
      <c r="O86" s="215"/>
      <c r="P86" s="216"/>
      <c r="Q86" s="217"/>
      <c r="R86" s="218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65"/>
      <c r="AJ86" s="222"/>
      <c r="AK86" s="222"/>
      <c r="BK86" s="222"/>
      <c r="BL86" s="222"/>
      <c r="BM86" s="222"/>
      <c r="BN86" s="222"/>
      <c r="BO86" s="222"/>
      <c r="BP86" s="222"/>
      <c r="BQ86" s="222"/>
      <c r="BR86" s="222"/>
      <c r="BS86" s="222"/>
    </row>
    <row r="87" ht="15.0" customHeight="1">
      <c r="A87" s="210"/>
      <c r="C87" s="212"/>
      <c r="D87" s="212"/>
      <c r="E87" s="212"/>
      <c r="F87" s="212"/>
      <c r="G87" s="212"/>
      <c r="H87" s="213"/>
      <c r="I87" s="213"/>
      <c r="J87" s="214"/>
      <c r="K87" s="215"/>
      <c r="L87" s="215"/>
      <c r="M87" s="215"/>
      <c r="N87" s="215"/>
      <c r="O87" s="215"/>
      <c r="P87" s="216"/>
      <c r="Q87" s="217"/>
      <c r="R87" s="218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65"/>
      <c r="AJ87" s="222"/>
      <c r="AK87" s="222"/>
      <c r="BK87" s="222"/>
      <c r="BL87" s="222"/>
      <c r="BM87" s="222"/>
      <c r="BN87" s="222"/>
      <c r="BO87" s="222"/>
      <c r="BP87" s="222"/>
      <c r="BQ87" s="222"/>
      <c r="BR87" s="222"/>
      <c r="BS87" s="222"/>
    </row>
    <row r="88" ht="15.0" customHeight="1">
      <c r="A88" s="210"/>
      <c r="C88" s="212"/>
      <c r="D88" s="212"/>
      <c r="E88" s="212"/>
      <c r="F88" s="212"/>
      <c r="G88" s="212"/>
      <c r="H88" s="213"/>
      <c r="I88" s="213"/>
      <c r="J88" s="214"/>
      <c r="K88" s="215"/>
      <c r="L88" s="215"/>
      <c r="M88" s="215"/>
      <c r="N88" s="215"/>
      <c r="O88" s="215"/>
      <c r="P88" s="216"/>
      <c r="Q88" s="217"/>
      <c r="R88" s="218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65"/>
      <c r="AJ88" s="222"/>
      <c r="AK88" s="222"/>
      <c r="BK88" s="222"/>
      <c r="BL88" s="222"/>
      <c r="BM88" s="222"/>
      <c r="BN88" s="222"/>
      <c r="BO88" s="222"/>
      <c r="BP88" s="222"/>
      <c r="BQ88" s="222"/>
      <c r="BR88" s="222"/>
      <c r="BS88" s="222"/>
    </row>
    <row r="89" ht="15.0" customHeight="1">
      <c r="A89" s="210"/>
      <c r="C89" s="212"/>
      <c r="D89" s="212"/>
      <c r="E89" s="212"/>
      <c r="F89" s="212"/>
      <c r="G89" s="212"/>
      <c r="H89" s="213"/>
      <c r="I89" s="213"/>
      <c r="J89" s="214"/>
      <c r="K89" s="215"/>
      <c r="L89" s="215"/>
      <c r="M89" s="215"/>
      <c r="N89" s="215"/>
      <c r="O89" s="215"/>
      <c r="P89" s="216"/>
      <c r="Q89" s="217"/>
      <c r="R89" s="218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65"/>
      <c r="AJ89" s="222"/>
      <c r="AK89" s="222"/>
      <c r="BK89" s="222"/>
      <c r="BL89" s="222"/>
      <c r="BM89" s="222"/>
      <c r="BN89" s="222"/>
      <c r="BO89" s="222"/>
      <c r="BP89" s="222"/>
      <c r="BQ89" s="222"/>
      <c r="BR89" s="222"/>
      <c r="BS89" s="222"/>
    </row>
    <row r="90" ht="15.0" customHeight="1">
      <c r="A90" s="210"/>
      <c r="C90" s="212"/>
      <c r="D90" s="212"/>
      <c r="E90" s="212"/>
      <c r="F90" s="212"/>
      <c r="G90" s="212"/>
      <c r="H90" s="213"/>
      <c r="I90" s="213"/>
      <c r="J90" s="214"/>
      <c r="K90" s="215"/>
      <c r="L90" s="215"/>
      <c r="M90" s="215"/>
      <c r="N90" s="215"/>
      <c r="O90" s="215"/>
      <c r="P90" s="216"/>
      <c r="Q90" s="217"/>
      <c r="R90" s="218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65"/>
      <c r="AJ90" s="222"/>
      <c r="AK90" s="222"/>
      <c r="BK90" s="222"/>
      <c r="BL90" s="222"/>
      <c r="BM90" s="222"/>
      <c r="BN90" s="222"/>
      <c r="BO90" s="222"/>
      <c r="BP90" s="222"/>
      <c r="BQ90" s="222"/>
      <c r="BR90" s="222"/>
      <c r="BS90" s="222"/>
    </row>
    <row r="91" ht="15.0" customHeight="1">
      <c r="A91" s="210"/>
      <c r="C91" s="212"/>
      <c r="D91" s="212"/>
      <c r="E91" s="212"/>
      <c r="F91" s="212"/>
      <c r="G91" s="212"/>
      <c r="H91" s="213"/>
      <c r="I91" s="213"/>
      <c r="J91" s="214"/>
      <c r="K91" s="215"/>
      <c r="L91" s="215"/>
      <c r="M91" s="215"/>
      <c r="N91" s="215"/>
      <c r="O91" s="215"/>
      <c r="P91" s="216"/>
      <c r="Q91" s="217"/>
      <c r="R91" s="218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65"/>
      <c r="AJ91" s="222"/>
      <c r="AK91" s="222"/>
      <c r="BK91" s="222"/>
      <c r="BL91" s="222"/>
      <c r="BM91" s="222"/>
      <c r="BN91" s="222"/>
      <c r="BO91" s="222"/>
      <c r="BP91" s="222"/>
      <c r="BQ91" s="222"/>
      <c r="BR91" s="222"/>
      <c r="BS91" s="222"/>
    </row>
    <row r="92" ht="15.0" customHeight="1">
      <c r="A92" s="210"/>
      <c r="C92" s="212"/>
      <c r="D92" s="212"/>
      <c r="E92" s="212"/>
      <c r="F92" s="212"/>
      <c r="G92" s="212"/>
      <c r="H92" s="213"/>
      <c r="I92" s="213"/>
      <c r="J92" s="214"/>
      <c r="K92" s="215"/>
      <c r="L92" s="215"/>
      <c r="M92" s="215"/>
      <c r="N92" s="215"/>
      <c r="O92" s="215"/>
      <c r="P92" s="216"/>
      <c r="Q92" s="217"/>
      <c r="R92" s="218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65"/>
      <c r="AJ92" s="222"/>
      <c r="AK92" s="222"/>
      <c r="BK92" s="222"/>
      <c r="BL92" s="222"/>
      <c r="BM92" s="222"/>
      <c r="BN92" s="222"/>
      <c r="BO92" s="222"/>
      <c r="BP92" s="222"/>
      <c r="BQ92" s="222"/>
      <c r="BR92" s="222"/>
      <c r="BS92" s="222"/>
    </row>
    <row r="93" ht="15.0" customHeight="1">
      <c r="A93" s="210"/>
      <c r="C93" s="212"/>
      <c r="D93" s="212"/>
      <c r="E93" s="212"/>
      <c r="F93" s="212"/>
      <c r="G93" s="212"/>
      <c r="H93" s="213"/>
      <c r="I93" s="213"/>
      <c r="J93" s="214"/>
      <c r="K93" s="215"/>
      <c r="L93" s="215"/>
      <c r="M93" s="215"/>
      <c r="N93" s="215"/>
      <c r="O93" s="215"/>
      <c r="P93" s="216"/>
      <c r="Q93" s="217"/>
      <c r="R93" s="218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65"/>
      <c r="AJ93" s="222"/>
      <c r="AK93" s="222"/>
      <c r="BK93" s="222"/>
      <c r="BL93" s="222"/>
      <c r="BM93" s="222"/>
      <c r="BN93" s="222"/>
      <c r="BO93" s="222"/>
      <c r="BP93" s="222"/>
      <c r="BQ93" s="222"/>
      <c r="BR93" s="222"/>
      <c r="BS93" s="222"/>
    </row>
    <row r="94" ht="15.0" customHeight="1">
      <c r="A94" s="210"/>
      <c r="C94" s="212"/>
      <c r="D94" s="212"/>
      <c r="E94" s="212"/>
      <c r="F94" s="212"/>
      <c r="G94" s="212"/>
      <c r="H94" s="213"/>
      <c r="I94" s="213"/>
      <c r="J94" s="214"/>
      <c r="K94" s="215"/>
      <c r="L94" s="215"/>
      <c r="M94" s="215"/>
      <c r="N94" s="215"/>
      <c r="O94" s="215"/>
      <c r="P94" s="216"/>
      <c r="Q94" s="217"/>
      <c r="R94" s="218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65"/>
      <c r="AJ94" s="222"/>
      <c r="AK94" s="222"/>
      <c r="BK94" s="222"/>
      <c r="BL94" s="222"/>
      <c r="BM94" s="222"/>
      <c r="BN94" s="222"/>
      <c r="BO94" s="222"/>
      <c r="BP94" s="222"/>
      <c r="BQ94" s="222"/>
      <c r="BR94" s="222"/>
      <c r="BS94" s="222"/>
    </row>
    <row r="95" ht="15.0" customHeight="1">
      <c r="A95" s="210"/>
      <c r="C95" s="212"/>
      <c r="D95" s="212"/>
      <c r="E95" s="212"/>
      <c r="F95" s="212"/>
      <c r="G95" s="212"/>
      <c r="H95" s="213"/>
      <c r="I95" s="213"/>
      <c r="J95" s="214"/>
      <c r="K95" s="215"/>
      <c r="L95" s="215"/>
      <c r="M95" s="215"/>
      <c r="N95" s="215"/>
      <c r="O95" s="215"/>
      <c r="P95" s="216"/>
      <c r="Q95" s="217"/>
      <c r="R95" s="218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65"/>
      <c r="AJ95" s="222"/>
      <c r="AK95" s="222"/>
      <c r="BK95" s="222"/>
      <c r="BL95" s="222"/>
      <c r="BM95" s="222"/>
      <c r="BN95" s="222"/>
      <c r="BO95" s="222"/>
      <c r="BP95" s="222"/>
      <c r="BQ95" s="222"/>
      <c r="BR95" s="222"/>
      <c r="BS95" s="222"/>
    </row>
    <row r="96" ht="15.0" customHeight="1">
      <c r="A96" s="210"/>
      <c r="C96" s="212"/>
      <c r="D96" s="212"/>
      <c r="E96" s="212"/>
      <c r="F96" s="212"/>
      <c r="G96" s="212"/>
      <c r="H96" s="213"/>
      <c r="I96" s="213"/>
      <c r="J96" s="214"/>
      <c r="K96" s="215"/>
      <c r="L96" s="215"/>
      <c r="M96" s="215"/>
      <c r="N96" s="215"/>
      <c r="O96" s="215"/>
      <c r="P96" s="216"/>
      <c r="Q96" s="217"/>
      <c r="R96" s="218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65"/>
      <c r="AJ96" s="222"/>
      <c r="AK96" s="222"/>
      <c r="BK96" s="222"/>
      <c r="BL96" s="222"/>
      <c r="BM96" s="222"/>
      <c r="BN96" s="222"/>
      <c r="BO96" s="222"/>
      <c r="BP96" s="222"/>
      <c r="BQ96" s="222"/>
      <c r="BR96" s="222"/>
      <c r="BS96" s="222"/>
    </row>
    <row r="97" ht="15.0" customHeight="1">
      <c r="A97" s="210"/>
      <c r="C97" s="212"/>
      <c r="D97" s="212"/>
      <c r="E97" s="212"/>
      <c r="F97" s="212"/>
      <c r="G97" s="212"/>
      <c r="H97" s="213"/>
      <c r="I97" s="213"/>
      <c r="J97" s="214"/>
      <c r="K97" s="215"/>
      <c r="L97" s="215"/>
      <c r="M97" s="215"/>
      <c r="N97" s="215"/>
      <c r="O97" s="215"/>
      <c r="P97" s="216"/>
      <c r="Q97" s="217"/>
      <c r="R97" s="218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65"/>
      <c r="AJ97" s="222"/>
      <c r="AK97" s="222"/>
      <c r="BK97" s="222"/>
      <c r="BL97" s="222"/>
      <c r="BM97" s="222"/>
      <c r="BN97" s="222"/>
      <c r="BO97" s="222"/>
      <c r="BP97" s="222"/>
      <c r="BQ97" s="222"/>
      <c r="BR97" s="222"/>
      <c r="BS97" s="222"/>
    </row>
    <row r="98" ht="15.0" customHeight="1">
      <c r="A98" s="210"/>
      <c r="C98" s="212"/>
      <c r="D98" s="212"/>
      <c r="E98" s="212"/>
      <c r="F98" s="212"/>
      <c r="G98" s="212"/>
      <c r="H98" s="213"/>
      <c r="I98" s="213"/>
      <c r="J98" s="214"/>
      <c r="K98" s="215"/>
      <c r="L98" s="215"/>
      <c r="M98" s="215"/>
      <c r="N98" s="215"/>
      <c r="O98" s="215"/>
      <c r="P98" s="216"/>
      <c r="Q98" s="217"/>
      <c r="R98" s="218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65"/>
      <c r="AJ98" s="222"/>
      <c r="AK98" s="222"/>
      <c r="BK98" s="222"/>
      <c r="BL98" s="222"/>
      <c r="BM98" s="222"/>
      <c r="BN98" s="222"/>
      <c r="BO98" s="222"/>
      <c r="BP98" s="222"/>
      <c r="BQ98" s="222"/>
      <c r="BR98" s="222"/>
      <c r="BS98" s="222"/>
    </row>
    <row r="99" ht="15.0" customHeight="1">
      <c r="A99" s="210"/>
      <c r="C99" s="212"/>
      <c r="D99" s="212"/>
      <c r="E99" s="212"/>
      <c r="F99" s="212"/>
      <c r="G99" s="212"/>
      <c r="H99" s="213"/>
      <c r="I99" s="213"/>
      <c r="J99" s="214"/>
      <c r="K99" s="215"/>
      <c r="L99" s="215"/>
      <c r="M99" s="215"/>
      <c r="N99" s="215"/>
      <c r="O99" s="215"/>
      <c r="P99" s="216"/>
      <c r="Q99" s="217"/>
      <c r="R99" s="218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65"/>
      <c r="AJ99" s="222"/>
      <c r="AK99" s="222"/>
      <c r="BK99" s="222"/>
      <c r="BL99" s="222"/>
      <c r="BM99" s="222"/>
      <c r="BN99" s="222"/>
      <c r="BO99" s="222"/>
      <c r="BP99" s="222"/>
      <c r="BQ99" s="222"/>
      <c r="BR99" s="222"/>
      <c r="BS99" s="222"/>
    </row>
    <row r="100" ht="15.0" customHeight="1">
      <c r="A100" s="210"/>
      <c r="C100" s="212"/>
      <c r="D100" s="212"/>
      <c r="E100" s="212"/>
      <c r="F100" s="212"/>
      <c r="G100" s="212"/>
      <c r="H100" s="213"/>
      <c r="I100" s="213"/>
      <c r="J100" s="214"/>
      <c r="K100" s="215"/>
      <c r="L100" s="215"/>
      <c r="M100" s="215"/>
      <c r="N100" s="215"/>
      <c r="O100" s="215"/>
      <c r="P100" s="216"/>
      <c r="Q100" s="217"/>
      <c r="R100" s="218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65"/>
      <c r="AJ100" s="222"/>
      <c r="AK100" s="222"/>
      <c r="BK100" s="222"/>
      <c r="BL100" s="222"/>
      <c r="BM100" s="222"/>
      <c r="BN100" s="222"/>
      <c r="BO100" s="222"/>
      <c r="BP100" s="222"/>
      <c r="BQ100" s="222"/>
      <c r="BR100" s="222"/>
      <c r="BS100" s="222"/>
    </row>
    <row r="101" ht="15.0" customHeight="1">
      <c r="A101" s="210"/>
      <c r="C101" s="212"/>
      <c r="D101" s="212"/>
      <c r="E101" s="212"/>
      <c r="F101" s="212"/>
      <c r="G101" s="212"/>
      <c r="H101" s="213"/>
      <c r="I101" s="213"/>
      <c r="J101" s="214"/>
      <c r="K101" s="215"/>
      <c r="L101" s="215"/>
      <c r="M101" s="215"/>
      <c r="N101" s="215"/>
      <c r="O101" s="215"/>
      <c r="P101" s="216"/>
      <c r="Q101" s="217"/>
      <c r="R101" s="218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65"/>
      <c r="AJ101" s="222"/>
      <c r="AK101" s="222"/>
      <c r="BK101" s="222"/>
      <c r="BL101" s="222"/>
      <c r="BM101" s="222"/>
      <c r="BN101" s="222"/>
      <c r="BO101" s="222"/>
      <c r="BP101" s="222"/>
      <c r="BQ101" s="222"/>
      <c r="BR101" s="222"/>
      <c r="BS101" s="222"/>
    </row>
    <row r="102" ht="15.0" customHeight="1">
      <c r="A102" s="210"/>
      <c r="C102" s="212"/>
      <c r="D102" s="212"/>
      <c r="E102" s="212"/>
      <c r="F102" s="212"/>
      <c r="G102" s="212"/>
      <c r="H102" s="213"/>
      <c r="I102" s="213"/>
      <c r="J102" s="214"/>
      <c r="K102" s="215"/>
      <c r="L102" s="215"/>
      <c r="M102" s="215"/>
      <c r="N102" s="215"/>
      <c r="O102" s="215"/>
      <c r="P102" s="216"/>
      <c r="Q102" s="217"/>
      <c r="R102" s="218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65"/>
      <c r="AJ102" s="222"/>
      <c r="AK102" s="222"/>
      <c r="BK102" s="222"/>
      <c r="BL102" s="222"/>
      <c r="BM102" s="222"/>
      <c r="BN102" s="222"/>
      <c r="BO102" s="222"/>
      <c r="BP102" s="222"/>
      <c r="BQ102" s="222"/>
      <c r="BR102" s="222"/>
      <c r="BS102" s="222"/>
    </row>
    <row r="103" ht="15.0" customHeight="1">
      <c r="A103" s="210"/>
      <c r="C103" s="212"/>
      <c r="D103" s="212"/>
      <c r="E103" s="212"/>
      <c r="F103" s="212"/>
      <c r="G103" s="212"/>
      <c r="H103" s="213"/>
      <c r="I103" s="213"/>
      <c r="J103" s="214"/>
      <c r="K103" s="215"/>
      <c r="L103" s="215"/>
      <c r="M103" s="215"/>
      <c r="N103" s="215"/>
      <c r="O103" s="215"/>
      <c r="P103" s="216"/>
      <c r="Q103" s="217"/>
      <c r="R103" s="218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65"/>
      <c r="AJ103" s="222"/>
      <c r="AK103" s="222"/>
      <c r="BK103" s="222"/>
      <c r="BL103" s="222"/>
      <c r="BM103" s="222"/>
      <c r="BN103" s="222"/>
      <c r="BO103" s="222"/>
      <c r="BP103" s="222"/>
      <c r="BQ103" s="222"/>
      <c r="BR103" s="222"/>
      <c r="BS103" s="222"/>
    </row>
    <row r="104" ht="15.0" customHeight="1">
      <c r="A104" s="210"/>
      <c r="C104" s="212"/>
      <c r="D104" s="212"/>
      <c r="E104" s="212"/>
      <c r="F104" s="212"/>
      <c r="G104" s="212"/>
      <c r="H104" s="213"/>
      <c r="I104" s="213"/>
      <c r="J104" s="214"/>
      <c r="K104" s="215"/>
      <c r="L104" s="215"/>
      <c r="M104" s="215"/>
      <c r="N104" s="215"/>
      <c r="O104" s="215"/>
      <c r="P104" s="216"/>
      <c r="Q104" s="217"/>
      <c r="R104" s="218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65"/>
      <c r="AJ104" s="222"/>
      <c r="AK104" s="222"/>
      <c r="BK104" s="222"/>
      <c r="BL104" s="222"/>
      <c r="BM104" s="222"/>
      <c r="BN104" s="222"/>
      <c r="BO104" s="222"/>
      <c r="BP104" s="222"/>
      <c r="BQ104" s="222"/>
      <c r="BR104" s="222"/>
      <c r="BS104" s="222"/>
    </row>
    <row r="105" ht="15.0" customHeight="1">
      <c r="A105" s="210"/>
      <c r="C105" s="212"/>
      <c r="D105" s="212"/>
      <c r="E105" s="212"/>
      <c r="F105" s="212"/>
      <c r="G105" s="212"/>
      <c r="H105" s="213"/>
      <c r="I105" s="213"/>
      <c r="J105" s="214"/>
      <c r="K105" s="215"/>
      <c r="L105" s="215"/>
      <c r="M105" s="215"/>
      <c r="N105" s="215"/>
      <c r="O105" s="215"/>
      <c r="P105" s="216"/>
      <c r="Q105" s="217"/>
      <c r="R105" s="218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65"/>
      <c r="AJ105" s="222"/>
      <c r="AK105" s="222"/>
      <c r="BK105" s="222"/>
      <c r="BL105" s="222"/>
      <c r="BM105" s="222"/>
      <c r="BN105" s="222"/>
      <c r="BO105" s="222"/>
      <c r="BP105" s="222"/>
      <c r="BQ105" s="222"/>
      <c r="BR105" s="222"/>
      <c r="BS105" s="222"/>
    </row>
    <row r="106" ht="15.0" customHeight="1">
      <c r="A106" s="210"/>
      <c r="C106" s="212"/>
      <c r="D106" s="212"/>
      <c r="E106" s="212"/>
      <c r="F106" s="212"/>
      <c r="G106" s="212"/>
      <c r="H106" s="213"/>
      <c r="I106" s="213"/>
      <c r="J106" s="214"/>
      <c r="K106" s="215"/>
      <c r="L106" s="215"/>
      <c r="M106" s="215"/>
      <c r="N106" s="215"/>
      <c r="O106" s="215"/>
      <c r="P106" s="216"/>
      <c r="Q106" s="217"/>
      <c r="R106" s="218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65"/>
      <c r="AJ106" s="222"/>
      <c r="AK106" s="222"/>
      <c r="BK106" s="222"/>
      <c r="BL106" s="222"/>
      <c r="BM106" s="222"/>
      <c r="BN106" s="222"/>
      <c r="BO106" s="222"/>
      <c r="BP106" s="222"/>
      <c r="BQ106" s="222"/>
      <c r="BR106" s="222"/>
      <c r="BS106" s="222"/>
    </row>
    <row r="107" ht="15.0" customHeight="1">
      <c r="A107" s="210"/>
      <c r="C107" s="212"/>
      <c r="D107" s="212"/>
      <c r="E107" s="212"/>
      <c r="F107" s="212"/>
      <c r="G107" s="212"/>
      <c r="H107" s="213"/>
      <c r="I107" s="213"/>
      <c r="J107" s="214"/>
      <c r="K107" s="215"/>
      <c r="L107" s="215"/>
      <c r="M107" s="215"/>
      <c r="N107" s="215"/>
      <c r="O107" s="215"/>
      <c r="P107" s="216"/>
      <c r="Q107" s="217"/>
      <c r="R107" s="218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65"/>
      <c r="AJ107" s="222"/>
      <c r="AK107" s="222"/>
      <c r="BK107" s="222"/>
      <c r="BL107" s="222"/>
      <c r="BM107" s="222"/>
      <c r="BN107" s="222"/>
      <c r="BO107" s="222"/>
      <c r="BP107" s="222"/>
      <c r="BQ107" s="222"/>
      <c r="BR107" s="222"/>
      <c r="BS107" s="222"/>
    </row>
    <row r="108" ht="15.0" customHeight="1">
      <c r="A108" s="210"/>
      <c r="C108" s="212"/>
      <c r="D108" s="212"/>
      <c r="E108" s="212"/>
      <c r="F108" s="212"/>
      <c r="G108" s="212"/>
      <c r="H108" s="213"/>
      <c r="I108" s="213"/>
      <c r="J108" s="214"/>
      <c r="K108" s="215"/>
      <c r="L108" s="215"/>
      <c r="M108" s="215"/>
      <c r="N108" s="215"/>
      <c r="O108" s="215"/>
      <c r="P108" s="216"/>
      <c r="Q108" s="217"/>
      <c r="R108" s="218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65"/>
      <c r="AJ108" s="222"/>
      <c r="AK108" s="222"/>
      <c r="BK108" s="222"/>
      <c r="BL108" s="222"/>
      <c r="BM108" s="222"/>
      <c r="BN108" s="222"/>
      <c r="BO108" s="222"/>
      <c r="BP108" s="222"/>
      <c r="BQ108" s="222"/>
      <c r="BR108" s="222"/>
      <c r="BS108" s="222"/>
    </row>
    <row r="109" ht="15.0" customHeight="1">
      <c r="A109" s="210"/>
      <c r="C109" s="212"/>
      <c r="D109" s="212"/>
      <c r="E109" s="212"/>
      <c r="F109" s="212"/>
      <c r="G109" s="212"/>
      <c r="H109" s="213"/>
      <c r="I109" s="213"/>
      <c r="J109" s="214"/>
      <c r="K109" s="215"/>
      <c r="L109" s="215"/>
      <c r="M109" s="215"/>
      <c r="N109" s="215"/>
      <c r="O109" s="215"/>
      <c r="P109" s="216"/>
      <c r="Q109" s="217"/>
      <c r="R109" s="218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65"/>
      <c r="AJ109" s="222"/>
      <c r="AK109" s="222"/>
      <c r="BK109" s="222"/>
      <c r="BL109" s="222"/>
      <c r="BM109" s="222"/>
      <c r="BN109" s="222"/>
      <c r="BO109" s="222"/>
      <c r="BP109" s="222"/>
      <c r="BQ109" s="222"/>
      <c r="BR109" s="222"/>
      <c r="BS109" s="222"/>
    </row>
    <row r="110" ht="15.0" customHeight="1">
      <c r="A110" s="210"/>
      <c r="C110" s="212"/>
      <c r="D110" s="212"/>
      <c r="E110" s="212"/>
      <c r="F110" s="212"/>
      <c r="G110" s="212"/>
      <c r="H110" s="213"/>
      <c r="I110" s="213"/>
      <c r="J110" s="214"/>
      <c r="K110" s="215"/>
      <c r="L110" s="215"/>
      <c r="M110" s="215"/>
      <c r="N110" s="215"/>
      <c r="O110" s="215"/>
      <c r="P110" s="216"/>
      <c r="Q110" s="217"/>
      <c r="R110" s="218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65"/>
      <c r="AJ110" s="222"/>
      <c r="AK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</row>
    <row r="111" ht="15.0" customHeight="1">
      <c r="A111" s="210"/>
      <c r="C111" s="212"/>
      <c r="D111" s="212"/>
      <c r="E111" s="212"/>
      <c r="F111" s="212"/>
      <c r="G111" s="212"/>
      <c r="H111" s="213"/>
      <c r="I111" s="213"/>
      <c r="J111" s="214"/>
      <c r="K111" s="215"/>
      <c r="L111" s="215"/>
      <c r="M111" s="215"/>
      <c r="N111" s="215"/>
      <c r="O111" s="215"/>
      <c r="P111" s="216"/>
      <c r="Q111" s="217"/>
      <c r="R111" s="218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65"/>
      <c r="AJ111" s="222"/>
      <c r="AK111" s="222"/>
      <c r="BK111" s="222"/>
      <c r="BL111" s="222"/>
      <c r="BM111" s="222"/>
      <c r="BN111" s="222"/>
      <c r="BO111" s="222"/>
      <c r="BP111" s="222"/>
      <c r="BQ111" s="222"/>
      <c r="BR111" s="222"/>
      <c r="BS111" s="222"/>
    </row>
    <row r="112" ht="15.0" customHeight="1">
      <c r="A112" s="210"/>
      <c r="C112" s="212"/>
      <c r="D112" s="212"/>
      <c r="E112" s="212"/>
      <c r="F112" s="212"/>
      <c r="G112" s="212"/>
      <c r="H112" s="213"/>
      <c r="I112" s="213"/>
      <c r="J112" s="214"/>
      <c r="K112" s="215"/>
      <c r="L112" s="215"/>
      <c r="M112" s="215"/>
      <c r="N112" s="215"/>
      <c r="O112" s="215"/>
      <c r="P112" s="216"/>
      <c r="Q112" s="217"/>
      <c r="R112" s="218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65"/>
      <c r="AJ112" s="222"/>
      <c r="AK112" s="222"/>
      <c r="BK112" s="222"/>
      <c r="BL112" s="222"/>
      <c r="BM112" s="222"/>
      <c r="BN112" s="222"/>
      <c r="BO112" s="222"/>
      <c r="BP112" s="222"/>
      <c r="BQ112" s="222"/>
      <c r="BR112" s="222"/>
      <c r="BS112" s="222"/>
    </row>
    <row r="113" ht="15.0" customHeight="1">
      <c r="A113" s="210"/>
      <c r="C113" s="212"/>
      <c r="D113" s="212"/>
      <c r="E113" s="212"/>
      <c r="F113" s="212"/>
      <c r="G113" s="212"/>
      <c r="H113" s="213"/>
      <c r="I113" s="213"/>
      <c r="J113" s="214"/>
      <c r="K113" s="215"/>
      <c r="L113" s="215"/>
      <c r="M113" s="215"/>
      <c r="N113" s="215"/>
      <c r="O113" s="215"/>
      <c r="P113" s="216"/>
      <c r="Q113" s="217"/>
      <c r="R113" s="218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65"/>
      <c r="AJ113" s="222"/>
      <c r="AK113" s="222"/>
      <c r="BK113" s="222"/>
      <c r="BL113" s="222"/>
      <c r="BM113" s="222"/>
      <c r="BN113" s="222"/>
      <c r="BO113" s="222"/>
      <c r="BP113" s="222"/>
      <c r="BQ113" s="222"/>
      <c r="BR113" s="222"/>
      <c r="BS113" s="222"/>
    </row>
    <row r="114" ht="15.0" customHeight="1">
      <c r="A114" s="210"/>
      <c r="C114" s="212"/>
      <c r="D114" s="212"/>
      <c r="E114" s="212"/>
      <c r="F114" s="212"/>
      <c r="G114" s="212"/>
      <c r="H114" s="213"/>
      <c r="I114" s="213"/>
      <c r="J114" s="214"/>
      <c r="K114" s="215"/>
      <c r="L114" s="215"/>
      <c r="M114" s="215"/>
      <c r="N114" s="215"/>
      <c r="O114" s="215"/>
      <c r="P114" s="216"/>
      <c r="Q114" s="217"/>
      <c r="R114" s="218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65"/>
      <c r="AJ114" s="222"/>
      <c r="AK114" s="222"/>
      <c r="BK114" s="222"/>
      <c r="BL114" s="222"/>
      <c r="BM114" s="222"/>
      <c r="BN114" s="222"/>
      <c r="BO114" s="222"/>
      <c r="BP114" s="222"/>
      <c r="BQ114" s="222"/>
      <c r="BR114" s="222"/>
      <c r="BS114" s="222"/>
    </row>
    <row r="115" ht="15.0" customHeight="1">
      <c r="A115" s="210"/>
      <c r="C115" s="212"/>
      <c r="D115" s="212"/>
      <c r="E115" s="212"/>
      <c r="F115" s="212"/>
      <c r="G115" s="212"/>
      <c r="H115" s="213"/>
      <c r="I115" s="213"/>
      <c r="J115" s="214"/>
      <c r="K115" s="215"/>
      <c r="L115" s="215"/>
      <c r="M115" s="215"/>
      <c r="N115" s="215"/>
      <c r="O115" s="215"/>
      <c r="P115" s="216"/>
      <c r="Q115" s="217"/>
      <c r="R115" s="218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65"/>
      <c r="AJ115" s="222"/>
      <c r="AK115" s="222"/>
      <c r="BK115" s="222"/>
      <c r="BL115" s="222"/>
      <c r="BM115" s="222"/>
      <c r="BN115" s="222"/>
      <c r="BO115" s="222"/>
      <c r="BP115" s="222"/>
      <c r="BQ115" s="222"/>
      <c r="BR115" s="222"/>
      <c r="BS115" s="222"/>
    </row>
    <row r="116" ht="15.0" customHeight="1">
      <c r="A116" s="210"/>
      <c r="C116" s="212"/>
      <c r="D116" s="212"/>
      <c r="E116" s="212"/>
      <c r="F116" s="212"/>
      <c r="G116" s="212"/>
      <c r="H116" s="213"/>
      <c r="I116" s="213"/>
      <c r="J116" s="214"/>
      <c r="K116" s="215"/>
      <c r="L116" s="215"/>
      <c r="M116" s="215"/>
      <c r="N116" s="215"/>
      <c r="O116" s="215"/>
      <c r="P116" s="216"/>
      <c r="Q116" s="217"/>
      <c r="R116" s="218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65"/>
      <c r="AJ116" s="222"/>
      <c r="AK116" s="222"/>
      <c r="BK116" s="222"/>
      <c r="BL116" s="222"/>
      <c r="BM116" s="222"/>
      <c r="BN116" s="222"/>
      <c r="BO116" s="222"/>
      <c r="BP116" s="222"/>
      <c r="BQ116" s="222"/>
      <c r="BR116" s="222"/>
      <c r="BS116" s="222"/>
    </row>
    <row r="117" ht="15.0" customHeight="1">
      <c r="A117" s="210"/>
      <c r="C117" s="212"/>
      <c r="D117" s="212"/>
      <c r="E117" s="212"/>
      <c r="F117" s="212"/>
      <c r="G117" s="212"/>
      <c r="H117" s="213"/>
      <c r="I117" s="213"/>
      <c r="J117" s="214"/>
      <c r="K117" s="215"/>
      <c r="L117" s="215"/>
      <c r="M117" s="215"/>
      <c r="N117" s="215"/>
      <c r="O117" s="215"/>
      <c r="P117" s="216"/>
      <c r="Q117" s="217"/>
      <c r="R117" s="218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65"/>
      <c r="AJ117" s="222"/>
      <c r="AK117" s="222"/>
      <c r="BK117" s="222"/>
      <c r="BL117" s="222"/>
      <c r="BM117" s="222"/>
      <c r="BN117" s="222"/>
      <c r="BO117" s="222"/>
      <c r="BP117" s="222"/>
      <c r="BQ117" s="222"/>
      <c r="BR117" s="222"/>
      <c r="BS117" s="222"/>
    </row>
    <row r="118" ht="15.0" customHeight="1">
      <c r="A118" s="210"/>
      <c r="C118" s="212"/>
      <c r="D118" s="212"/>
      <c r="E118" s="212"/>
      <c r="F118" s="212"/>
      <c r="G118" s="212"/>
      <c r="H118" s="213"/>
      <c r="I118" s="213"/>
      <c r="J118" s="214"/>
      <c r="K118" s="215"/>
      <c r="L118" s="215"/>
      <c r="M118" s="215"/>
      <c r="N118" s="215"/>
      <c r="O118" s="215"/>
      <c r="P118" s="216"/>
      <c r="Q118" s="217"/>
      <c r="R118" s="218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65"/>
      <c r="AJ118" s="222"/>
      <c r="AK118" s="222"/>
      <c r="BK118" s="222"/>
      <c r="BL118" s="222"/>
      <c r="BM118" s="222"/>
      <c r="BN118" s="222"/>
      <c r="BO118" s="222"/>
      <c r="BP118" s="222"/>
      <c r="BQ118" s="222"/>
      <c r="BR118" s="222"/>
      <c r="BS118" s="222"/>
    </row>
    <row r="119" ht="15.0" customHeight="1">
      <c r="A119" s="210"/>
      <c r="C119" s="212"/>
      <c r="D119" s="212"/>
      <c r="E119" s="212"/>
      <c r="F119" s="212"/>
      <c r="G119" s="212"/>
      <c r="H119" s="213"/>
      <c r="I119" s="213"/>
      <c r="J119" s="214"/>
      <c r="K119" s="215"/>
      <c r="L119" s="215"/>
      <c r="M119" s="215"/>
      <c r="N119" s="215"/>
      <c r="O119" s="215"/>
      <c r="P119" s="216"/>
      <c r="Q119" s="217"/>
      <c r="R119" s="218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65"/>
      <c r="AJ119" s="222"/>
      <c r="AK119" s="222"/>
      <c r="BK119" s="222"/>
      <c r="BL119" s="222"/>
      <c r="BM119" s="222"/>
      <c r="BN119" s="222"/>
      <c r="BO119" s="222"/>
      <c r="BP119" s="222"/>
      <c r="BQ119" s="222"/>
      <c r="BR119" s="222"/>
      <c r="BS119" s="222"/>
    </row>
    <row r="120" ht="15.0" customHeight="1">
      <c r="A120" s="210"/>
      <c r="C120" s="212"/>
      <c r="D120" s="212"/>
      <c r="E120" s="212"/>
      <c r="F120" s="212"/>
      <c r="G120" s="212"/>
      <c r="H120" s="213"/>
      <c r="I120" s="213"/>
      <c r="J120" s="214"/>
      <c r="K120" s="215"/>
      <c r="L120" s="215"/>
      <c r="M120" s="215"/>
      <c r="N120" s="215"/>
      <c r="O120" s="215"/>
      <c r="P120" s="216"/>
      <c r="Q120" s="217"/>
      <c r="R120" s="218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65"/>
      <c r="AJ120" s="222"/>
      <c r="AK120" s="222"/>
      <c r="BK120" s="222"/>
      <c r="BL120" s="222"/>
      <c r="BM120" s="222"/>
      <c r="BN120" s="222"/>
      <c r="BO120" s="222"/>
      <c r="BP120" s="222"/>
      <c r="BQ120" s="222"/>
      <c r="BR120" s="222"/>
      <c r="BS120" s="222"/>
    </row>
    <row r="121" ht="15.0" customHeight="1">
      <c r="A121" s="210"/>
      <c r="C121" s="212"/>
      <c r="D121" s="212"/>
      <c r="E121" s="212"/>
      <c r="F121" s="212"/>
      <c r="G121" s="212"/>
      <c r="H121" s="213"/>
      <c r="I121" s="213"/>
      <c r="J121" s="214"/>
      <c r="K121" s="215"/>
      <c r="L121" s="215"/>
      <c r="M121" s="215"/>
      <c r="N121" s="215"/>
      <c r="O121" s="215"/>
      <c r="P121" s="216"/>
      <c r="Q121" s="217"/>
      <c r="R121" s="218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65"/>
      <c r="AJ121" s="222"/>
      <c r="AK121" s="222"/>
      <c r="BK121" s="222"/>
      <c r="BL121" s="222"/>
      <c r="BM121" s="222"/>
      <c r="BN121" s="222"/>
      <c r="BO121" s="222"/>
      <c r="BP121" s="222"/>
      <c r="BQ121" s="222"/>
      <c r="BR121" s="222"/>
      <c r="BS121" s="222"/>
    </row>
    <row r="122" ht="15.0" customHeight="1">
      <c r="A122" s="210"/>
      <c r="C122" s="212"/>
      <c r="D122" s="212"/>
      <c r="E122" s="212"/>
      <c r="F122" s="212"/>
      <c r="G122" s="212"/>
      <c r="H122" s="213"/>
      <c r="I122" s="213"/>
      <c r="J122" s="214"/>
      <c r="K122" s="215"/>
      <c r="L122" s="215"/>
      <c r="M122" s="215"/>
      <c r="N122" s="215"/>
      <c r="O122" s="215"/>
      <c r="P122" s="216"/>
      <c r="Q122" s="217"/>
      <c r="R122" s="218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65"/>
      <c r="AJ122" s="222"/>
      <c r="AK122" s="222"/>
      <c r="BK122" s="222"/>
      <c r="BL122" s="222"/>
      <c r="BM122" s="222"/>
      <c r="BN122" s="222"/>
      <c r="BO122" s="222"/>
      <c r="BP122" s="222"/>
      <c r="BQ122" s="222"/>
      <c r="BR122" s="222"/>
      <c r="BS122" s="222"/>
    </row>
    <row r="123" ht="15.0" customHeight="1">
      <c r="A123" s="210"/>
      <c r="C123" s="212"/>
      <c r="D123" s="212"/>
      <c r="E123" s="212"/>
      <c r="F123" s="212"/>
      <c r="G123" s="212"/>
      <c r="H123" s="213"/>
      <c r="I123" s="213"/>
      <c r="J123" s="214"/>
      <c r="K123" s="215"/>
      <c r="L123" s="215"/>
      <c r="M123" s="215"/>
      <c r="N123" s="215"/>
      <c r="O123" s="215"/>
      <c r="P123" s="216"/>
      <c r="Q123" s="217"/>
      <c r="R123" s="218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65"/>
      <c r="AJ123" s="222"/>
      <c r="AK123" s="222"/>
      <c r="BK123" s="222"/>
      <c r="BL123" s="222"/>
      <c r="BM123" s="222"/>
      <c r="BN123" s="222"/>
      <c r="BO123" s="222"/>
      <c r="BP123" s="222"/>
      <c r="BQ123" s="222"/>
      <c r="BR123" s="222"/>
      <c r="BS123" s="222"/>
    </row>
    <row r="124" ht="15.0" customHeight="1">
      <c r="A124" s="210"/>
      <c r="C124" s="212"/>
      <c r="D124" s="212"/>
      <c r="E124" s="212"/>
      <c r="F124" s="212"/>
      <c r="G124" s="212"/>
      <c r="H124" s="213"/>
      <c r="I124" s="213"/>
      <c r="J124" s="214"/>
      <c r="K124" s="215"/>
      <c r="L124" s="215"/>
      <c r="M124" s="215"/>
      <c r="N124" s="215"/>
      <c r="O124" s="215"/>
      <c r="P124" s="216"/>
      <c r="Q124" s="217"/>
      <c r="R124" s="218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65"/>
      <c r="AJ124" s="222"/>
      <c r="AK124" s="222"/>
      <c r="BK124" s="222"/>
      <c r="BL124" s="222"/>
      <c r="BM124" s="222"/>
      <c r="BN124" s="222"/>
      <c r="BO124" s="222"/>
      <c r="BP124" s="222"/>
      <c r="BQ124" s="222"/>
      <c r="BR124" s="222"/>
      <c r="BS124" s="222"/>
    </row>
    <row r="125" ht="15.0" customHeight="1">
      <c r="A125" s="210"/>
      <c r="C125" s="212"/>
      <c r="D125" s="212"/>
      <c r="E125" s="212"/>
      <c r="F125" s="212"/>
      <c r="G125" s="212"/>
      <c r="H125" s="213"/>
      <c r="I125" s="213"/>
      <c r="J125" s="214"/>
      <c r="K125" s="215"/>
      <c r="L125" s="215"/>
      <c r="M125" s="215"/>
      <c r="N125" s="215"/>
      <c r="O125" s="215"/>
      <c r="P125" s="216"/>
      <c r="Q125" s="217"/>
      <c r="R125" s="218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65"/>
      <c r="AJ125" s="222"/>
      <c r="AK125" s="222"/>
      <c r="BK125" s="222"/>
      <c r="BL125" s="222"/>
      <c r="BM125" s="222"/>
      <c r="BN125" s="222"/>
      <c r="BO125" s="222"/>
      <c r="BP125" s="222"/>
      <c r="BQ125" s="222"/>
      <c r="BR125" s="222"/>
      <c r="BS125" s="222"/>
    </row>
    <row r="126" ht="15.0" customHeight="1">
      <c r="A126" s="210"/>
      <c r="C126" s="212"/>
      <c r="D126" s="212"/>
      <c r="E126" s="212"/>
      <c r="F126" s="212"/>
      <c r="G126" s="212"/>
      <c r="H126" s="213"/>
      <c r="I126" s="213"/>
      <c r="J126" s="214"/>
      <c r="K126" s="215"/>
      <c r="L126" s="215"/>
      <c r="M126" s="215"/>
      <c r="N126" s="215"/>
      <c r="O126" s="215"/>
      <c r="P126" s="216"/>
      <c r="Q126" s="217"/>
      <c r="R126" s="218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65"/>
      <c r="AJ126" s="222"/>
      <c r="AK126" s="222"/>
      <c r="BK126" s="222"/>
      <c r="BL126" s="222"/>
      <c r="BM126" s="222"/>
      <c r="BN126" s="222"/>
      <c r="BO126" s="222"/>
      <c r="BP126" s="222"/>
      <c r="BQ126" s="222"/>
      <c r="BR126" s="222"/>
      <c r="BS126" s="222"/>
    </row>
    <row r="127" ht="15.0" customHeight="1">
      <c r="A127" s="210"/>
      <c r="C127" s="212"/>
      <c r="D127" s="212"/>
      <c r="E127" s="212"/>
      <c r="F127" s="212"/>
      <c r="G127" s="212"/>
      <c r="H127" s="213"/>
      <c r="I127" s="213"/>
      <c r="J127" s="214"/>
      <c r="K127" s="215"/>
      <c r="L127" s="215"/>
      <c r="M127" s="215"/>
      <c r="N127" s="215"/>
      <c r="O127" s="215"/>
      <c r="P127" s="216"/>
      <c r="Q127" s="217"/>
      <c r="R127" s="218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65"/>
      <c r="AJ127" s="222"/>
      <c r="AK127" s="222"/>
      <c r="BK127" s="222"/>
      <c r="BL127" s="222"/>
      <c r="BM127" s="222"/>
      <c r="BN127" s="222"/>
      <c r="BO127" s="222"/>
      <c r="BP127" s="222"/>
      <c r="BQ127" s="222"/>
      <c r="BR127" s="222"/>
      <c r="BS127" s="222"/>
    </row>
    <row r="128" ht="15.0" customHeight="1">
      <c r="A128" s="210"/>
      <c r="C128" s="212"/>
      <c r="D128" s="212"/>
      <c r="E128" s="212"/>
      <c r="F128" s="212"/>
      <c r="G128" s="212"/>
      <c r="H128" s="213"/>
      <c r="I128" s="213"/>
      <c r="J128" s="214"/>
      <c r="K128" s="215"/>
      <c r="L128" s="215"/>
      <c r="M128" s="215"/>
      <c r="N128" s="215"/>
      <c r="O128" s="215"/>
      <c r="P128" s="216"/>
      <c r="Q128" s="217"/>
      <c r="R128" s="218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65"/>
      <c r="AJ128" s="222"/>
      <c r="AK128" s="222"/>
      <c r="BK128" s="222"/>
      <c r="BL128" s="222"/>
      <c r="BM128" s="222"/>
      <c r="BN128" s="222"/>
      <c r="BO128" s="222"/>
      <c r="BP128" s="222"/>
      <c r="BQ128" s="222"/>
      <c r="BR128" s="222"/>
      <c r="BS128" s="222"/>
    </row>
    <row r="129" ht="15.0" customHeight="1">
      <c r="A129" s="210"/>
      <c r="C129" s="212"/>
      <c r="D129" s="212"/>
      <c r="E129" s="212"/>
      <c r="F129" s="212"/>
      <c r="G129" s="212"/>
      <c r="H129" s="213"/>
      <c r="I129" s="213"/>
      <c r="J129" s="214"/>
      <c r="K129" s="215"/>
      <c r="L129" s="215"/>
      <c r="M129" s="215"/>
      <c r="N129" s="215"/>
      <c r="O129" s="215"/>
      <c r="P129" s="216"/>
      <c r="Q129" s="217"/>
      <c r="R129" s="218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65"/>
      <c r="AJ129" s="222"/>
      <c r="AK129" s="222"/>
      <c r="BK129" s="222"/>
      <c r="BL129" s="222"/>
      <c r="BM129" s="222"/>
      <c r="BN129" s="222"/>
      <c r="BO129" s="222"/>
      <c r="BP129" s="222"/>
      <c r="BQ129" s="222"/>
      <c r="BR129" s="222"/>
      <c r="BS129" s="222"/>
    </row>
    <row r="130" ht="15.0" customHeight="1">
      <c r="A130" s="210"/>
      <c r="C130" s="212"/>
      <c r="D130" s="212"/>
      <c r="E130" s="212"/>
      <c r="F130" s="212"/>
      <c r="G130" s="212"/>
      <c r="H130" s="213"/>
      <c r="I130" s="213"/>
      <c r="J130" s="214"/>
      <c r="K130" s="215"/>
      <c r="L130" s="215"/>
      <c r="M130" s="215"/>
      <c r="N130" s="215"/>
      <c r="O130" s="215"/>
      <c r="P130" s="216"/>
      <c r="Q130" s="217"/>
      <c r="R130" s="218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65"/>
      <c r="AJ130" s="222"/>
      <c r="AK130" s="222"/>
      <c r="BK130" s="222"/>
      <c r="BL130" s="222"/>
      <c r="BM130" s="222"/>
      <c r="BN130" s="222"/>
      <c r="BO130" s="222"/>
      <c r="BP130" s="222"/>
      <c r="BQ130" s="222"/>
      <c r="BR130" s="222"/>
      <c r="BS130" s="222"/>
    </row>
    <row r="131" ht="15.0" customHeight="1">
      <c r="A131" s="210"/>
      <c r="C131" s="212"/>
      <c r="D131" s="212"/>
      <c r="E131" s="212"/>
      <c r="F131" s="212"/>
      <c r="G131" s="212"/>
      <c r="H131" s="213"/>
      <c r="I131" s="213"/>
      <c r="J131" s="214"/>
      <c r="K131" s="215"/>
      <c r="L131" s="215"/>
      <c r="M131" s="215"/>
      <c r="N131" s="215"/>
      <c r="O131" s="215"/>
      <c r="P131" s="216"/>
      <c r="Q131" s="217"/>
      <c r="R131" s="218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65"/>
      <c r="AJ131" s="222"/>
      <c r="AK131" s="222"/>
      <c r="BK131" s="222"/>
      <c r="BL131" s="222"/>
      <c r="BM131" s="222"/>
      <c r="BN131" s="222"/>
      <c r="BO131" s="222"/>
      <c r="BP131" s="222"/>
      <c r="BQ131" s="222"/>
      <c r="BR131" s="222"/>
      <c r="BS131" s="222"/>
    </row>
    <row r="132" ht="15.0" customHeight="1">
      <c r="A132" s="210"/>
      <c r="C132" s="212"/>
      <c r="D132" s="212"/>
      <c r="E132" s="212"/>
      <c r="F132" s="212"/>
      <c r="G132" s="212"/>
      <c r="H132" s="213"/>
      <c r="I132" s="213"/>
      <c r="J132" s="214"/>
      <c r="K132" s="215"/>
      <c r="L132" s="215"/>
      <c r="M132" s="215"/>
      <c r="N132" s="215"/>
      <c r="O132" s="215"/>
      <c r="P132" s="216"/>
      <c r="Q132" s="217"/>
      <c r="R132" s="218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65"/>
      <c r="AJ132" s="222"/>
      <c r="AK132" s="222"/>
      <c r="BK132" s="222"/>
      <c r="BL132" s="222"/>
      <c r="BM132" s="222"/>
      <c r="BN132" s="222"/>
      <c r="BO132" s="222"/>
      <c r="BP132" s="222"/>
      <c r="BQ132" s="222"/>
      <c r="BR132" s="222"/>
      <c r="BS132" s="222"/>
    </row>
    <row r="133" ht="15.0" customHeight="1">
      <c r="A133" s="210"/>
      <c r="C133" s="212"/>
      <c r="D133" s="212"/>
      <c r="E133" s="212"/>
      <c r="F133" s="212"/>
      <c r="G133" s="212"/>
      <c r="H133" s="213"/>
      <c r="I133" s="213"/>
      <c r="J133" s="214"/>
      <c r="K133" s="215"/>
      <c r="L133" s="215"/>
      <c r="M133" s="215"/>
      <c r="N133" s="215"/>
      <c r="O133" s="215"/>
      <c r="P133" s="216"/>
      <c r="Q133" s="217"/>
      <c r="R133" s="218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65"/>
      <c r="AJ133" s="222"/>
      <c r="AK133" s="222"/>
      <c r="BK133" s="222"/>
      <c r="BL133" s="222"/>
      <c r="BM133" s="222"/>
      <c r="BN133" s="222"/>
      <c r="BO133" s="222"/>
      <c r="BP133" s="222"/>
      <c r="BQ133" s="222"/>
      <c r="BR133" s="222"/>
      <c r="BS133" s="222"/>
    </row>
    <row r="134" ht="15.0" customHeight="1">
      <c r="A134" s="210"/>
      <c r="C134" s="212"/>
      <c r="D134" s="212"/>
      <c r="E134" s="212"/>
      <c r="F134" s="212"/>
      <c r="G134" s="212"/>
      <c r="H134" s="213"/>
      <c r="I134" s="213"/>
      <c r="J134" s="214"/>
      <c r="K134" s="215"/>
      <c r="L134" s="215"/>
      <c r="M134" s="215"/>
      <c r="N134" s="215"/>
      <c r="O134" s="215"/>
      <c r="P134" s="216"/>
      <c r="Q134" s="217"/>
      <c r="R134" s="218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65"/>
      <c r="AJ134" s="222"/>
      <c r="AK134" s="222"/>
      <c r="BK134" s="222"/>
      <c r="BL134" s="222"/>
      <c r="BM134" s="222"/>
      <c r="BN134" s="222"/>
      <c r="BO134" s="222"/>
      <c r="BP134" s="222"/>
      <c r="BQ134" s="222"/>
      <c r="BR134" s="222"/>
      <c r="BS134" s="222"/>
    </row>
    <row r="135" ht="15.0" customHeight="1">
      <c r="A135" s="210"/>
      <c r="C135" s="212"/>
      <c r="D135" s="212"/>
      <c r="E135" s="212"/>
      <c r="F135" s="212"/>
      <c r="G135" s="212"/>
      <c r="H135" s="213"/>
      <c r="I135" s="213"/>
      <c r="J135" s="214"/>
      <c r="K135" s="215"/>
      <c r="L135" s="215"/>
      <c r="M135" s="215"/>
      <c r="N135" s="215"/>
      <c r="O135" s="215"/>
      <c r="P135" s="216"/>
      <c r="Q135" s="217"/>
      <c r="R135" s="218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65"/>
      <c r="AJ135" s="222"/>
      <c r="AK135" s="222"/>
      <c r="BK135" s="222"/>
      <c r="BL135" s="222"/>
      <c r="BM135" s="222"/>
      <c r="BN135" s="222"/>
      <c r="BO135" s="222"/>
      <c r="BP135" s="222"/>
      <c r="BQ135" s="222"/>
      <c r="BR135" s="222"/>
      <c r="BS135" s="222"/>
    </row>
    <row r="136" ht="15.0" customHeight="1">
      <c r="A136" s="210"/>
      <c r="C136" s="212"/>
      <c r="D136" s="212"/>
      <c r="E136" s="212"/>
      <c r="F136" s="212"/>
      <c r="G136" s="212"/>
      <c r="H136" s="213"/>
      <c r="I136" s="213"/>
      <c r="J136" s="214"/>
      <c r="K136" s="215"/>
      <c r="L136" s="215"/>
      <c r="M136" s="215"/>
      <c r="N136" s="215"/>
      <c r="O136" s="215"/>
      <c r="P136" s="216"/>
      <c r="Q136" s="217"/>
      <c r="R136" s="218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65"/>
      <c r="AJ136" s="222"/>
      <c r="AK136" s="222"/>
      <c r="BK136" s="222"/>
      <c r="BL136" s="222"/>
      <c r="BM136" s="222"/>
      <c r="BN136" s="222"/>
      <c r="BO136" s="222"/>
      <c r="BP136" s="222"/>
      <c r="BQ136" s="222"/>
      <c r="BR136" s="222"/>
      <c r="BS136" s="222"/>
    </row>
    <row r="137" ht="15.0" customHeight="1">
      <c r="A137" s="210"/>
      <c r="C137" s="212"/>
      <c r="D137" s="212"/>
      <c r="E137" s="212"/>
      <c r="F137" s="212"/>
      <c r="G137" s="212"/>
      <c r="H137" s="213"/>
      <c r="I137" s="213"/>
      <c r="J137" s="214"/>
      <c r="K137" s="215"/>
      <c r="L137" s="215"/>
      <c r="M137" s="215"/>
      <c r="N137" s="215"/>
      <c r="O137" s="215"/>
      <c r="P137" s="216"/>
      <c r="Q137" s="217"/>
      <c r="R137" s="218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65"/>
      <c r="AJ137" s="222"/>
      <c r="AK137" s="222"/>
      <c r="BK137" s="222"/>
      <c r="BL137" s="222"/>
      <c r="BM137" s="222"/>
      <c r="BN137" s="222"/>
      <c r="BO137" s="222"/>
      <c r="BP137" s="222"/>
      <c r="BQ137" s="222"/>
      <c r="BR137" s="222"/>
      <c r="BS137" s="222"/>
    </row>
    <row r="138" ht="15.0" customHeight="1">
      <c r="A138" s="210"/>
      <c r="C138" s="212"/>
      <c r="D138" s="212"/>
      <c r="E138" s="212"/>
      <c r="F138" s="212"/>
      <c r="G138" s="212"/>
      <c r="H138" s="213"/>
      <c r="I138" s="213"/>
      <c r="J138" s="214"/>
      <c r="K138" s="215"/>
      <c r="L138" s="215"/>
      <c r="M138" s="215"/>
      <c r="N138" s="215"/>
      <c r="O138" s="215"/>
      <c r="P138" s="216"/>
      <c r="Q138" s="217"/>
      <c r="R138" s="218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65"/>
      <c r="AJ138" s="222"/>
      <c r="AK138" s="222"/>
      <c r="BK138" s="222"/>
      <c r="BL138" s="222"/>
      <c r="BM138" s="222"/>
      <c r="BN138" s="222"/>
      <c r="BO138" s="222"/>
      <c r="BP138" s="222"/>
      <c r="BQ138" s="222"/>
      <c r="BR138" s="222"/>
      <c r="BS138" s="222"/>
    </row>
    <row r="139" ht="15.0" customHeight="1">
      <c r="A139" s="210"/>
      <c r="C139" s="212"/>
      <c r="D139" s="212"/>
      <c r="E139" s="212"/>
      <c r="F139" s="212"/>
      <c r="G139" s="212"/>
      <c r="H139" s="213"/>
      <c r="I139" s="213"/>
      <c r="J139" s="214"/>
      <c r="K139" s="215"/>
      <c r="L139" s="215"/>
      <c r="M139" s="215"/>
      <c r="N139" s="215"/>
      <c r="O139" s="215"/>
      <c r="P139" s="216"/>
      <c r="Q139" s="217"/>
      <c r="R139" s="218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65"/>
      <c r="AJ139" s="222"/>
      <c r="AK139" s="222"/>
      <c r="BK139" s="222"/>
      <c r="BL139" s="222"/>
      <c r="BM139" s="222"/>
      <c r="BN139" s="222"/>
      <c r="BO139" s="222"/>
      <c r="BP139" s="222"/>
      <c r="BQ139" s="222"/>
      <c r="BR139" s="222"/>
      <c r="BS139" s="222"/>
    </row>
    <row r="140" ht="15.0" customHeight="1">
      <c r="A140" s="210"/>
      <c r="C140" s="212"/>
      <c r="D140" s="212"/>
      <c r="E140" s="212"/>
      <c r="F140" s="212"/>
      <c r="G140" s="212"/>
      <c r="H140" s="213"/>
      <c r="I140" s="213"/>
      <c r="J140" s="214"/>
      <c r="K140" s="215"/>
      <c r="L140" s="215"/>
      <c r="M140" s="215"/>
      <c r="N140" s="215"/>
      <c r="O140" s="215"/>
      <c r="P140" s="216"/>
      <c r="Q140" s="217"/>
      <c r="R140" s="218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65"/>
      <c r="AJ140" s="222"/>
      <c r="AK140" s="222"/>
      <c r="BK140" s="222"/>
      <c r="BL140" s="222"/>
      <c r="BM140" s="222"/>
      <c r="BN140" s="222"/>
      <c r="BO140" s="222"/>
      <c r="BP140" s="222"/>
      <c r="BQ140" s="222"/>
      <c r="BR140" s="222"/>
      <c r="BS140" s="222"/>
    </row>
    <row r="141" ht="15.0" customHeight="1">
      <c r="A141" s="210"/>
      <c r="C141" s="212"/>
      <c r="D141" s="212"/>
      <c r="E141" s="212"/>
      <c r="F141" s="212"/>
      <c r="G141" s="212"/>
      <c r="H141" s="213"/>
      <c r="I141" s="213"/>
      <c r="J141" s="214"/>
      <c r="K141" s="215"/>
      <c r="L141" s="215"/>
      <c r="M141" s="215"/>
      <c r="N141" s="215"/>
      <c r="O141" s="215"/>
      <c r="P141" s="216"/>
      <c r="Q141" s="217"/>
      <c r="R141" s="218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65"/>
      <c r="AJ141" s="222"/>
      <c r="AK141" s="222"/>
      <c r="BK141" s="222"/>
      <c r="BL141" s="222"/>
      <c r="BM141" s="222"/>
      <c r="BN141" s="222"/>
      <c r="BO141" s="222"/>
      <c r="BP141" s="222"/>
      <c r="BQ141" s="222"/>
      <c r="BR141" s="222"/>
      <c r="BS141" s="222"/>
    </row>
    <row r="142" ht="15.0" customHeight="1">
      <c r="A142" s="210"/>
      <c r="C142" s="212"/>
      <c r="D142" s="212"/>
      <c r="E142" s="212"/>
      <c r="F142" s="212"/>
      <c r="G142" s="212"/>
      <c r="H142" s="213"/>
      <c r="I142" s="213"/>
      <c r="J142" s="214"/>
      <c r="K142" s="215"/>
      <c r="L142" s="215"/>
      <c r="M142" s="215"/>
      <c r="N142" s="215"/>
      <c r="O142" s="215"/>
      <c r="P142" s="216"/>
      <c r="Q142" s="217"/>
      <c r="R142" s="218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65"/>
      <c r="AJ142" s="222"/>
      <c r="AK142" s="222"/>
      <c r="BK142" s="222"/>
      <c r="BL142" s="222"/>
      <c r="BM142" s="222"/>
      <c r="BN142" s="222"/>
      <c r="BO142" s="222"/>
      <c r="BP142" s="222"/>
      <c r="BQ142" s="222"/>
      <c r="BR142" s="222"/>
      <c r="BS142" s="222"/>
    </row>
    <row r="143" ht="15.0" customHeight="1">
      <c r="A143" s="210"/>
      <c r="C143" s="212"/>
      <c r="D143" s="212"/>
      <c r="E143" s="212"/>
      <c r="F143" s="212"/>
      <c r="G143" s="212"/>
      <c r="H143" s="213"/>
      <c r="I143" s="213"/>
      <c r="J143" s="214"/>
      <c r="K143" s="215"/>
      <c r="L143" s="215"/>
      <c r="M143" s="215"/>
      <c r="N143" s="215"/>
      <c r="O143" s="215"/>
      <c r="P143" s="216"/>
      <c r="Q143" s="217"/>
      <c r="R143" s="218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65"/>
      <c r="AJ143" s="222"/>
      <c r="AK143" s="222"/>
      <c r="BK143" s="222"/>
      <c r="BL143" s="222"/>
      <c r="BM143" s="222"/>
      <c r="BN143" s="222"/>
      <c r="BO143" s="222"/>
      <c r="BP143" s="222"/>
      <c r="BQ143" s="222"/>
      <c r="BR143" s="222"/>
      <c r="BS143" s="222"/>
    </row>
    <row r="144" ht="15.0" customHeight="1">
      <c r="A144" s="210"/>
      <c r="C144" s="212"/>
      <c r="D144" s="212"/>
      <c r="E144" s="212"/>
      <c r="F144" s="212"/>
      <c r="G144" s="212"/>
      <c r="H144" s="213"/>
      <c r="I144" s="213"/>
      <c r="J144" s="214"/>
      <c r="K144" s="215"/>
      <c r="L144" s="215"/>
      <c r="M144" s="215"/>
      <c r="N144" s="215"/>
      <c r="O144" s="215"/>
      <c r="P144" s="216"/>
      <c r="Q144" s="217"/>
      <c r="R144" s="218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65"/>
      <c r="AJ144" s="222"/>
      <c r="AK144" s="222"/>
      <c r="BK144" s="222"/>
      <c r="BL144" s="222"/>
      <c r="BM144" s="222"/>
      <c r="BN144" s="222"/>
      <c r="BO144" s="222"/>
      <c r="BP144" s="222"/>
      <c r="BQ144" s="222"/>
      <c r="BR144" s="222"/>
      <c r="BS144" s="222"/>
    </row>
    <row r="145" ht="15.0" customHeight="1">
      <c r="A145" s="210"/>
      <c r="C145" s="212"/>
      <c r="D145" s="212"/>
      <c r="E145" s="212"/>
      <c r="F145" s="212"/>
      <c r="G145" s="212"/>
      <c r="H145" s="213"/>
      <c r="I145" s="213"/>
      <c r="J145" s="214"/>
      <c r="K145" s="215"/>
      <c r="L145" s="215"/>
      <c r="M145" s="215"/>
      <c r="N145" s="215"/>
      <c r="O145" s="215"/>
      <c r="P145" s="216"/>
      <c r="Q145" s="217"/>
      <c r="R145" s="218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65"/>
      <c r="AJ145" s="222"/>
      <c r="AK145" s="222"/>
      <c r="BK145" s="222"/>
      <c r="BL145" s="222"/>
      <c r="BM145" s="222"/>
      <c r="BN145" s="222"/>
      <c r="BO145" s="222"/>
      <c r="BP145" s="222"/>
      <c r="BQ145" s="222"/>
      <c r="BR145" s="222"/>
      <c r="BS145" s="222"/>
    </row>
    <row r="146" ht="15.0" customHeight="1">
      <c r="A146" s="210"/>
      <c r="C146" s="212"/>
      <c r="D146" s="212"/>
      <c r="E146" s="212"/>
      <c r="F146" s="212"/>
      <c r="G146" s="212"/>
      <c r="H146" s="213"/>
      <c r="I146" s="213"/>
      <c r="J146" s="214"/>
      <c r="K146" s="215"/>
      <c r="L146" s="215"/>
      <c r="M146" s="215"/>
      <c r="N146" s="215"/>
      <c r="O146" s="215"/>
      <c r="P146" s="216"/>
      <c r="Q146" s="217"/>
      <c r="R146" s="218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65"/>
      <c r="AJ146" s="222"/>
      <c r="AK146" s="222"/>
      <c r="BK146" s="222"/>
      <c r="BL146" s="222"/>
      <c r="BM146" s="222"/>
      <c r="BN146" s="222"/>
      <c r="BO146" s="222"/>
      <c r="BP146" s="222"/>
      <c r="BQ146" s="222"/>
      <c r="BR146" s="222"/>
      <c r="BS146" s="222"/>
    </row>
    <row r="147" ht="15.0" customHeight="1">
      <c r="A147" s="210"/>
      <c r="C147" s="212"/>
      <c r="D147" s="212"/>
      <c r="E147" s="212"/>
      <c r="F147" s="212"/>
      <c r="G147" s="212"/>
      <c r="H147" s="213"/>
      <c r="I147" s="213"/>
      <c r="J147" s="214"/>
      <c r="K147" s="215"/>
      <c r="L147" s="215"/>
      <c r="M147" s="215"/>
      <c r="N147" s="215"/>
      <c r="O147" s="215"/>
      <c r="P147" s="216"/>
      <c r="Q147" s="217"/>
      <c r="R147" s="218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65"/>
      <c r="AJ147" s="222"/>
      <c r="AK147" s="222"/>
      <c r="BK147" s="222"/>
      <c r="BL147" s="222"/>
      <c r="BM147" s="222"/>
      <c r="BN147" s="222"/>
      <c r="BO147" s="222"/>
      <c r="BP147" s="222"/>
      <c r="BQ147" s="222"/>
      <c r="BR147" s="222"/>
      <c r="BS147" s="222"/>
    </row>
    <row r="148" ht="15.0" customHeight="1">
      <c r="A148" s="210"/>
      <c r="C148" s="212"/>
      <c r="D148" s="212"/>
      <c r="E148" s="212"/>
      <c r="F148" s="212"/>
      <c r="G148" s="212"/>
      <c r="H148" s="213"/>
      <c r="I148" s="213"/>
      <c r="J148" s="214"/>
      <c r="K148" s="215"/>
      <c r="L148" s="215"/>
      <c r="M148" s="215"/>
      <c r="N148" s="215"/>
      <c r="O148" s="215"/>
      <c r="P148" s="216"/>
      <c r="Q148" s="217"/>
      <c r="R148" s="218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65"/>
      <c r="AJ148" s="222"/>
      <c r="AK148" s="222"/>
      <c r="BK148" s="222"/>
      <c r="BL148" s="222"/>
      <c r="BM148" s="222"/>
      <c r="BN148" s="222"/>
      <c r="BO148" s="222"/>
      <c r="BP148" s="222"/>
      <c r="BQ148" s="222"/>
      <c r="BR148" s="222"/>
      <c r="BS148" s="222"/>
    </row>
    <row r="149" ht="15.0" customHeight="1">
      <c r="A149" s="210"/>
      <c r="C149" s="212"/>
      <c r="D149" s="212"/>
      <c r="E149" s="212"/>
      <c r="F149" s="212"/>
      <c r="G149" s="212"/>
      <c r="H149" s="213"/>
      <c r="I149" s="213"/>
      <c r="J149" s="214"/>
      <c r="K149" s="215"/>
      <c r="L149" s="215"/>
      <c r="M149" s="215"/>
      <c r="N149" s="215"/>
      <c r="O149" s="215"/>
      <c r="P149" s="216"/>
      <c r="Q149" s="217"/>
      <c r="R149" s="218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65"/>
      <c r="AJ149" s="222"/>
      <c r="AK149" s="222"/>
      <c r="BK149" s="222"/>
      <c r="BL149" s="222"/>
      <c r="BM149" s="222"/>
      <c r="BN149" s="222"/>
      <c r="BO149" s="222"/>
      <c r="BP149" s="222"/>
      <c r="BQ149" s="222"/>
      <c r="BR149" s="222"/>
      <c r="BS149" s="222"/>
    </row>
    <row r="150" ht="15.0" customHeight="1">
      <c r="A150" s="210"/>
      <c r="C150" s="212"/>
      <c r="D150" s="212"/>
      <c r="E150" s="212"/>
      <c r="F150" s="212"/>
      <c r="G150" s="212"/>
      <c r="H150" s="213"/>
      <c r="I150" s="213"/>
      <c r="J150" s="214"/>
      <c r="K150" s="215"/>
      <c r="L150" s="215"/>
      <c r="M150" s="215"/>
      <c r="N150" s="215"/>
      <c r="O150" s="215"/>
      <c r="P150" s="216"/>
      <c r="Q150" s="217"/>
      <c r="R150" s="218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65"/>
      <c r="AJ150" s="222"/>
      <c r="AK150" s="222"/>
      <c r="BK150" s="222"/>
      <c r="BL150" s="222"/>
      <c r="BM150" s="222"/>
      <c r="BN150" s="222"/>
      <c r="BO150" s="222"/>
      <c r="BP150" s="222"/>
      <c r="BQ150" s="222"/>
      <c r="BR150" s="222"/>
      <c r="BS150" s="222"/>
    </row>
    <row r="151" ht="15.0" customHeight="1">
      <c r="A151" s="210"/>
      <c r="C151" s="212"/>
      <c r="D151" s="212"/>
      <c r="E151" s="212"/>
      <c r="F151" s="212"/>
      <c r="G151" s="212"/>
      <c r="H151" s="213"/>
      <c r="I151" s="213"/>
      <c r="J151" s="214"/>
      <c r="K151" s="215"/>
      <c r="L151" s="215"/>
      <c r="M151" s="215"/>
      <c r="N151" s="215"/>
      <c r="O151" s="215"/>
      <c r="P151" s="216"/>
      <c r="Q151" s="217"/>
      <c r="R151" s="218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65"/>
      <c r="AJ151" s="222"/>
      <c r="AK151" s="222"/>
      <c r="BK151" s="222"/>
      <c r="BL151" s="222"/>
      <c r="BM151" s="222"/>
      <c r="BN151" s="222"/>
      <c r="BO151" s="222"/>
      <c r="BP151" s="222"/>
      <c r="BQ151" s="222"/>
      <c r="BR151" s="222"/>
      <c r="BS151" s="222"/>
    </row>
    <row r="152" ht="15.0" customHeight="1">
      <c r="A152" s="210"/>
      <c r="C152" s="212"/>
      <c r="D152" s="212"/>
      <c r="E152" s="212"/>
      <c r="F152" s="212"/>
      <c r="G152" s="212"/>
      <c r="H152" s="213"/>
      <c r="I152" s="213"/>
      <c r="J152" s="214"/>
      <c r="K152" s="215"/>
      <c r="L152" s="215"/>
      <c r="M152" s="215"/>
      <c r="N152" s="215"/>
      <c r="O152" s="215"/>
      <c r="P152" s="216"/>
      <c r="Q152" s="217"/>
      <c r="R152" s="218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65"/>
      <c r="AJ152" s="222"/>
      <c r="AK152" s="222"/>
      <c r="BK152" s="222"/>
      <c r="BL152" s="222"/>
      <c r="BM152" s="222"/>
      <c r="BN152" s="222"/>
      <c r="BO152" s="222"/>
      <c r="BP152" s="222"/>
      <c r="BQ152" s="222"/>
      <c r="BR152" s="222"/>
      <c r="BS152" s="222"/>
    </row>
    <row r="153" ht="15.0" customHeight="1">
      <c r="A153" s="210"/>
      <c r="C153" s="212"/>
      <c r="D153" s="212"/>
      <c r="E153" s="212"/>
      <c r="F153" s="212"/>
      <c r="G153" s="212"/>
      <c r="H153" s="213"/>
      <c r="I153" s="213"/>
      <c r="J153" s="214"/>
      <c r="K153" s="215"/>
      <c r="L153" s="215"/>
      <c r="M153" s="215"/>
      <c r="N153" s="215"/>
      <c r="O153" s="215"/>
      <c r="P153" s="216"/>
      <c r="Q153" s="217"/>
      <c r="R153" s="218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65"/>
      <c r="AJ153" s="222"/>
      <c r="AK153" s="222"/>
      <c r="BK153" s="222"/>
      <c r="BL153" s="222"/>
      <c r="BM153" s="222"/>
      <c r="BN153" s="222"/>
      <c r="BO153" s="222"/>
      <c r="BP153" s="222"/>
      <c r="BQ153" s="222"/>
      <c r="BR153" s="222"/>
      <c r="BS153" s="222"/>
    </row>
    <row r="154" ht="15.0" customHeight="1">
      <c r="A154" s="210"/>
      <c r="C154" s="212"/>
      <c r="D154" s="212"/>
      <c r="E154" s="212"/>
      <c r="F154" s="212"/>
      <c r="G154" s="212"/>
      <c r="H154" s="213"/>
      <c r="I154" s="213"/>
      <c r="J154" s="214"/>
      <c r="K154" s="215"/>
      <c r="L154" s="215"/>
      <c r="M154" s="215"/>
      <c r="N154" s="215"/>
      <c r="O154" s="215"/>
      <c r="P154" s="216"/>
      <c r="Q154" s="217"/>
      <c r="R154" s="218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65"/>
      <c r="AJ154" s="222"/>
      <c r="AK154" s="222"/>
      <c r="BK154" s="222"/>
      <c r="BL154" s="222"/>
      <c r="BM154" s="222"/>
      <c r="BN154" s="222"/>
      <c r="BO154" s="222"/>
      <c r="BP154" s="222"/>
      <c r="BQ154" s="222"/>
      <c r="BR154" s="222"/>
      <c r="BS154" s="222"/>
    </row>
    <row r="155" ht="15.0" customHeight="1">
      <c r="A155" s="210"/>
      <c r="C155" s="212"/>
      <c r="D155" s="212"/>
      <c r="E155" s="212"/>
      <c r="F155" s="212"/>
      <c r="G155" s="212"/>
      <c r="H155" s="213"/>
      <c r="I155" s="213"/>
      <c r="J155" s="214"/>
      <c r="K155" s="215"/>
      <c r="L155" s="215"/>
      <c r="M155" s="215"/>
      <c r="N155" s="215"/>
      <c r="O155" s="215"/>
      <c r="P155" s="216"/>
      <c r="Q155" s="217"/>
      <c r="R155" s="218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65"/>
      <c r="AJ155" s="222"/>
      <c r="AK155" s="222"/>
      <c r="BK155" s="222"/>
      <c r="BL155" s="222"/>
      <c r="BM155" s="222"/>
      <c r="BN155" s="222"/>
      <c r="BO155" s="222"/>
      <c r="BP155" s="222"/>
      <c r="BQ155" s="222"/>
      <c r="BR155" s="222"/>
      <c r="BS155" s="222"/>
    </row>
    <row r="156" ht="15.0" customHeight="1">
      <c r="A156" s="210"/>
      <c r="C156" s="212"/>
      <c r="D156" s="212"/>
      <c r="E156" s="212"/>
      <c r="F156" s="212"/>
      <c r="G156" s="212"/>
      <c r="H156" s="213"/>
      <c r="I156" s="213"/>
      <c r="J156" s="214"/>
      <c r="K156" s="215"/>
      <c r="L156" s="215"/>
      <c r="M156" s="215"/>
      <c r="N156" s="215"/>
      <c r="O156" s="215"/>
      <c r="P156" s="216"/>
      <c r="Q156" s="217"/>
      <c r="R156" s="218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65"/>
      <c r="AJ156" s="222"/>
      <c r="AK156" s="222"/>
      <c r="BK156" s="222"/>
      <c r="BL156" s="222"/>
      <c r="BM156" s="222"/>
      <c r="BN156" s="222"/>
      <c r="BO156" s="222"/>
      <c r="BP156" s="222"/>
      <c r="BQ156" s="222"/>
      <c r="BR156" s="222"/>
      <c r="BS156" s="222"/>
    </row>
    <row r="157" ht="15.0" customHeight="1">
      <c r="A157" s="210"/>
      <c r="C157" s="212"/>
      <c r="D157" s="212"/>
      <c r="E157" s="212"/>
      <c r="F157" s="212"/>
      <c r="G157" s="212"/>
      <c r="H157" s="213"/>
      <c r="I157" s="213"/>
      <c r="J157" s="214"/>
      <c r="K157" s="215"/>
      <c r="L157" s="215"/>
      <c r="M157" s="215"/>
      <c r="N157" s="215"/>
      <c r="O157" s="215"/>
      <c r="P157" s="216"/>
      <c r="Q157" s="217"/>
      <c r="R157" s="218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65"/>
      <c r="AJ157" s="222"/>
      <c r="AK157" s="222"/>
      <c r="BK157" s="222"/>
      <c r="BL157" s="222"/>
      <c r="BM157" s="222"/>
      <c r="BN157" s="222"/>
      <c r="BO157" s="222"/>
      <c r="BP157" s="222"/>
      <c r="BQ157" s="222"/>
      <c r="BR157" s="222"/>
      <c r="BS157" s="222"/>
    </row>
    <row r="158" ht="15.0" customHeight="1">
      <c r="A158" s="210"/>
      <c r="C158" s="212"/>
      <c r="D158" s="212"/>
      <c r="E158" s="212"/>
      <c r="F158" s="212"/>
      <c r="G158" s="212"/>
      <c r="H158" s="213"/>
      <c r="I158" s="213"/>
      <c r="J158" s="214"/>
      <c r="K158" s="215"/>
      <c r="L158" s="215"/>
      <c r="M158" s="215"/>
      <c r="N158" s="215"/>
      <c r="O158" s="215"/>
      <c r="P158" s="216"/>
      <c r="Q158" s="217"/>
      <c r="R158" s="218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65"/>
      <c r="AJ158" s="222"/>
      <c r="AK158" s="222"/>
      <c r="BK158" s="222"/>
      <c r="BL158" s="222"/>
      <c r="BM158" s="222"/>
      <c r="BN158" s="222"/>
      <c r="BO158" s="222"/>
      <c r="BP158" s="222"/>
      <c r="BQ158" s="222"/>
      <c r="BR158" s="222"/>
      <c r="BS158" s="222"/>
    </row>
    <row r="159" ht="15.0" customHeight="1">
      <c r="A159" s="210"/>
      <c r="C159" s="212"/>
      <c r="D159" s="212"/>
      <c r="E159" s="212"/>
      <c r="F159" s="212"/>
      <c r="G159" s="212"/>
      <c r="H159" s="213"/>
      <c r="I159" s="213"/>
      <c r="J159" s="214"/>
      <c r="K159" s="215"/>
      <c r="L159" s="215"/>
      <c r="M159" s="215"/>
      <c r="N159" s="215"/>
      <c r="O159" s="215"/>
      <c r="P159" s="216"/>
      <c r="Q159" s="217"/>
      <c r="R159" s="218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65"/>
      <c r="AJ159" s="222"/>
      <c r="AK159" s="222"/>
      <c r="BK159" s="222"/>
      <c r="BL159" s="222"/>
      <c r="BM159" s="222"/>
      <c r="BN159" s="222"/>
      <c r="BO159" s="222"/>
      <c r="BP159" s="222"/>
      <c r="BQ159" s="222"/>
      <c r="BR159" s="222"/>
      <c r="BS159" s="222"/>
    </row>
    <row r="160" ht="15.0" customHeight="1">
      <c r="A160" s="210"/>
      <c r="C160" s="212"/>
      <c r="D160" s="212"/>
      <c r="E160" s="212"/>
      <c r="F160" s="212"/>
      <c r="G160" s="212"/>
      <c r="H160" s="213"/>
      <c r="I160" s="213"/>
      <c r="J160" s="214"/>
      <c r="K160" s="215"/>
      <c r="L160" s="215"/>
      <c r="M160" s="215"/>
      <c r="N160" s="215"/>
      <c r="O160" s="215"/>
      <c r="P160" s="216"/>
      <c r="Q160" s="217"/>
      <c r="R160" s="218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65"/>
      <c r="AJ160" s="222"/>
      <c r="AK160" s="222"/>
      <c r="BK160" s="222"/>
      <c r="BL160" s="222"/>
      <c r="BM160" s="222"/>
      <c r="BN160" s="222"/>
      <c r="BO160" s="222"/>
      <c r="BP160" s="222"/>
      <c r="BQ160" s="222"/>
      <c r="BR160" s="222"/>
      <c r="BS160" s="222"/>
    </row>
    <row r="161" ht="15.0" customHeight="1">
      <c r="A161" s="210"/>
      <c r="C161" s="212"/>
      <c r="D161" s="212"/>
      <c r="E161" s="212"/>
      <c r="F161" s="212"/>
      <c r="G161" s="212"/>
      <c r="H161" s="213"/>
      <c r="I161" s="213"/>
      <c r="J161" s="214"/>
      <c r="K161" s="215"/>
      <c r="L161" s="215"/>
      <c r="M161" s="215"/>
      <c r="N161" s="215"/>
      <c r="O161" s="215"/>
      <c r="P161" s="216"/>
      <c r="Q161" s="217"/>
      <c r="R161" s="218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65"/>
      <c r="AJ161" s="222"/>
      <c r="AK161" s="222"/>
      <c r="BK161" s="222"/>
      <c r="BL161" s="222"/>
      <c r="BM161" s="222"/>
      <c r="BN161" s="222"/>
      <c r="BO161" s="222"/>
      <c r="BP161" s="222"/>
      <c r="BQ161" s="222"/>
      <c r="BR161" s="222"/>
      <c r="BS161" s="222"/>
    </row>
    <row r="162" ht="15.0" customHeight="1">
      <c r="A162" s="210"/>
      <c r="C162" s="212"/>
      <c r="D162" s="212"/>
      <c r="E162" s="212"/>
      <c r="F162" s="212"/>
      <c r="G162" s="212"/>
      <c r="H162" s="213"/>
      <c r="I162" s="213"/>
      <c r="J162" s="214"/>
      <c r="K162" s="215"/>
      <c r="L162" s="215"/>
      <c r="M162" s="215"/>
      <c r="N162" s="215"/>
      <c r="O162" s="215"/>
      <c r="P162" s="216"/>
      <c r="Q162" s="217"/>
      <c r="R162" s="218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65"/>
      <c r="AJ162" s="222"/>
      <c r="AK162" s="222"/>
      <c r="BK162" s="222"/>
      <c r="BL162" s="222"/>
      <c r="BM162" s="222"/>
      <c r="BN162" s="222"/>
      <c r="BO162" s="222"/>
      <c r="BP162" s="222"/>
      <c r="BQ162" s="222"/>
      <c r="BR162" s="222"/>
      <c r="BS162" s="222"/>
    </row>
    <row r="163" ht="15.0" customHeight="1">
      <c r="A163" s="210"/>
      <c r="C163" s="212"/>
      <c r="D163" s="212"/>
      <c r="E163" s="212"/>
      <c r="F163" s="212"/>
      <c r="G163" s="212"/>
      <c r="H163" s="213"/>
      <c r="I163" s="213"/>
      <c r="J163" s="214"/>
      <c r="K163" s="215"/>
      <c r="L163" s="215"/>
      <c r="M163" s="215"/>
      <c r="N163" s="215"/>
      <c r="O163" s="215"/>
      <c r="P163" s="216"/>
      <c r="Q163" s="217"/>
      <c r="R163" s="218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65"/>
      <c r="AJ163" s="222"/>
      <c r="AK163" s="222"/>
      <c r="BK163" s="222"/>
      <c r="BL163" s="222"/>
      <c r="BM163" s="222"/>
      <c r="BN163" s="222"/>
      <c r="BO163" s="222"/>
      <c r="BP163" s="222"/>
      <c r="BQ163" s="222"/>
      <c r="BR163" s="222"/>
      <c r="BS163" s="222"/>
    </row>
    <row r="164" ht="15.0" customHeight="1">
      <c r="A164" s="210"/>
      <c r="C164" s="212"/>
      <c r="D164" s="212"/>
      <c r="E164" s="212"/>
      <c r="F164" s="212"/>
      <c r="G164" s="212"/>
      <c r="H164" s="213"/>
      <c r="I164" s="213"/>
      <c r="J164" s="214"/>
      <c r="K164" s="215"/>
      <c r="L164" s="215"/>
      <c r="M164" s="215"/>
      <c r="N164" s="215"/>
      <c r="O164" s="215"/>
      <c r="P164" s="216"/>
      <c r="Q164" s="217"/>
      <c r="R164" s="218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65"/>
      <c r="AJ164" s="222"/>
      <c r="AK164" s="222"/>
      <c r="BK164" s="222"/>
      <c r="BL164" s="222"/>
      <c r="BM164" s="222"/>
      <c r="BN164" s="222"/>
      <c r="BO164" s="222"/>
      <c r="BP164" s="222"/>
      <c r="BQ164" s="222"/>
      <c r="BR164" s="222"/>
      <c r="BS164" s="222"/>
    </row>
    <row r="165" ht="15.0" customHeight="1">
      <c r="A165" s="210"/>
      <c r="C165" s="212"/>
      <c r="D165" s="212"/>
      <c r="E165" s="212"/>
      <c r="F165" s="212"/>
      <c r="G165" s="212"/>
      <c r="H165" s="213"/>
      <c r="I165" s="213"/>
      <c r="J165" s="214"/>
      <c r="K165" s="215"/>
      <c r="L165" s="215"/>
      <c r="M165" s="215"/>
      <c r="N165" s="215"/>
      <c r="O165" s="215"/>
      <c r="P165" s="216"/>
      <c r="Q165" s="217"/>
      <c r="R165" s="218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65"/>
      <c r="AJ165" s="222"/>
      <c r="AK165" s="222"/>
      <c r="BK165" s="222"/>
      <c r="BL165" s="222"/>
      <c r="BM165" s="222"/>
      <c r="BN165" s="222"/>
      <c r="BO165" s="222"/>
      <c r="BP165" s="222"/>
      <c r="BQ165" s="222"/>
      <c r="BR165" s="222"/>
      <c r="BS165" s="222"/>
    </row>
    <row r="166" ht="15.0" customHeight="1">
      <c r="A166" s="210"/>
      <c r="C166" s="212"/>
      <c r="D166" s="212"/>
      <c r="E166" s="212"/>
      <c r="F166" s="212"/>
      <c r="G166" s="212"/>
      <c r="H166" s="213"/>
      <c r="I166" s="213"/>
      <c r="J166" s="214"/>
      <c r="K166" s="215"/>
      <c r="L166" s="215"/>
      <c r="M166" s="215"/>
      <c r="N166" s="215"/>
      <c r="O166" s="215"/>
      <c r="P166" s="216"/>
      <c r="Q166" s="217"/>
      <c r="R166" s="218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65"/>
      <c r="AJ166" s="222"/>
      <c r="AK166" s="222"/>
      <c r="BK166" s="222"/>
      <c r="BL166" s="222"/>
      <c r="BM166" s="222"/>
      <c r="BN166" s="222"/>
      <c r="BO166" s="222"/>
      <c r="BP166" s="222"/>
      <c r="BQ166" s="222"/>
      <c r="BR166" s="222"/>
      <c r="BS166" s="222"/>
    </row>
    <row r="167" ht="15.0" customHeight="1">
      <c r="A167" s="210"/>
      <c r="C167" s="212"/>
      <c r="D167" s="212"/>
      <c r="E167" s="212"/>
      <c r="F167" s="212"/>
      <c r="G167" s="212"/>
      <c r="H167" s="213"/>
      <c r="I167" s="213"/>
      <c r="J167" s="214"/>
      <c r="K167" s="215"/>
      <c r="L167" s="215"/>
      <c r="M167" s="215"/>
      <c r="N167" s="215"/>
      <c r="O167" s="215"/>
      <c r="P167" s="216"/>
      <c r="Q167" s="217"/>
      <c r="R167" s="218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65"/>
      <c r="AJ167" s="222"/>
      <c r="AK167" s="222"/>
      <c r="BK167" s="222"/>
      <c r="BL167" s="222"/>
      <c r="BM167" s="222"/>
      <c r="BN167" s="222"/>
      <c r="BO167" s="222"/>
      <c r="BP167" s="222"/>
      <c r="BQ167" s="222"/>
      <c r="BR167" s="222"/>
      <c r="BS167" s="222"/>
    </row>
    <row r="168" ht="15.0" customHeight="1">
      <c r="A168" s="210"/>
      <c r="C168" s="212"/>
      <c r="D168" s="212"/>
      <c r="E168" s="212"/>
      <c r="F168" s="212"/>
      <c r="G168" s="212"/>
      <c r="H168" s="213"/>
      <c r="I168" s="213"/>
      <c r="J168" s="214"/>
      <c r="K168" s="215"/>
      <c r="L168" s="215"/>
      <c r="M168" s="215"/>
      <c r="N168" s="215"/>
      <c r="O168" s="215"/>
      <c r="P168" s="216"/>
      <c r="Q168" s="217"/>
      <c r="R168" s="218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65"/>
      <c r="AJ168" s="222"/>
      <c r="AK168" s="222"/>
      <c r="BK168" s="222"/>
      <c r="BL168" s="222"/>
      <c r="BM168" s="222"/>
      <c r="BN168" s="222"/>
      <c r="BO168" s="222"/>
      <c r="BP168" s="222"/>
      <c r="BQ168" s="222"/>
      <c r="BR168" s="222"/>
      <c r="BS168" s="222"/>
    </row>
    <row r="169" ht="15.0" customHeight="1">
      <c r="A169" s="210"/>
      <c r="C169" s="212"/>
      <c r="D169" s="212"/>
      <c r="E169" s="212"/>
      <c r="F169" s="212"/>
      <c r="G169" s="212"/>
      <c r="H169" s="213"/>
      <c r="I169" s="213"/>
      <c r="J169" s="214"/>
      <c r="K169" s="215"/>
      <c r="L169" s="215"/>
      <c r="M169" s="215"/>
      <c r="N169" s="215"/>
      <c r="O169" s="215"/>
      <c r="P169" s="216"/>
      <c r="Q169" s="217"/>
      <c r="R169" s="218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65"/>
      <c r="AJ169" s="222"/>
      <c r="AK169" s="222"/>
      <c r="BK169" s="222"/>
      <c r="BL169" s="222"/>
      <c r="BM169" s="222"/>
      <c r="BN169" s="222"/>
      <c r="BO169" s="222"/>
      <c r="BP169" s="222"/>
      <c r="BQ169" s="222"/>
      <c r="BR169" s="222"/>
      <c r="BS169" s="222"/>
    </row>
    <row r="170" ht="15.0" customHeight="1">
      <c r="A170" s="210"/>
      <c r="C170" s="212"/>
      <c r="D170" s="212"/>
      <c r="E170" s="212"/>
      <c r="F170" s="212"/>
      <c r="G170" s="212"/>
      <c r="H170" s="213"/>
      <c r="I170" s="213"/>
      <c r="J170" s="214"/>
      <c r="K170" s="215"/>
      <c r="L170" s="215"/>
      <c r="M170" s="215"/>
      <c r="N170" s="215"/>
      <c r="O170" s="215"/>
      <c r="P170" s="216"/>
      <c r="Q170" s="217"/>
      <c r="R170" s="218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65"/>
      <c r="AJ170" s="222"/>
      <c r="AK170" s="222"/>
      <c r="BK170" s="222"/>
      <c r="BL170" s="222"/>
      <c r="BM170" s="222"/>
      <c r="BN170" s="222"/>
      <c r="BO170" s="222"/>
      <c r="BP170" s="222"/>
      <c r="BQ170" s="222"/>
      <c r="BR170" s="222"/>
      <c r="BS170" s="222"/>
    </row>
    <row r="171" ht="15.0" customHeight="1">
      <c r="A171" s="210"/>
      <c r="C171" s="212"/>
      <c r="D171" s="212"/>
      <c r="E171" s="212"/>
      <c r="F171" s="212"/>
      <c r="G171" s="212"/>
      <c r="H171" s="213"/>
      <c r="I171" s="213"/>
      <c r="J171" s="214"/>
      <c r="K171" s="215"/>
      <c r="L171" s="215"/>
      <c r="M171" s="215"/>
      <c r="N171" s="215"/>
      <c r="O171" s="215"/>
      <c r="P171" s="216"/>
      <c r="Q171" s="217"/>
      <c r="R171" s="218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65"/>
      <c r="AJ171" s="222"/>
      <c r="AK171" s="222"/>
      <c r="BK171" s="222"/>
      <c r="BL171" s="222"/>
      <c r="BM171" s="222"/>
      <c r="BN171" s="222"/>
      <c r="BO171" s="222"/>
      <c r="BP171" s="222"/>
      <c r="BQ171" s="222"/>
      <c r="BR171" s="222"/>
      <c r="BS171" s="222"/>
    </row>
    <row r="172" ht="15.0" customHeight="1">
      <c r="A172" s="210"/>
      <c r="C172" s="212"/>
      <c r="D172" s="212"/>
      <c r="E172" s="212"/>
      <c r="F172" s="212"/>
      <c r="G172" s="212"/>
      <c r="H172" s="213"/>
      <c r="I172" s="213"/>
      <c r="J172" s="214"/>
      <c r="K172" s="215"/>
      <c r="L172" s="215"/>
      <c r="M172" s="215"/>
      <c r="N172" s="215"/>
      <c r="O172" s="215"/>
      <c r="P172" s="216"/>
      <c r="Q172" s="217"/>
      <c r="R172" s="218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65"/>
      <c r="AJ172" s="222"/>
      <c r="AK172" s="222"/>
      <c r="BK172" s="222"/>
      <c r="BL172" s="222"/>
      <c r="BM172" s="222"/>
      <c r="BN172" s="222"/>
      <c r="BO172" s="222"/>
      <c r="BP172" s="222"/>
      <c r="BQ172" s="222"/>
      <c r="BR172" s="222"/>
      <c r="BS172" s="222"/>
    </row>
    <row r="173" ht="15.0" customHeight="1">
      <c r="A173" s="210"/>
      <c r="C173" s="212"/>
      <c r="D173" s="212"/>
      <c r="E173" s="212"/>
      <c r="F173" s="212"/>
      <c r="G173" s="212"/>
      <c r="H173" s="213"/>
      <c r="I173" s="213"/>
      <c r="J173" s="214"/>
      <c r="K173" s="215"/>
      <c r="L173" s="215"/>
      <c r="M173" s="215"/>
      <c r="N173" s="215"/>
      <c r="O173" s="215"/>
      <c r="P173" s="216"/>
      <c r="Q173" s="217"/>
      <c r="R173" s="218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65"/>
      <c r="AJ173" s="222"/>
      <c r="AK173" s="222"/>
      <c r="BK173" s="222"/>
      <c r="BL173" s="222"/>
      <c r="BM173" s="222"/>
      <c r="BN173" s="222"/>
      <c r="BO173" s="222"/>
      <c r="BP173" s="222"/>
      <c r="BQ173" s="222"/>
      <c r="BR173" s="222"/>
      <c r="BS173" s="222"/>
    </row>
    <row r="174" ht="15.0" customHeight="1">
      <c r="A174" s="210"/>
      <c r="C174" s="212"/>
      <c r="D174" s="212"/>
      <c r="E174" s="212"/>
      <c r="F174" s="212"/>
      <c r="G174" s="212"/>
      <c r="H174" s="213"/>
      <c r="I174" s="213"/>
      <c r="J174" s="214"/>
      <c r="K174" s="215"/>
      <c r="L174" s="215"/>
      <c r="M174" s="215"/>
      <c r="N174" s="215"/>
      <c r="O174" s="215"/>
      <c r="P174" s="216"/>
      <c r="Q174" s="217"/>
      <c r="R174" s="218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65"/>
      <c r="AJ174" s="222"/>
      <c r="AK174" s="222"/>
      <c r="BK174" s="222"/>
      <c r="BL174" s="222"/>
      <c r="BM174" s="222"/>
      <c r="BN174" s="222"/>
      <c r="BO174" s="222"/>
      <c r="BP174" s="222"/>
      <c r="BQ174" s="222"/>
      <c r="BR174" s="222"/>
      <c r="BS174" s="222"/>
    </row>
    <row r="175" ht="15.0" customHeight="1">
      <c r="A175" s="210"/>
      <c r="C175" s="212"/>
      <c r="D175" s="212"/>
      <c r="E175" s="212"/>
      <c r="F175" s="212"/>
      <c r="G175" s="212"/>
      <c r="H175" s="213"/>
      <c r="I175" s="213"/>
      <c r="J175" s="214"/>
      <c r="K175" s="215"/>
      <c r="L175" s="215"/>
      <c r="M175" s="215"/>
      <c r="N175" s="215"/>
      <c r="O175" s="215"/>
      <c r="P175" s="216"/>
      <c r="Q175" s="217"/>
      <c r="R175" s="218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65"/>
      <c r="AJ175" s="222"/>
      <c r="AK175" s="222"/>
      <c r="BK175" s="222"/>
      <c r="BL175" s="222"/>
      <c r="BM175" s="222"/>
      <c r="BN175" s="222"/>
      <c r="BO175" s="222"/>
      <c r="BP175" s="222"/>
      <c r="BQ175" s="222"/>
      <c r="BR175" s="222"/>
      <c r="BS175" s="222"/>
    </row>
    <row r="176" ht="15.0" customHeight="1">
      <c r="A176" s="210"/>
      <c r="C176" s="212"/>
      <c r="D176" s="212"/>
      <c r="E176" s="212"/>
      <c r="F176" s="212"/>
      <c r="G176" s="212"/>
      <c r="H176" s="213"/>
      <c r="I176" s="213"/>
      <c r="J176" s="214"/>
      <c r="K176" s="215"/>
      <c r="L176" s="215"/>
      <c r="M176" s="215"/>
      <c r="N176" s="215"/>
      <c r="O176" s="215"/>
      <c r="P176" s="216"/>
      <c r="Q176" s="217"/>
      <c r="R176" s="218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65"/>
      <c r="AJ176" s="222"/>
      <c r="AK176" s="222"/>
      <c r="BK176" s="222"/>
      <c r="BL176" s="222"/>
      <c r="BM176" s="222"/>
      <c r="BN176" s="222"/>
      <c r="BO176" s="222"/>
      <c r="BP176" s="222"/>
      <c r="BQ176" s="222"/>
      <c r="BR176" s="222"/>
      <c r="BS176" s="222"/>
    </row>
    <row r="177" ht="15.0" customHeight="1">
      <c r="A177" s="210"/>
      <c r="C177" s="212"/>
      <c r="D177" s="212"/>
      <c r="E177" s="212"/>
      <c r="F177" s="212"/>
      <c r="G177" s="212"/>
      <c r="H177" s="213"/>
      <c r="I177" s="213"/>
      <c r="J177" s="214"/>
      <c r="K177" s="215"/>
      <c r="L177" s="215"/>
      <c r="M177" s="215"/>
      <c r="N177" s="215"/>
      <c r="O177" s="215"/>
      <c r="P177" s="216"/>
      <c r="Q177" s="217"/>
      <c r="R177" s="218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65"/>
      <c r="AJ177" s="222"/>
      <c r="AK177" s="222"/>
      <c r="BK177" s="222"/>
      <c r="BL177" s="222"/>
      <c r="BM177" s="222"/>
      <c r="BN177" s="222"/>
      <c r="BO177" s="222"/>
      <c r="BP177" s="222"/>
      <c r="BQ177" s="222"/>
      <c r="BR177" s="222"/>
      <c r="BS177" s="222"/>
    </row>
    <row r="178" ht="15.0" customHeight="1">
      <c r="A178" s="210"/>
      <c r="C178" s="212"/>
      <c r="D178" s="212"/>
      <c r="E178" s="212"/>
      <c r="F178" s="212"/>
      <c r="G178" s="212"/>
      <c r="H178" s="213"/>
      <c r="I178" s="213"/>
      <c r="J178" s="214"/>
      <c r="K178" s="215"/>
      <c r="L178" s="215"/>
      <c r="M178" s="215"/>
      <c r="N178" s="215"/>
      <c r="O178" s="215"/>
      <c r="P178" s="216"/>
      <c r="Q178" s="217"/>
      <c r="R178" s="218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65"/>
      <c r="AJ178" s="222"/>
      <c r="AK178" s="222"/>
      <c r="BK178" s="222"/>
      <c r="BL178" s="222"/>
      <c r="BM178" s="222"/>
      <c r="BN178" s="222"/>
      <c r="BO178" s="222"/>
      <c r="BP178" s="222"/>
      <c r="BQ178" s="222"/>
      <c r="BR178" s="222"/>
      <c r="BS178" s="222"/>
    </row>
    <row r="179" ht="15.0" customHeight="1">
      <c r="A179" s="210"/>
      <c r="C179" s="212"/>
      <c r="D179" s="212"/>
      <c r="E179" s="212"/>
      <c r="F179" s="212"/>
      <c r="G179" s="212"/>
      <c r="H179" s="213"/>
      <c r="I179" s="213"/>
      <c r="J179" s="214"/>
      <c r="K179" s="215"/>
      <c r="L179" s="215"/>
      <c r="M179" s="215"/>
      <c r="N179" s="215"/>
      <c r="O179" s="215"/>
      <c r="P179" s="216"/>
      <c r="Q179" s="217"/>
      <c r="R179" s="218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65"/>
      <c r="AJ179" s="222"/>
      <c r="AK179" s="222"/>
      <c r="BK179" s="222"/>
      <c r="BL179" s="222"/>
      <c r="BM179" s="222"/>
      <c r="BN179" s="222"/>
      <c r="BO179" s="222"/>
      <c r="BP179" s="222"/>
      <c r="BQ179" s="222"/>
      <c r="BR179" s="222"/>
      <c r="BS179" s="222"/>
    </row>
    <row r="180" ht="15.0" customHeight="1">
      <c r="A180" s="210"/>
      <c r="C180" s="212"/>
      <c r="D180" s="212"/>
      <c r="E180" s="212"/>
      <c r="F180" s="212"/>
      <c r="G180" s="212"/>
      <c r="H180" s="213"/>
      <c r="I180" s="213"/>
      <c r="J180" s="214"/>
      <c r="K180" s="215"/>
      <c r="L180" s="215"/>
      <c r="M180" s="215"/>
      <c r="N180" s="215"/>
      <c r="O180" s="215"/>
      <c r="P180" s="216"/>
      <c r="Q180" s="217"/>
      <c r="R180" s="218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65"/>
      <c r="AJ180" s="222"/>
      <c r="AK180" s="222"/>
      <c r="BK180" s="222"/>
      <c r="BL180" s="222"/>
      <c r="BM180" s="222"/>
      <c r="BN180" s="222"/>
      <c r="BO180" s="222"/>
      <c r="BP180" s="222"/>
      <c r="BQ180" s="222"/>
      <c r="BR180" s="222"/>
      <c r="BS180" s="222"/>
    </row>
    <row r="181" ht="15.0" customHeight="1">
      <c r="A181" s="210"/>
      <c r="C181" s="212"/>
      <c r="D181" s="212"/>
      <c r="E181" s="212"/>
      <c r="F181" s="212"/>
      <c r="G181" s="212"/>
      <c r="H181" s="213"/>
      <c r="I181" s="213"/>
      <c r="J181" s="214"/>
      <c r="K181" s="215"/>
      <c r="L181" s="215"/>
      <c r="M181" s="215"/>
      <c r="N181" s="215"/>
      <c r="O181" s="215"/>
      <c r="P181" s="216"/>
      <c r="Q181" s="217"/>
      <c r="R181" s="218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65"/>
      <c r="AJ181" s="222"/>
      <c r="AK181" s="222"/>
      <c r="BK181" s="222"/>
      <c r="BL181" s="222"/>
      <c r="BM181" s="222"/>
      <c r="BN181" s="222"/>
      <c r="BO181" s="222"/>
      <c r="BP181" s="222"/>
      <c r="BQ181" s="222"/>
      <c r="BR181" s="222"/>
      <c r="BS181" s="222"/>
    </row>
    <row r="182" ht="15.0" customHeight="1">
      <c r="A182" s="210"/>
      <c r="C182" s="212"/>
      <c r="D182" s="212"/>
      <c r="E182" s="212"/>
      <c r="F182" s="212"/>
      <c r="G182" s="212"/>
      <c r="H182" s="213"/>
      <c r="I182" s="213"/>
      <c r="J182" s="214"/>
      <c r="K182" s="215"/>
      <c r="L182" s="215"/>
      <c r="M182" s="215"/>
      <c r="N182" s="215"/>
      <c r="O182" s="215"/>
      <c r="P182" s="216"/>
      <c r="Q182" s="217"/>
      <c r="R182" s="218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65"/>
      <c r="AJ182" s="222"/>
      <c r="AK182" s="222"/>
      <c r="BK182" s="222"/>
      <c r="BL182" s="222"/>
      <c r="BM182" s="222"/>
      <c r="BN182" s="222"/>
      <c r="BO182" s="222"/>
      <c r="BP182" s="222"/>
      <c r="BQ182" s="222"/>
      <c r="BR182" s="222"/>
      <c r="BS182" s="222"/>
    </row>
    <row r="183" ht="15.0" customHeight="1">
      <c r="A183" s="210"/>
      <c r="C183" s="212"/>
      <c r="D183" s="212"/>
      <c r="E183" s="212"/>
      <c r="F183" s="212"/>
      <c r="G183" s="212"/>
      <c r="H183" s="213"/>
      <c r="I183" s="213"/>
      <c r="J183" s="214"/>
      <c r="K183" s="215"/>
      <c r="L183" s="215"/>
      <c r="M183" s="215"/>
      <c r="N183" s="215"/>
      <c r="O183" s="215"/>
      <c r="P183" s="216"/>
      <c r="Q183" s="217"/>
      <c r="R183" s="218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65"/>
      <c r="AJ183" s="222"/>
      <c r="AK183" s="222"/>
      <c r="BK183" s="222"/>
      <c r="BL183" s="222"/>
      <c r="BM183" s="222"/>
      <c r="BN183" s="222"/>
      <c r="BO183" s="222"/>
      <c r="BP183" s="222"/>
      <c r="BQ183" s="222"/>
      <c r="BR183" s="222"/>
      <c r="BS183" s="222"/>
    </row>
    <row r="184" ht="15.0" customHeight="1">
      <c r="A184" s="210"/>
      <c r="C184" s="212"/>
      <c r="D184" s="212"/>
      <c r="E184" s="212"/>
      <c r="F184" s="212"/>
      <c r="G184" s="212"/>
      <c r="H184" s="213"/>
      <c r="I184" s="213"/>
      <c r="J184" s="214"/>
      <c r="K184" s="215"/>
      <c r="L184" s="215"/>
      <c r="M184" s="215"/>
      <c r="N184" s="215"/>
      <c r="O184" s="215"/>
      <c r="P184" s="216"/>
      <c r="Q184" s="217"/>
      <c r="R184" s="218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65"/>
      <c r="AJ184" s="222"/>
      <c r="AK184" s="222"/>
      <c r="BK184" s="222"/>
      <c r="BL184" s="222"/>
      <c r="BM184" s="222"/>
      <c r="BN184" s="222"/>
      <c r="BO184" s="222"/>
      <c r="BP184" s="222"/>
      <c r="BQ184" s="222"/>
      <c r="BR184" s="222"/>
      <c r="BS184" s="222"/>
    </row>
    <row r="185" ht="15.0" customHeight="1">
      <c r="A185" s="210"/>
      <c r="C185" s="212"/>
      <c r="D185" s="212"/>
      <c r="E185" s="212"/>
      <c r="F185" s="212"/>
      <c r="G185" s="212"/>
      <c r="H185" s="213"/>
      <c r="I185" s="213"/>
      <c r="J185" s="214"/>
      <c r="K185" s="215"/>
      <c r="L185" s="215"/>
      <c r="M185" s="215"/>
      <c r="N185" s="215"/>
      <c r="O185" s="215"/>
      <c r="P185" s="216"/>
      <c r="Q185" s="217"/>
      <c r="R185" s="218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65"/>
      <c r="AJ185" s="222"/>
      <c r="AK185" s="222"/>
      <c r="BK185" s="222"/>
      <c r="BL185" s="222"/>
      <c r="BM185" s="222"/>
      <c r="BN185" s="222"/>
      <c r="BO185" s="222"/>
      <c r="BP185" s="222"/>
      <c r="BQ185" s="222"/>
      <c r="BR185" s="222"/>
      <c r="BS185" s="222"/>
    </row>
    <row r="186" ht="15.0" customHeight="1">
      <c r="A186" s="210"/>
      <c r="C186" s="212"/>
      <c r="D186" s="212"/>
      <c r="E186" s="212"/>
      <c r="F186" s="212"/>
      <c r="G186" s="212"/>
      <c r="H186" s="213"/>
      <c r="I186" s="213"/>
      <c r="J186" s="214"/>
      <c r="K186" s="215"/>
      <c r="L186" s="215"/>
      <c r="M186" s="215"/>
      <c r="N186" s="215"/>
      <c r="O186" s="215"/>
      <c r="P186" s="216"/>
      <c r="Q186" s="217"/>
      <c r="R186" s="218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65"/>
      <c r="AJ186" s="222"/>
      <c r="AK186" s="222"/>
      <c r="BK186" s="222"/>
      <c r="BL186" s="222"/>
      <c r="BM186" s="222"/>
      <c r="BN186" s="222"/>
      <c r="BO186" s="222"/>
      <c r="BP186" s="222"/>
      <c r="BQ186" s="222"/>
      <c r="BR186" s="222"/>
      <c r="BS186" s="222"/>
    </row>
    <row r="187" ht="15.0" customHeight="1">
      <c r="A187" s="210"/>
      <c r="C187" s="212"/>
      <c r="D187" s="212"/>
      <c r="E187" s="212"/>
      <c r="F187" s="212"/>
      <c r="G187" s="212"/>
      <c r="H187" s="213"/>
      <c r="I187" s="213"/>
      <c r="J187" s="214"/>
      <c r="K187" s="215"/>
      <c r="L187" s="215"/>
      <c r="M187" s="215"/>
      <c r="N187" s="215"/>
      <c r="O187" s="215"/>
      <c r="P187" s="216"/>
      <c r="Q187" s="217"/>
      <c r="R187" s="218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65"/>
      <c r="AJ187" s="222"/>
      <c r="AK187" s="222"/>
      <c r="BK187" s="222"/>
      <c r="BL187" s="222"/>
      <c r="BM187" s="222"/>
      <c r="BN187" s="222"/>
      <c r="BO187" s="222"/>
      <c r="BP187" s="222"/>
      <c r="BQ187" s="222"/>
      <c r="BR187" s="222"/>
      <c r="BS187" s="222"/>
    </row>
    <row r="188" ht="15.0" customHeight="1">
      <c r="A188" s="210"/>
      <c r="C188" s="212"/>
      <c r="D188" s="212"/>
      <c r="E188" s="212"/>
      <c r="F188" s="212"/>
      <c r="G188" s="212"/>
      <c r="H188" s="213"/>
      <c r="I188" s="213"/>
      <c r="J188" s="214"/>
      <c r="K188" s="215"/>
      <c r="L188" s="215"/>
      <c r="M188" s="215"/>
      <c r="N188" s="215"/>
      <c r="O188" s="215"/>
      <c r="P188" s="216"/>
      <c r="Q188" s="217"/>
      <c r="R188" s="218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65"/>
      <c r="AJ188" s="222"/>
      <c r="AK188" s="222"/>
      <c r="BK188" s="222"/>
      <c r="BL188" s="222"/>
      <c r="BM188" s="222"/>
      <c r="BN188" s="222"/>
      <c r="BO188" s="222"/>
      <c r="BP188" s="222"/>
      <c r="BQ188" s="222"/>
      <c r="BR188" s="222"/>
      <c r="BS188" s="222"/>
    </row>
    <row r="189" ht="15.0" customHeight="1">
      <c r="A189" s="210"/>
      <c r="C189" s="212"/>
      <c r="D189" s="212"/>
      <c r="E189" s="212"/>
      <c r="F189" s="212"/>
      <c r="G189" s="212"/>
      <c r="H189" s="213"/>
      <c r="I189" s="213"/>
      <c r="J189" s="214"/>
      <c r="K189" s="215"/>
      <c r="L189" s="215"/>
      <c r="M189" s="215"/>
      <c r="N189" s="215"/>
      <c r="O189" s="215"/>
      <c r="P189" s="216"/>
      <c r="Q189" s="217"/>
      <c r="R189" s="218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65"/>
      <c r="AJ189" s="222"/>
      <c r="AK189" s="222"/>
      <c r="BK189" s="222"/>
      <c r="BL189" s="222"/>
      <c r="BM189" s="222"/>
      <c r="BN189" s="222"/>
      <c r="BO189" s="222"/>
      <c r="BP189" s="222"/>
      <c r="BQ189" s="222"/>
      <c r="BR189" s="222"/>
      <c r="BS189" s="222"/>
    </row>
    <row r="190" ht="15.0" customHeight="1">
      <c r="A190" s="210"/>
      <c r="C190" s="212"/>
      <c r="D190" s="212"/>
      <c r="E190" s="212"/>
      <c r="F190" s="212"/>
      <c r="G190" s="212"/>
      <c r="H190" s="213"/>
      <c r="I190" s="213"/>
      <c r="J190" s="214"/>
      <c r="K190" s="215"/>
      <c r="L190" s="215"/>
      <c r="M190" s="215"/>
      <c r="N190" s="215"/>
      <c r="O190" s="215"/>
      <c r="P190" s="216"/>
      <c r="Q190" s="217"/>
      <c r="R190" s="218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65"/>
      <c r="AJ190" s="222"/>
      <c r="AK190" s="222"/>
      <c r="BK190" s="222"/>
      <c r="BL190" s="222"/>
      <c r="BM190" s="222"/>
      <c r="BN190" s="222"/>
      <c r="BO190" s="222"/>
      <c r="BP190" s="222"/>
      <c r="BQ190" s="222"/>
      <c r="BR190" s="222"/>
      <c r="BS190" s="222"/>
    </row>
    <row r="191" ht="15.0" customHeight="1">
      <c r="A191" s="210"/>
      <c r="C191" s="212"/>
      <c r="D191" s="212"/>
      <c r="E191" s="212"/>
      <c r="F191" s="212"/>
      <c r="G191" s="212"/>
      <c r="H191" s="213"/>
      <c r="I191" s="213"/>
      <c r="J191" s="214"/>
      <c r="K191" s="215"/>
      <c r="L191" s="215"/>
      <c r="M191" s="215"/>
      <c r="N191" s="215"/>
      <c r="O191" s="215"/>
      <c r="P191" s="216"/>
      <c r="Q191" s="217"/>
      <c r="R191" s="218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65"/>
      <c r="AJ191" s="222"/>
      <c r="AK191" s="222"/>
      <c r="BK191" s="222"/>
      <c r="BL191" s="222"/>
      <c r="BM191" s="222"/>
      <c r="BN191" s="222"/>
      <c r="BO191" s="222"/>
      <c r="BP191" s="222"/>
      <c r="BQ191" s="222"/>
      <c r="BR191" s="222"/>
      <c r="BS191" s="222"/>
    </row>
    <row r="192" ht="15.0" customHeight="1">
      <c r="A192" s="210"/>
      <c r="C192" s="212"/>
      <c r="D192" s="212"/>
      <c r="E192" s="212"/>
      <c r="F192" s="212"/>
      <c r="G192" s="212"/>
      <c r="H192" s="213"/>
      <c r="I192" s="213"/>
      <c r="J192" s="214"/>
      <c r="K192" s="215"/>
      <c r="L192" s="215"/>
      <c r="M192" s="215"/>
      <c r="N192" s="215"/>
      <c r="O192" s="215"/>
      <c r="P192" s="216"/>
      <c r="Q192" s="217"/>
      <c r="R192" s="218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65"/>
      <c r="AJ192" s="222"/>
      <c r="AK192" s="222"/>
      <c r="BK192" s="222"/>
      <c r="BL192" s="222"/>
      <c r="BM192" s="222"/>
      <c r="BN192" s="222"/>
      <c r="BO192" s="222"/>
      <c r="BP192" s="222"/>
      <c r="BQ192" s="222"/>
      <c r="BR192" s="222"/>
      <c r="BS192" s="222"/>
    </row>
    <row r="193" ht="15.0" customHeight="1">
      <c r="A193" s="210"/>
      <c r="C193" s="212"/>
      <c r="D193" s="212"/>
      <c r="E193" s="212"/>
      <c r="F193" s="212"/>
      <c r="G193" s="212"/>
      <c r="H193" s="213"/>
      <c r="I193" s="213"/>
      <c r="J193" s="214"/>
      <c r="K193" s="215"/>
      <c r="L193" s="215"/>
      <c r="M193" s="215"/>
      <c r="N193" s="215"/>
      <c r="O193" s="215"/>
      <c r="P193" s="216"/>
      <c r="Q193" s="217"/>
      <c r="R193" s="218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65"/>
      <c r="AJ193" s="222"/>
      <c r="AK193" s="222"/>
      <c r="BK193" s="222"/>
      <c r="BL193" s="222"/>
      <c r="BM193" s="222"/>
      <c r="BN193" s="222"/>
      <c r="BO193" s="222"/>
      <c r="BP193" s="222"/>
      <c r="BQ193" s="222"/>
      <c r="BR193" s="222"/>
      <c r="BS193" s="222"/>
    </row>
    <row r="194" ht="15.0" customHeight="1">
      <c r="A194" s="210"/>
      <c r="C194" s="212"/>
      <c r="D194" s="212"/>
      <c r="E194" s="212"/>
      <c r="F194" s="212"/>
      <c r="G194" s="212"/>
      <c r="H194" s="213"/>
      <c r="I194" s="213"/>
      <c r="J194" s="214"/>
      <c r="K194" s="215"/>
      <c r="L194" s="215"/>
      <c r="M194" s="215"/>
      <c r="N194" s="215"/>
      <c r="O194" s="215"/>
      <c r="P194" s="216"/>
      <c r="Q194" s="217"/>
      <c r="R194" s="218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65"/>
      <c r="AJ194" s="222"/>
      <c r="AK194" s="222"/>
      <c r="BK194" s="222"/>
      <c r="BL194" s="222"/>
      <c r="BM194" s="222"/>
      <c r="BN194" s="222"/>
      <c r="BO194" s="222"/>
      <c r="BP194" s="222"/>
      <c r="BQ194" s="222"/>
      <c r="BR194" s="222"/>
      <c r="BS194" s="222"/>
    </row>
    <row r="195" ht="15.0" customHeight="1">
      <c r="A195" s="210"/>
      <c r="C195" s="212"/>
      <c r="D195" s="212"/>
      <c r="E195" s="212"/>
      <c r="F195" s="212"/>
      <c r="G195" s="212"/>
      <c r="H195" s="213"/>
      <c r="I195" s="213"/>
      <c r="J195" s="214"/>
      <c r="K195" s="215"/>
      <c r="L195" s="215"/>
      <c r="M195" s="215"/>
      <c r="N195" s="215"/>
      <c r="O195" s="215"/>
      <c r="P195" s="216"/>
      <c r="Q195" s="217"/>
      <c r="R195" s="218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65"/>
      <c r="AJ195" s="222"/>
      <c r="AK195" s="222"/>
      <c r="BK195" s="222"/>
      <c r="BL195" s="222"/>
      <c r="BM195" s="222"/>
      <c r="BN195" s="222"/>
      <c r="BO195" s="222"/>
      <c r="BP195" s="222"/>
      <c r="BQ195" s="222"/>
      <c r="BR195" s="222"/>
      <c r="BS195" s="222"/>
    </row>
    <row r="196" ht="15.0" customHeight="1">
      <c r="A196" s="210"/>
      <c r="C196" s="212"/>
      <c r="D196" s="212"/>
      <c r="E196" s="212"/>
      <c r="F196" s="212"/>
      <c r="G196" s="212"/>
      <c r="H196" s="213"/>
      <c r="I196" s="213"/>
      <c r="J196" s="214"/>
      <c r="K196" s="215"/>
      <c r="L196" s="215"/>
      <c r="M196" s="215"/>
      <c r="N196" s="215"/>
      <c r="O196" s="215"/>
      <c r="P196" s="216"/>
      <c r="Q196" s="217"/>
      <c r="R196" s="218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65"/>
      <c r="AJ196" s="222"/>
      <c r="AK196" s="222"/>
      <c r="BK196" s="222"/>
      <c r="BL196" s="222"/>
      <c r="BM196" s="222"/>
      <c r="BN196" s="222"/>
      <c r="BO196" s="222"/>
      <c r="BP196" s="222"/>
      <c r="BQ196" s="222"/>
      <c r="BR196" s="222"/>
      <c r="BS196" s="222"/>
    </row>
    <row r="197" ht="15.0" customHeight="1">
      <c r="A197" s="210"/>
      <c r="C197" s="212"/>
      <c r="D197" s="212"/>
      <c r="E197" s="212"/>
      <c r="F197" s="212"/>
      <c r="G197" s="212"/>
      <c r="H197" s="213"/>
      <c r="I197" s="213"/>
      <c r="J197" s="214"/>
      <c r="K197" s="215"/>
      <c r="L197" s="215"/>
      <c r="M197" s="215"/>
      <c r="N197" s="215"/>
      <c r="O197" s="215"/>
      <c r="P197" s="216"/>
      <c r="Q197" s="217"/>
      <c r="R197" s="218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65"/>
      <c r="AJ197" s="222"/>
      <c r="AK197" s="222"/>
      <c r="BK197" s="222"/>
      <c r="BL197" s="222"/>
      <c r="BM197" s="222"/>
      <c r="BN197" s="222"/>
      <c r="BO197" s="222"/>
      <c r="BP197" s="222"/>
      <c r="BQ197" s="222"/>
      <c r="BR197" s="222"/>
      <c r="BS197" s="222"/>
    </row>
    <row r="198" ht="15.0" customHeight="1">
      <c r="A198" s="210"/>
      <c r="C198" s="212"/>
      <c r="D198" s="212"/>
      <c r="E198" s="212"/>
      <c r="F198" s="212"/>
      <c r="G198" s="212"/>
      <c r="H198" s="213"/>
      <c r="I198" s="213"/>
      <c r="J198" s="214"/>
      <c r="K198" s="215"/>
      <c r="L198" s="215"/>
      <c r="M198" s="215"/>
      <c r="N198" s="215"/>
      <c r="O198" s="215"/>
      <c r="P198" s="216"/>
      <c r="Q198" s="217"/>
      <c r="R198" s="218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65"/>
      <c r="AJ198" s="222"/>
      <c r="AK198" s="222"/>
      <c r="BK198" s="222"/>
      <c r="BL198" s="222"/>
      <c r="BM198" s="222"/>
      <c r="BN198" s="222"/>
      <c r="BO198" s="222"/>
      <c r="BP198" s="222"/>
      <c r="BQ198" s="222"/>
      <c r="BR198" s="222"/>
      <c r="BS198" s="222"/>
    </row>
    <row r="199" ht="15.0" customHeight="1">
      <c r="A199" s="210"/>
      <c r="C199" s="212"/>
      <c r="D199" s="212"/>
      <c r="E199" s="212"/>
      <c r="F199" s="212"/>
      <c r="G199" s="212"/>
      <c r="H199" s="213"/>
      <c r="I199" s="213"/>
      <c r="J199" s="214"/>
      <c r="K199" s="215"/>
      <c r="L199" s="215"/>
      <c r="M199" s="215"/>
      <c r="N199" s="215"/>
      <c r="O199" s="215"/>
      <c r="P199" s="216"/>
      <c r="Q199" s="217"/>
      <c r="R199" s="218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65"/>
      <c r="AJ199" s="222"/>
      <c r="AK199" s="222"/>
      <c r="BK199" s="222"/>
      <c r="BL199" s="222"/>
      <c r="BM199" s="222"/>
      <c r="BN199" s="222"/>
      <c r="BO199" s="222"/>
      <c r="BP199" s="222"/>
      <c r="BQ199" s="222"/>
      <c r="BR199" s="222"/>
      <c r="BS199" s="222"/>
    </row>
    <row r="200" ht="15.0" customHeight="1">
      <c r="A200" s="210"/>
      <c r="C200" s="212"/>
      <c r="D200" s="212"/>
      <c r="E200" s="212"/>
      <c r="F200" s="212"/>
      <c r="G200" s="212"/>
      <c r="H200" s="213"/>
      <c r="I200" s="213"/>
      <c r="J200" s="214"/>
      <c r="K200" s="215"/>
      <c r="L200" s="215"/>
      <c r="M200" s="215"/>
      <c r="N200" s="215"/>
      <c r="O200" s="215"/>
      <c r="P200" s="216"/>
      <c r="Q200" s="217"/>
      <c r="R200" s="218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65"/>
      <c r="AJ200" s="222"/>
      <c r="AK200" s="222"/>
      <c r="BK200" s="222"/>
      <c r="BL200" s="222"/>
      <c r="BM200" s="222"/>
      <c r="BN200" s="222"/>
      <c r="BO200" s="222"/>
      <c r="BP200" s="222"/>
      <c r="BQ200" s="222"/>
      <c r="BR200" s="222"/>
      <c r="BS200" s="222"/>
    </row>
    <row r="201" ht="15.0" customHeight="1">
      <c r="A201" s="210"/>
      <c r="C201" s="212"/>
      <c r="D201" s="212"/>
      <c r="E201" s="212"/>
      <c r="F201" s="212"/>
      <c r="G201" s="212"/>
      <c r="H201" s="213"/>
      <c r="I201" s="213"/>
      <c r="J201" s="214"/>
      <c r="K201" s="215"/>
      <c r="L201" s="215"/>
      <c r="M201" s="215"/>
      <c r="N201" s="215"/>
      <c r="O201" s="215"/>
      <c r="P201" s="216"/>
      <c r="Q201" s="217"/>
      <c r="R201" s="218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65"/>
      <c r="AJ201" s="222"/>
      <c r="AK201" s="222"/>
      <c r="BK201" s="222"/>
      <c r="BL201" s="222"/>
      <c r="BM201" s="222"/>
      <c r="BN201" s="222"/>
      <c r="BO201" s="222"/>
      <c r="BP201" s="222"/>
      <c r="BQ201" s="222"/>
      <c r="BR201" s="222"/>
      <c r="BS201" s="222"/>
    </row>
    <row r="202" ht="15.0" customHeight="1">
      <c r="A202" s="210"/>
      <c r="C202" s="212"/>
      <c r="D202" s="212"/>
      <c r="E202" s="212"/>
      <c r="F202" s="212"/>
      <c r="G202" s="212"/>
      <c r="H202" s="213"/>
      <c r="I202" s="213"/>
      <c r="J202" s="214"/>
      <c r="K202" s="215"/>
      <c r="L202" s="215"/>
      <c r="M202" s="215"/>
      <c r="N202" s="215"/>
      <c r="O202" s="215"/>
      <c r="P202" s="216"/>
      <c r="Q202" s="217"/>
      <c r="R202" s="218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65"/>
      <c r="AJ202" s="222"/>
      <c r="AK202" s="222"/>
      <c r="BK202" s="222"/>
      <c r="BL202" s="222"/>
      <c r="BM202" s="222"/>
      <c r="BN202" s="222"/>
      <c r="BO202" s="222"/>
      <c r="BP202" s="222"/>
      <c r="BQ202" s="222"/>
      <c r="BR202" s="222"/>
      <c r="BS202" s="222"/>
    </row>
    <row r="203" ht="15.0" customHeight="1">
      <c r="A203" s="210"/>
      <c r="C203" s="212"/>
      <c r="D203" s="212"/>
      <c r="E203" s="212"/>
      <c r="F203" s="212"/>
      <c r="G203" s="212"/>
      <c r="H203" s="213"/>
      <c r="I203" s="213"/>
      <c r="J203" s="214"/>
      <c r="K203" s="215"/>
      <c r="L203" s="215"/>
      <c r="M203" s="215"/>
      <c r="N203" s="215"/>
      <c r="O203" s="215"/>
      <c r="P203" s="216"/>
      <c r="Q203" s="217"/>
      <c r="R203" s="218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65"/>
      <c r="AJ203" s="222"/>
      <c r="AK203" s="222"/>
      <c r="BK203" s="222"/>
      <c r="BL203" s="222"/>
      <c r="BM203" s="222"/>
      <c r="BN203" s="222"/>
      <c r="BO203" s="222"/>
      <c r="BP203" s="222"/>
      <c r="BQ203" s="222"/>
      <c r="BR203" s="222"/>
      <c r="BS203" s="222"/>
    </row>
    <row r="204" ht="15.0" customHeight="1">
      <c r="A204" s="210"/>
      <c r="C204" s="212"/>
      <c r="D204" s="212"/>
      <c r="E204" s="212"/>
      <c r="F204" s="212"/>
      <c r="G204" s="212"/>
      <c r="H204" s="213"/>
      <c r="I204" s="213"/>
      <c r="J204" s="214"/>
      <c r="K204" s="215"/>
      <c r="L204" s="215"/>
      <c r="M204" s="215"/>
      <c r="N204" s="215"/>
      <c r="O204" s="215"/>
      <c r="P204" s="216"/>
      <c r="Q204" s="217"/>
      <c r="R204" s="218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65"/>
      <c r="AJ204" s="222"/>
      <c r="AK204" s="222"/>
      <c r="BK204" s="222"/>
      <c r="BL204" s="222"/>
      <c r="BM204" s="222"/>
      <c r="BN204" s="222"/>
      <c r="BO204" s="222"/>
      <c r="BP204" s="222"/>
      <c r="BQ204" s="222"/>
      <c r="BR204" s="222"/>
      <c r="BS204" s="222"/>
    </row>
    <row r="205" ht="15.0" customHeight="1">
      <c r="A205" s="210"/>
      <c r="C205" s="212"/>
      <c r="D205" s="212"/>
      <c r="E205" s="212"/>
      <c r="F205" s="212"/>
      <c r="G205" s="212"/>
      <c r="H205" s="213"/>
      <c r="I205" s="213"/>
      <c r="J205" s="214"/>
      <c r="K205" s="215"/>
      <c r="L205" s="215"/>
      <c r="M205" s="215"/>
      <c r="N205" s="215"/>
      <c r="O205" s="215"/>
      <c r="P205" s="216"/>
      <c r="Q205" s="217"/>
      <c r="R205" s="218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65"/>
      <c r="AJ205" s="222"/>
      <c r="AK205" s="222"/>
      <c r="BK205" s="222"/>
      <c r="BL205" s="222"/>
      <c r="BM205" s="222"/>
      <c r="BN205" s="222"/>
      <c r="BO205" s="222"/>
      <c r="BP205" s="222"/>
      <c r="BQ205" s="222"/>
      <c r="BR205" s="222"/>
      <c r="BS205" s="222"/>
    </row>
    <row r="206" ht="15.0" customHeight="1">
      <c r="A206" s="210"/>
      <c r="C206" s="212"/>
      <c r="D206" s="212"/>
      <c r="E206" s="212"/>
      <c r="F206" s="212"/>
      <c r="G206" s="212"/>
      <c r="H206" s="213"/>
      <c r="I206" s="213"/>
      <c r="J206" s="214"/>
      <c r="K206" s="215"/>
      <c r="L206" s="215"/>
      <c r="M206" s="215"/>
      <c r="N206" s="215"/>
      <c r="O206" s="215"/>
      <c r="P206" s="216"/>
      <c r="Q206" s="217"/>
      <c r="R206" s="218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65"/>
      <c r="AJ206" s="222"/>
      <c r="AK206" s="222"/>
      <c r="BK206" s="222"/>
      <c r="BL206" s="222"/>
      <c r="BM206" s="222"/>
      <c r="BN206" s="222"/>
      <c r="BO206" s="222"/>
      <c r="BP206" s="222"/>
      <c r="BQ206" s="222"/>
      <c r="BR206" s="222"/>
      <c r="BS206" s="222"/>
    </row>
    <row r="207" ht="15.0" customHeight="1">
      <c r="A207" s="210"/>
      <c r="C207" s="212"/>
      <c r="D207" s="212"/>
      <c r="E207" s="212"/>
      <c r="F207" s="212"/>
      <c r="G207" s="212"/>
      <c r="H207" s="213"/>
      <c r="I207" s="213"/>
      <c r="J207" s="214"/>
      <c r="K207" s="215"/>
      <c r="L207" s="215"/>
      <c r="M207" s="215"/>
      <c r="N207" s="215"/>
      <c r="O207" s="215"/>
      <c r="P207" s="216"/>
      <c r="Q207" s="217"/>
      <c r="R207" s="218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65"/>
      <c r="AJ207" s="222"/>
      <c r="AK207" s="222"/>
      <c r="BK207" s="222"/>
      <c r="BL207" s="222"/>
      <c r="BM207" s="222"/>
      <c r="BN207" s="222"/>
      <c r="BO207" s="222"/>
      <c r="BP207" s="222"/>
      <c r="BQ207" s="222"/>
      <c r="BR207" s="222"/>
      <c r="BS207" s="222"/>
    </row>
    <row r="208" ht="15.0" customHeight="1">
      <c r="A208" s="210"/>
      <c r="C208" s="212"/>
      <c r="D208" s="212"/>
      <c r="E208" s="212"/>
      <c r="F208" s="212"/>
      <c r="G208" s="212"/>
      <c r="H208" s="213"/>
      <c r="I208" s="213"/>
      <c r="J208" s="214"/>
      <c r="K208" s="215"/>
      <c r="L208" s="215"/>
      <c r="M208" s="215"/>
      <c r="N208" s="215"/>
      <c r="O208" s="215"/>
      <c r="P208" s="216"/>
      <c r="Q208" s="217"/>
      <c r="R208" s="218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65"/>
      <c r="AJ208" s="222"/>
      <c r="AK208" s="222"/>
      <c r="BK208" s="222"/>
      <c r="BL208" s="222"/>
      <c r="BM208" s="222"/>
      <c r="BN208" s="222"/>
      <c r="BO208" s="222"/>
      <c r="BP208" s="222"/>
      <c r="BQ208" s="222"/>
      <c r="BR208" s="222"/>
      <c r="BS208" s="222"/>
    </row>
    <row r="209" ht="15.0" customHeight="1">
      <c r="A209" s="210"/>
      <c r="C209" s="212"/>
      <c r="D209" s="212"/>
      <c r="E209" s="212"/>
      <c r="F209" s="212"/>
      <c r="G209" s="212"/>
      <c r="H209" s="213"/>
      <c r="I209" s="213"/>
      <c r="J209" s="214"/>
      <c r="K209" s="215"/>
      <c r="L209" s="215"/>
      <c r="M209" s="215"/>
      <c r="N209" s="215"/>
      <c r="O209" s="215"/>
      <c r="P209" s="216"/>
      <c r="Q209" s="217"/>
      <c r="R209" s="218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65"/>
      <c r="AJ209" s="222"/>
      <c r="AK209" s="222"/>
      <c r="BK209" s="222"/>
      <c r="BL209" s="222"/>
      <c r="BM209" s="222"/>
      <c r="BN209" s="222"/>
      <c r="BO209" s="222"/>
      <c r="BP209" s="222"/>
      <c r="BQ209" s="222"/>
      <c r="BR209" s="222"/>
      <c r="BS209" s="222"/>
    </row>
    <row r="210" ht="15.0" customHeight="1">
      <c r="A210" s="210"/>
      <c r="C210" s="212"/>
      <c r="D210" s="212"/>
      <c r="E210" s="212"/>
      <c r="F210" s="212"/>
      <c r="G210" s="212"/>
      <c r="H210" s="213"/>
      <c r="I210" s="213"/>
      <c r="J210" s="214"/>
      <c r="K210" s="215"/>
      <c r="L210" s="215"/>
      <c r="M210" s="215"/>
      <c r="N210" s="215"/>
      <c r="O210" s="215"/>
      <c r="P210" s="216"/>
      <c r="Q210" s="217"/>
      <c r="R210" s="218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65"/>
      <c r="AJ210" s="222"/>
      <c r="AK210" s="222"/>
      <c r="BK210" s="222"/>
      <c r="BL210" s="222"/>
      <c r="BM210" s="222"/>
      <c r="BN210" s="222"/>
      <c r="BO210" s="222"/>
      <c r="BP210" s="222"/>
      <c r="BQ210" s="222"/>
      <c r="BR210" s="222"/>
      <c r="BS210" s="222"/>
    </row>
    <row r="211" ht="15.0" customHeight="1">
      <c r="A211" s="210"/>
      <c r="C211" s="212"/>
      <c r="D211" s="212"/>
      <c r="E211" s="212"/>
      <c r="F211" s="212"/>
      <c r="G211" s="212"/>
      <c r="H211" s="213"/>
      <c r="I211" s="213"/>
      <c r="J211" s="214"/>
      <c r="K211" s="215"/>
      <c r="L211" s="215"/>
      <c r="M211" s="215"/>
      <c r="N211" s="215"/>
      <c r="O211" s="215"/>
      <c r="P211" s="216"/>
      <c r="Q211" s="217"/>
      <c r="R211" s="218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65"/>
      <c r="AJ211" s="222"/>
      <c r="AK211" s="222"/>
      <c r="BK211" s="222"/>
      <c r="BL211" s="222"/>
      <c r="BM211" s="222"/>
      <c r="BN211" s="222"/>
      <c r="BO211" s="222"/>
      <c r="BP211" s="222"/>
      <c r="BQ211" s="222"/>
      <c r="BR211" s="222"/>
      <c r="BS211" s="222"/>
    </row>
    <row r="212" ht="15.0" customHeight="1">
      <c r="A212" s="210"/>
      <c r="C212" s="212"/>
      <c r="D212" s="212"/>
      <c r="E212" s="212"/>
      <c r="F212" s="212"/>
      <c r="G212" s="212"/>
      <c r="H212" s="213"/>
      <c r="I212" s="213"/>
      <c r="J212" s="214"/>
      <c r="K212" s="215"/>
      <c r="L212" s="215"/>
      <c r="M212" s="215"/>
      <c r="N212" s="215"/>
      <c r="O212" s="215"/>
      <c r="P212" s="216"/>
      <c r="Q212" s="217"/>
      <c r="R212" s="218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65"/>
      <c r="AJ212" s="222"/>
      <c r="AK212" s="222"/>
      <c r="BK212" s="222"/>
      <c r="BL212" s="222"/>
      <c r="BM212" s="222"/>
      <c r="BN212" s="222"/>
      <c r="BO212" s="222"/>
      <c r="BP212" s="222"/>
      <c r="BQ212" s="222"/>
      <c r="BR212" s="222"/>
      <c r="BS212" s="222"/>
    </row>
    <row r="213" ht="15.0" customHeight="1">
      <c r="A213" s="210"/>
      <c r="C213" s="212"/>
      <c r="D213" s="212"/>
      <c r="E213" s="212"/>
      <c r="F213" s="212"/>
      <c r="G213" s="212"/>
      <c r="H213" s="213"/>
      <c r="I213" s="213"/>
      <c r="J213" s="214"/>
      <c r="K213" s="215"/>
      <c r="L213" s="215"/>
      <c r="M213" s="215"/>
      <c r="N213" s="215"/>
      <c r="O213" s="215"/>
      <c r="P213" s="216"/>
      <c r="Q213" s="217"/>
      <c r="R213" s="218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65"/>
      <c r="AJ213" s="222"/>
      <c r="AK213" s="222"/>
      <c r="BK213" s="222"/>
      <c r="BL213" s="222"/>
      <c r="BM213" s="222"/>
      <c r="BN213" s="222"/>
      <c r="BO213" s="222"/>
      <c r="BP213" s="222"/>
      <c r="BQ213" s="222"/>
      <c r="BR213" s="222"/>
      <c r="BS213" s="222"/>
    </row>
    <row r="214" ht="15.0" customHeight="1">
      <c r="A214" s="210"/>
      <c r="C214" s="212"/>
      <c r="D214" s="212"/>
      <c r="E214" s="212"/>
      <c r="F214" s="212"/>
      <c r="G214" s="212"/>
      <c r="H214" s="213"/>
      <c r="I214" s="213"/>
      <c r="J214" s="214"/>
      <c r="K214" s="215"/>
      <c r="L214" s="215"/>
      <c r="M214" s="215"/>
      <c r="N214" s="215"/>
      <c r="O214" s="215"/>
      <c r="P214" s="216"/>
      <c r="Q214" s="217"/>
      <c r="R214" s="218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65"/>
      <c r="AJ214" s="222"/>
      <c r="AK214" s="222"/>
      <c r="BK214" s="222"/>
      <c r="BL214" s="222"/>
      <c r="BM214" s="222"/>
      <c r="BN214" s="222"/>
      <c r="BO214" s="222"/>
      <c r="BP214" s="222"/>
      <c r="BQ214" s="222"/>
      <c r="BR214" s="222"/>
      <c r="BS214" s="222"/>
    </row>
    <row r="215" ht="15.0" customHeight="1">
      <c r="A215" s="210"/>
      <c r="C215" s="212"/>
      <c r="D215" s="212"/>
      <c r="E215" s="212"/>
      <c r="F215" s="212"/>
      <c r="G215" s="212"/>
      <c r="H215" s="213"/>
      <c r="I215" s="213"/>
      <c r="J215" s="214"/>
      <c r="K215" s="215"/>
      <c r="L215" s="215"/>
      <c r="M215" s="215"/>
      <c r="N215" s="215"/>
      <c r="O215" s="215"/>
      <c r="P215" s="216"/>
      <c r="Q215" s="217"/>
      <c r="R215" s="218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65"/>
      <c r="AJ215" s="222"/>
      <c r="AK215" s="222"/>
      <c r="BK215" s="222"/>
      <c r="BL215" s="222"/>
      <c r="BM215" s="222"/>
      <c r="BN215" s="222"/>
      <c r="BO215" s="222"/>
      <c r="BP215" s="222"/>
      <c r="BQ215" s="222"/>
      <c r="BR215" s="222"/>
      <c r="BS215" s="222"/>
    </row>
    <row r="216" ht="15.0" customHeight="1">
      <c r="A216" s="210"/>
      <c r="C216" s="212"/>
      <c r="D216" s="212"/>
      <c r="E216" s="212"/>
      <c r="F216" s="212"/>
      <c r="G216" s="212"/>
      <c r="H216" s="213"/>
      <c r="I216" s="213"/>
      <c r="J216" s="214"/>
      <c r="K216" s="215"/>
      <c r="L216" s="215"/>
      <c r="M216" s="215"/>
      <c r="N216" s="215"/>
      <c r="O216" s="215"/>
      <c r="P216" s="216"/>
      <c r="Q216" s="217"/>
      <c r="R216" s="218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65"/>
      <c r="AJ216" s="222"/>
      <c r="AK216" s="222"/>
      <c r="BK216" s="222"/>
      <c r="BL216" s="222"/>
      <c r="BM216" s="222"/>
      <c r="BN216" s="222"/>
      <c r="BO216" s="222"/>
      <c r="BP216" s="222"/>
      <c r="BQ216" s="222"/>
      <c r="BR216" s="222"/>
      <c r="BS216" s="222"/>
    </row>
    <row r="217" ht="15.0" customHeight="1">
      <c r="A217" s="210"/>
      <c r="C217" s="212"/>
      <c r="D217" s="212"/>
      <c r="E217" s="212"/>
      <c r="F217" s="212"/>
      <c r="G217" s="212"/>
      <c r="H217" s="213"/>
      <c r="I217" s="213"/>
      <c r="J217" s="214"/>
      <c r="K217" s="215"/>
      <c r="L217" s="215"/>
      <c r="M217" s="215"/>
      <c r="N217" s="215"/>
      <c r="O217" s="215"/>
      <c r="P217" s="216"/>
      <c r="Q217" s="217"/>
      <c r="R217" s="218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65"/>
      <c r="AJ217" s="222"/>
      <c r="AK217" s="222"/>
      <c r="BK217" s="222"/>
      <c r="BL217" s="222"/>
      <c r="BM217" s="222"/>
      <c r="BN217" s="222"/>
      <c r="BO217" s="222"/>
      <c r="BP217" s="222"/>
      <c r="BQ217" s="222"/>
      <c r="BR217" s="222"/>
      <c r="BS217" s="222"/>
    </row>
    <row r="218" ht="15.0" customHeight="1">
      <c r="A218" s="210"/>
      <c r="C218" s="212"/>
      <c r="D218" s="212"/>
      <c r="E218" s="212"/>
      <c r="F218" s="212"/>
      <c r="G218" s="212"/>
      <c r="H218" s="213"/>
      <c r="I218" s="213"/>
      <c r="J218" s="214"/>
      <c r="K218" s="215"/>
      <c r="L218" s="215"/>
      <c r="M218" s="215"/>
      <c r="N218" s="215"/>
      <c r="O218" s="215"/>
      <c r="P218" s="216"/>
      <c r="Q218" s="217"/>
      <c r="R218" s="218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65"/>
      <c r="AJ218" s="222"/>
      <c r="AK218" s="222"/>
      <c r="BK218" s="222"/>
      <c r="BL218" s="222"/>
      <c r="BM218" s="222"/>
      <c r="BN218" s="222"/>
      <c r="BO218" s="222"/>
      <c r="BP218" s="222"/>
      <c r="BQ218" s="222"/>
      <c r="BR218" s="222"/>
      <c r="BS218" s="222"/>
    </row>
    <row r="219" ht="15.0" customHeight="1">
      <c r="A219" s="210"/>
      <c r="C219" s="212"/>
      <c r="D219" s="212"/>
      <c r="E219" s="212"/>
      <c r="F219" s="212"/>
      <c r="G219" s="212"/>
      <c r="H219" s="213"/>
      <c r="I219" s="213"/>
      <c r="J219" s="214"/>
      <c r="K219" s="215"/>
      <c r="L219" s="215"/>
      <c r="M219" s="215"/>
      <c r="N219" s="215"/>
      <c r="O219" s="215"/>
      <c r="P219" s="216"/>
      <c r="Q219" s="217"/>
      <c r="R219" s="218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65"/>
      <c r="AJ219" s="222"/>
      <c r="AK219" s="222"/>
      <c r="BK219" s="222"/>
      <c r="BL219" s="222"/>
      <c r="BM219" s="222"/>
      <c r="BN219" s="222"/>
      <c r="BO219" s="222"/>
      <c r="BP219" s="222"/>
      <c r="BQ219" s="222"/>
      <c r="BR219" s="222"/>
      <c r="BS219" s="222"/>
    </row>
    <row r="220" ht="15.0" customHeight="1">
      <c r="A220" s="210"/>
      <c r="C220" s="212"/>
      <c r="D220" s="212"/>
      <c r="E220" s="212"/>
      <c r="F220" s="212"/>
      <c r="G220" s="212"/>
      <c r="H220" s="213"/>
      <c r="I220" s="213"/>
      <c r="J220" s="214"/>
      <c r="K220" s="215"/>
      <c r="L220" s="215"/>
      <c r="M220" s="215"/>
      <c r="N220" s="215"/>
      <c r="O220" s="215"/>
      <c r="P220" s="216"/>
      <c r="Q220" s="217"/>
      <c r="R220" s="218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65"/>
      <c r="AJ220" s="222"/>
      <c r="AK220" s="222"/>
      <c r="BK220" s="222"/>
      <c r="BL220" s="222"/>
      <c r="BM220" s="222"/>
      <c r="BN220" s="222"/>
      <c r="BO220" s="222"/>
      <c r="BP220" s="222"/>
      <c r="BQ220" s="222"/>
      <c r="BR220" s="222"/>
      <c r="BS220" s="222"/>
    </row>
    <row r="221" ht="15.0" customHeight="1">
      <c r="A221" s="210"/>
      <c r="C221" s="212"/>
      <c r="D221" s="212"/>
      <c r="E221" s="212"/>
      <c r="F221" s="212"/>
      <c r="G221" s="212"/>
      <c r="H221" s="213"/>
      <c r="I221" s="213"/>
      <c r="J221" s="214"/>
      <c r="K221" s="215"/>
      <c r="L221" s="215"/>
      <c r="M221" s="215"/>
      <c r="N221" s="215"/>
      <c r="O221" s="215"/>
      <c r="P221" s="216"/>
      <c r="Q221" s="217"/>
      <c r="R221" s="218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65"/>
      <c r="AJ221" s="222"/>
      <c r="AK221" s="222"/>
      <c r="BK221" s="222"/>
      <c r="BL221" s="222"/>
      <c r="BM221" s="222"/>
      <c r="BN221" s="222"/>
      <c r="BO221" s="222"/>
      <c r="BP221" s="222"/>
      <c r="BQ221" s="222"/>
      <c r="BR221" s="222"/>
      <c r="BS221" s="222"/>
    </row>
    <row r="222" ht="15.0" customHeight="1">
      <c r="A222" s="210"/>
      <c r="C222" s="212"/>
      <c r="D222" s="212"/>
      <c r="E222" s="212"/>
      <c r="F222" s="212"/>
      <c r="G222" s="212"/>
      <c r="H222" s="213"/>
      <c r="I222" s="213"/>
      <c r="J222" s="214"/>
      <c r="K222" s="215"/>
      <c r="L222" s="215"/>
      <c r="M222" s="215"/>
      <c r="N222" s="215"/>
      <c r="O222" s="215"/>
      <c r="P222" s="216"/>
      <c r="Q222" s="217"/>
      <c r="R222" s="218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65"/>
      <c r="AJ222" s="222"/>
      <c r="AK222" s="222"/>
      <c r="BK222" s="222"/>
      <c r="BL222" s="222"/>
      <c r="BM222" s="222"/>
      <c r="BN222" s="222"/>
      <c r="BO222" s="222"/>
      <c r="BP222" s="222"/>
      <c r="BQ222" s="222"/>
      <c r="BR222" s="222"/>
      <c r="BS222" s="222"/>
    </row>
    <row r="223" ht="15.0" customHeight="1">
      <c r="A223" s="210"/>
      <c r="C223" s="212"/>
      <c r="D223" s="212"/>
      <c r="E223" s="212"/>
      <c r="F223" s="212"/>
      <c r="G223" s="212"/>
      <c r="H223" s="213"/>
      <c r="I223" s="213"/>
      <c r="J223" s="214"/>
      <c r="K223" s="215"/>
      <c r="L223" s="215"/>
      <c r="M223" s="215"/>
      <c r="N223" s="215"/>
      <c r="O223" s="215"/>
      <c r="P223" s="216"/>
      <c r="Q223" s="217"/>
      <c r="R223" s="218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65"/>
      <c r="AJ223" s="222"/>
      <c r="AK223" s="222"/>
      <c r="BK223" s="222"/>
      <c r="BL223" s="222"/>
      <c r="BM223" s="222"/>
      <c r="BN223" s="222"/>
      <c r="BO223" s="222"/>
      <c r="BP223" s="222"/>
      <c r="BQ223" s="222"/>
      <c r="BR223" s="222"/>
      <c r="BS223" s="222"/>
    </row>
    <row r="224" ht="15.0" customHeight="1">
      <c r="A224" s="210"/>
      <c r="C224" s="212"/>
      <c r="D224" s="212"/>
      <c r="E224" s="212"/>
      <c r="F224" s="212"/>
      <c r="G224" s="212"/>
      <c r="H224" s="213"/>
      <c r="I224" s="213"/>
      <c r="J224" s="214"/>
      <c r="K224" s="215"/>
      <c r="L224" s="215"/>
      <c r="M224" s="215"/>
      <c r="N224" s="215"/>
      <c r="O224" s="215"/>
      <c r="P224" s="216"/>
      <c r="Q224" s="217"/>
      <c r="R224" s="218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65"/>
      <c r="AJ224" s="222"/>
      <c r="AK224" s="222"/>
      <c r="BK224" s="222"/>
      <c r="BL224" s="222"/>
      <c r="BM224" s="222"/>
      <c r="BN224" s="222"/>
      <c r="BO224" s="222"/>
      <c r="BP224" s="222"/>
      <c r="BQ224" s="222"/>
      <c r="BR224" s="222"/>
      <c r="BS224" s="222"/>
    </row>
    <row r="225" ht="15.0" customHeight="1">
      <c r="A225" s="210"/>
      <c r="C225" s="212"/>
      <c r="D225" s="212"/>
      <c r="E225" s="212"/>
      <c r="F225" s="212"/>
      <c r="G225" s="212"/>
      <c r="H225" s="213"/>
      <c r="I225" s="213"/>
      <c r="J225" s="214"/>
      <c r="K225" s="215"/>
      <c r="L225" s="215"/>
      <c r="M225" s="215"/>
      <c r="N225" s="215"/>
      <c r="O225" s="215"/>
      <c r="P225" s="216"/>
      <c r="Q225" s="217"/>
      <c r="R225" s="218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65"/>
      <c r="AJ225" s="222"/>
      <c r="AK225" s="222"/>
      <c r="BK225" s="222"/>
      <c r="BL225" s="222"/>
      <c r="BM225" s="222"/>
      <c r="BN225" s="222"/>
      <c r="BO225" s="222"/>
      <c r="BP225" s="222"/>
      <c r="BQ225" s="222"/>
      <c r="BR225" s="222"/>
      <c r="BS225" s="222"/>
    </row>
    <row r="226" ht="15.0" customHeight="1">
      <c r="A226" s="210"/>
      <c r="C226" s="212"/>
      <c r="D226" s="212"/>
      <c r="E226" s="212"/>
      <c r="F226" s="212"/>
      <c r="G226" s="212"/>
      <c r="H226" s="213"/>
      <c r="I226" s="213"/>
      <c r="J226" s="214"/>
      <c r="K226" s="215"/>
      <c r="L226" s="215"/>
      <c r="M226" s="215"/>
      <c r="N226" s="215"/>
      <c r="O226" s="215"/>
      <c r="P226" s="216"/>
      <c r="Q226" s="217"/>
      <c r="R226" s="218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65"/>
      <c r="AJ226" s="222"/>
      <c r="AK226" s="222"/>
      <c r="BK226" s="222"/>
      <c r="BL226" s="222"/>
      <c r="BM226" s="222"/>
      <c r="BN226" s="222"/>
      <c r="BO226" s="222"/>
      <c r="BP226" s="222"/>
      <c r="BQ226" s="222"/>
      <c r="BR226" s="222"/>
      <c r="BS226" s="222"/>
    </row>
    <row r="227" ht="15.0" customHeight="1">
      <c r="A227" s="210"/>
      <c r="C227" s="212"/>
      <c r="D227" s="212"/>
      <c r="E227" s="212"/>
      <c r="F227" s="212"/>
      <c r="G227" s="212"/>
      <c r="H227" s="213"/>
      <c r="I227" s="213"/>
      <c r="J227" s="214"/>
      <c r="K227" s="215"/>
      <c r="L227" s="215"/>
      <c r="M227" s="215"/>
      <c r="N227" s="215"/>
      <c r="O227" s="215"/>
      <c r="P227" s="216"/>
      <c r="Q227" s="217"/>
      <c r="R227" s="218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65"/>
      <c r="AJ227" s="222"/>
      <c r="AK227" s="222"/>
      <c r="BK227" s="222"/>
      <c r="BL227" s="222"/>
      <c r="BM227" s="222"/>
      <c r="BN227" s="222"/>
      <c r="BO227" s="222"/>
      <c r="BP227" s="222"/>
      <c r="BQ227" s="222"/>
      <c r="BR227" s="222"/>
      <c r="BS227" s="222"/>
    </row>
    <row r="228" ht="15.0" customHeight="1">
      <c r="A228" s="210"/>
      <c r="C228" s="212"/>
      <c r="D228" s="212"/>
      <c r="E228" s="212"/>
      <c r="F228" s="212"/>
      <c r="G228" s="212"/>
      <c r="H228" s="213"/>
      <c r="I228" s="213"/>
      <c r="J228" s="214"/>
      <c r="K228" s="215"/>
      <c r="L228" s="215"/>
      <c r="M228" s="215"/>
      <c r="N228" s="215"/>
      <c r="O228" s="215"/>
      <c r="P228" s="216"/>
      <c r="Q228" s="217"/>
      <c r="R228" s="218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65"/>
      <c r="AJ228" s="222"/>
      <c r="AK228" s="222"/>
      <c r="BK228" s="222"/>
      <c r="BL228" s="222"/>
      <c r="BM228" s="222"/>
      <c r="BN228" s="222"/>
      <c r="BO228" s="222"/>
      <c r="BP228" s="222"/>
      <c r="BQ228" s="222"/>
      <c r="BR228" s="222"/>
      <c r="BS228" s="222"/>
    </row>
    <row r="229" ht="15.0" customHeight="1">
      <c r="A229" s="210"/>
      <c r="C229" s="212"/>
      <c r="D229" s="212"/>
      <c r="E229" s="212"/>
      <c r="F229" s="212"/>
      <c r="G229" s="212"/>
      <c r="H229" s="213"/>
      <c r="I229" s="213"/>
      <c r="J229" s="214"/>
      <c r="K229" s="215"/>
      <c r="L229" s="215"/>
      <c r="M229" s="215"/>
      <c r="N229" s="215"/>
      <c r="O229" s="215"/>
      <c r="P229" s="216"/>
      <c r="Q229" s="217"/>
      <c r="R229" s="218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65"/>
      <c r="AJ229" s="222"/>
      <c r="AK229" s="222"/>
      <c r="BK229" s="222"/>
      <c r="BL229" s="222"/>
      <c r="BM229" s="222"/>
      <c r="BN229" s="222"/>
      <c r="BO229" s="222"/>
      <c r="BP229" s="222"/>
      <c r="BQ229" s="222"/>
      <c r="BR229" s="222"/>
      <c r="BS229" s="222"/>
    </row>
    <row r="230" ht="15.0" customHeight="1">
      <c r="A230" s="210"/>
      <c r="C230" s="212"/>
      <c r="D230" s="212"/>
      <c r="E230" s="212"/>
      <c r="F230" s="212"/>
      <c r="G230" s="212"/>
      <c r="H230" s="213"/>
      <c r="I230" s="213"/>
      <c r="J230" s="214"/>
      <c r="K230" s="215"/>
      <c r="L230" s="215"/>
      <c r="M230" s="215"/>
      <c r="N230" s="215"/>
      <c r="O230" s="215"/>
      <c r="P230" s="216"/>
      <c r="Q230" s="217"/>
      <c r="R230" s="218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65"/>
      <c r="AJ230" s="222"/>
      <c r="AK230" s="222"/>
      <c r="BK230" s="222"/>
      <c r="BL230" s="222"/>
      <c r="BM230" s="222"/>
      <c r="BN230" s="222"/>
      <c r="BO230" s="222"/>
      <c r="BP230" s="222"/>
      <c r="BQ230" s="222"/>
      <c r="BR230" s="222"/>
      <c r="BS230" s="222"/>
    </row>
    <row r="231" ht="15.0" customHeight="1">
      <c r="A231" s="210"/>
      <c r="C231" s="212"/>
      <c r="D231" s="212"/>
      <c r="E231" s="212"/>
      <c r="F231" s="212"/>
      <c r="G231" s="212"/>
      <c r="H231" s="213"/>
      <c r="I231" s="213"/>
      <c r="J231" s="214"/>
      <c r="K231" s="215"/>
      <c r="L231" s="215"/>
      <c r="M231" s="215"/>
      <c r="N231" s="215"/>
      <c r="O231" s="215"/>
      <c r="P231" s="216"/>
      <c r="Q231" s="217"/>
      <c r="R231" s="218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65"/>
      <c r="AJ231" s="222"/>
      <c r="AK231" s="222"/>
      <c r="BK231" s="222"/>
      <c r="BL231" s="222"/>
      <c r="BM231" s="222"/>
      <c r="BN231" s="222"/>
      <c r="BO231" s="222"/>
      <c r="BP231" s="222"/>
      <c r="BQ231" s="222"/>
      <c r="BR231" s="222"/>
      <c r="BS231" s="222"/>
    </row>
    <row r="232" ht="15.0" customHeight="1">
      <c r="A232" s="210"/>
      <c r="C232" s="212"/>
      <c r="D232" s="212"/>
      <c r="E232" s="212"/>
      <c r="F232" s="212"/>
      <c r="G232" s="212"/>
      <c r="H232" s="213"/>
      <c r="I232" s="213"/>
      <c r="J232" s="214"/>
      <c r="K232" s="215"/>
      <c r="L232" s="215"/>
      <c r="M232" s="215"/>
      <c r="N232" s="215"/>
      <c r="O232" s="215"/>
      <c r="P232" s="216"/>
      <c r="Q232" s="217"/>
      <c r="R232" s="218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65"/>
      <c r="AJ232" s="222"/>
      <c r="AK232" s="222"/>
      <c r="BK232" s="222"/>
      <c r="BL232" s="222"/>
      <c r="BM232" s="222"/>
      <c r="BN232" s="222"/>
      <c r="BO232" s="222"/>
      <c r="BP232" s="222"/>
      <c r="BQ232" s="222"/>
      <c r="BR232" s="222"/>
      <c r="BS232" s="222"/>
    </row>
    <row r="233" ht="15.0" customHeight="1">
      <c r="A233" s="210"/>
      <c r="C233" s="212"/>
      <c r="D233" s="212"/>
      <c r="E233" s="212"/>
      <c r="F233" s="212"/>
      <c r="G233" s="212"/>
      <c r="H233" s="213"/>
      <c r="I233" s="213"/>
      <c r="J233" s="214"/>
      <c r="K233" s="215"/>
      <c r="L233" s="215"/>
      <c r="M233" s="215"/>
      <c r="N233" s="215"/>
      <c r="O233" s="215"/>
      <c r="P233" s="216"/>
      <c r="Q233" s="217"/>
      <c r="R233" s="218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65"/>
      <c r="AJ233" s="222"/>
      <c r="AK233" s="222"/>
      <c r="BK233" s="222"/>
      <c r="BL233" s="222"/>
      <c r="BM233" s="222"/>
      <c r="BN233" s="222"/>
      <c r="BO233" s="222"/>
      <c r="BP233" s="222"/>
      <c r="BQ233" s="222"/>
      <c r="BR233" s="222"/>
      <c r="BS233" s="222"/>
    </row>
    <row r="234" ht="15.0" customHeight="1">
      <c r="A234" s="210"/>
      <c r="C234" s="212"/>
      <c r="D234" s="212"/>
      <c r="E234" s="212"/>
      <c r="F234" s="212"/>
      <c r="G234" s="212"/>
      <c r="H234" s="213"/>
      <c r="I234" s="213"/>
      <c r="J234" s="214"/>
      <c r="K234" s="215"/>
      <c r="L234" s="215"/>
      <c r="M234" s="215"/>
      <c r="N234" s="215"/>
      <c r="O234" s="215"/>
      <c r="P234" s="216"/>
      <c r="Q234" s="217"/>
      <c r="R234" s="218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65"/>
      <c r="AJ234" s="222"/>
      <c r="AK234" s="222"/>
      <c r="BK234" s="222"/>
      <c r="BL234" s="222"/>
      <c r="BM234" s="222"/>
      <c r="BN234" s="222"/>
      <c r="BO234" s="222"/>
      <c r="BP234" s="222"/>
      <c r="BQ234" s="222"/>
      <c r="BR234" s="222"/>
      <c r="BS234" s="222"/>
    </row>
    <row r="235" ht="15.0" customHeight="1">
      <c r="A235" s="210"/>
      <c r="C235" s="212"/>
      <c r="D235" s="212"/>
      <c r="E235" s="212"/>
      <c r="F235" s="212"/>
      <c r="G235" s="212"/>
      <c r="H235" s="213"/>
      <c r="I235" s="213"/>
      <c r="J235" s="214"/>
      <c r="K235" s="215"/>
      <c r="L235" s="215"/>
      <c r="M235" s="215"/>
      <c r="N235" s="215"/>
      <c r="O235" s="215"/>
      <c r="P235" s="216"/>
      <c r="Q235" s="217"/>
      <c r="R235" s="218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  <c r="AF235" s="265"/>
      <c r="AJ235" s="222"/>
      <c r="AK235" s="222"/>
      <c r="BK235" s="222"/>
      <c r="BL235" s="222"/>
      <c r="BM235" s="222"/>
      <c r="BN235" s="222"/>
      <c r="BO235" s="222"/>
      <c r="BP235" s="222"/>
      <c r="BQ235" s="222"/>
      <c r="BR235" s="222"/>
      <c r="BS235" s="222"/>
    </row>
    <row r="236" ht="15.0" customHeight="1">
      <c r="A236" s="210"/>
      <c r="C236" s="212"/>
      <c r="D236" s="212"/>
      <c r="E236" s="212"/>
      <c r="F236" s="212"/>
      <c r="G236" s="212"/>
      <c r="H236" s="213"/>
      <c r="I236" s="213"/>
      <c r="J236" s="214"/>
      <c r="K236" s="215"/>
      <c r="L236" s="215"/>
      <c r="M236" s="215"/>
      <c r="N236" s="215"/>
      <c r="O236" s="215"/>
      <c r="P236" s="216"/>
      <c r="Q236" s="217"/>
      <c r="R236" s="218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  <c r="AF236" s="265"/>
      <c r="AJ236" s="222"/>
      <c r="AK236" s="222"/>
      <c r="BK236" s="222"/>
      <c r="BL236" s="222"/>
      <c r="BM236" s="222"/>
      <c r="BN236" s="222"/>
      <c r="BO236" s="222"/>
      <c r="BP236" s="222"/>
      <c r="BQ236" s="222"/>
      <c r="BR236" s="222"/>
      <c r="BS236" s="222"/>
    </row>
    <row r="237" ht="15.0" customHeight="1">
      <c r="A237" s="210"/>
      <c r="C237" s="212"/>
      <c r="D237" s="212"/>
      <c r="E237" s="212"/>
      <c r="F237" s="212"/>
      <c r="G237" s="212"/>
      <c r="H237" s="213"/>
      <c r="I237" s="213"/>
      <c r="J237" s="214"/>
      <c r="K237" s="215"/>
      <c r="L237" s="215"/>
      <c r="M237" s="215"/>
      <c r="N237" s="215"/>
      <c r="O237" s="215"/>
      <c r="P237" s="216"/>
      <c r="Q237" s="217"/>
      <c r="R237" s="218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65"/>
      <c r="AJ237" s="222"/>
      <c r="AK237" s="222"/>
      <c r="BK237" s="222"/>
      <c r="BL237" s="222"/>
      <c r="BM237" s="222"/>
      <c r="BN237" s="222"/>
      <c r="BO237" s="222"/>
      <c r="BP237" s="222"/>
      <c r="BQ237" s="222"/>
      <c r="BR237" s="222"/>
      <c r="BS237" s="222"/>
    </row>
    <row r="238" ht="15.0" customHeight="1">
      <c r="A238" s="210"/>
      <c r="C238" s="212"/>
      <c r="D238" s="212"/>
      <c r="E238" s="212"/>
      <c r="F238" s="212"/>
      <c r="G238" s="212"/>
      <c r="H238" s="213"/>
      <c r="I238" s="213"/>
      <c r="J238" s="214"/>
      <c r="K238" s="215"/>
      <c r="L238" s="215"/>
      <c r="M238" s="215"/>
      <c r="N238" s="215"/>
      <c r="O238" s="215"/>
      <c r="P238" s="216"/>
      <c r="Q238" s="217"/>
      <c r="R238" s="218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65"/>
      <c r="AJ238" s="222"/>
      <c r="AK238" s="222"/>
      <c r="BK238" s="222"/>
      <c r="BL238" s="222"/>
      <c r="BM238" s="222"/>
      <c r="BN238" s="222"/>
      <c r="BO238" s="222"/>
      <c r="BP238" s="222"/>
      <c r="BQ238" s="222"/>
      <c r="BR238" s="222"/>
      <c r="BS238" s="222"/>
    </row>
    <row r="239" ht="15.0" customHeight="1">
      <c r="A239" s="210"/>
      <c r="C239" s="212"/>
      <c r="D239" s="212"/>
      <c r="E239" s="212"/>
      <c r="F239" s="212"/>
      <c r="G239" s="212"/>
      <c r="H239" s="213"/>
      <c r="I239" s="213"/>
      <c r="J239" s="214"/>
      <c r="K239" s="215"/>
      <c r="L239" s="215"/>
      <c r="M239" s="215"/>
      <c r="N239" s="215"/>
      <c r="O239" s="215"/>
      <c r="P239" s="216"/>
      <c r="Q239" s="217"/>
      <c r="R239" s="218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  <c r="AF239" s="265"/>
      <c r="AJ239" s="222"/>
      <c r="AK239" s="222"/>
      <c r="BK239" s="222"/>
      <c r="BL239" s="222"/>
      <c r="BM239" s="222"/>
      <c r="BN239" s="222"/>
      <c r="BO239" s="222"/>
      <c r="BP239" s="222"/>
      <c r="BQ239" s="222"/>
      <c r="BR239" s="222"/>
      <c r="BS239" s="222"/>
    </row>
    <row r="240" ht="15.0" customHeight="1">
      <c r="A240" s="210"/>
      <c r="C240" s="212"/>
      <c r="D240" s="212"/>
      <c r="E240" s="212"/>
      <c r="F240" s="212"/>
      <c r="G240" s="212"/>
      <c r="H240" s="213"/>
      <c r="I240" s="213"/>
      <c r="J240" s="214"/>
      <c r="K240" s="215"/>
      <c r="L240" s="215"/>
      <c r="M240" s="215"/>
      <c r="N240" s="215"/>
      <c r="O240" s="215"/>
      <c r="P240" s="216"/>
      <c r="Q240" s="217"/>
      <c r="R240" s="218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  <c r="AF240" s="265"/>
      <c r="AJ240" s="222"/>
      <c r="AK240" s="222"/>
      <c r="BK240" s="222"/>
      <c r="BL240" s="222"/>
      <c r="BM240" s="222"/>
      <c r="BN240" s="222"/>
      <c r="BO240" s="222"/>
      <c r="BP240" s="222"/>
      <c r="BQ240" s="222"/>
      <c r="BR240" s="222"/>
      <c r="BS240" s="222"/>
    </row>
    <row r="241" ht="15.0" customHeight="1">
      <c r="A241" s="210"/>
      <c r="C241" s="212"/>
      <c r="D241" s="212"/>
      <c r="E241" s="212"/>
      <c r="F241" s="212"/>
      <c r="G241" s="212"/>
      <c r="H241" s="213"/>
      <c r="I241" s="213"/>
      <c r="J241" s="214"/>
      <c r="K241" s="215"/>
      <c r="L241" s="215"/>
      <c r="M241" s="215"/>
      <c r="N241" s="215"/>
      <c r="O241" s="215"/>
      <c r="P241" s="216"/>
      <c r="Q241" s="217"/>
      <c r="R241" s="218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  <c r="AF241" s="265"/>
      <c r="AJ241" s="222"/>
      <c r="AK241" s="222"/>
      <c r="BK241" s="222"/>
      <c r="BL241" s="222"/>
      <c r="BM241" s="222"/>
      <c r="BN241" s="222"/>
      <c r="BO241" s="222"/>
      <c r="BP241" s="222"/>
      <c r="BQ241" s="222"/>
      <c r="BR241" s="222"/>
      <c r="BS241" s="222"/>
    </row>
    <row r="242" ht="15.0" customHeight="1">
      <c r="A242" s="210"/>
      <c r="C242" s="212"/>
      <c r="D242" s="212"/>
      <c r="E242" s="212"/>
      <c r="F242" s="212"/>
      <c r="G242" s="212"/>
      <c r="H242" s="213"/>
      <c r="I242" s="213"/>
      <c r="J242" s="214"/>
      <c r="K242" s="215"/>
      <c r="L242" s="215"/>
      <c r="M242" s="215"/>
      <c r="N242" s="215"/>
      <c r="O242" s="215"/>
      <c r="P242" s="216"/>
      <c r="Q242" s="217"/>
      <c r="R242" s="218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  <c r="AF242" s="265"/>
      <c r="AJ242" s="222"/>
      <c r="AK242" s="222"/>
      <c r="BK242" s="222"/>
      <c r="BL242" s="222"/>
      <c r="BM242" s="222"/>
      <c r="BN242" s="222"/>
      <c r="BO242" s="222"/>
      <c r="BP242" s="222"/>
      <c r="BQ242" s="222"/>
      <c r="BR242" s="222"/>
      <c r="BS242" s="222"/>
    </row>
    <row r="243" ht="15.75" customHeight="1">
      <c r="A243" s="210"/>
      <c r="C243" s="212"/>
      <c r="D243" s="212"/>
      <c r="E243" s="212"/>
      <c r="F243" s="212"/>
      <c r="G243" s="212"/>
      <c r="H243" s="213"/>
      <c r="I243" s="213"/>
      <c r="J243" s="214"/>
      <c r="K243" s="215"/>
      <c r="L243" s="215"/>
      <c r="M243" s="215"/>
      <c r="N243" s="215"/>
      <c r="O243" s="215"/>
      <c r="P243" s="216"/>
      <c r="Q243" s="217"/>
      <c r="R243" s="218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  <c r="AF243" s="265"/>
      <c r="AJ243" s="222"/>
      <c r="AK243" s="222"/>
      <c r="BK243" s="222"/>
      <c r="BL243" s="222"/>
      <c r="BM243" s="222"/>
      <c r="BN243" s="222"/>
      <c r="BO243" s="222"/>
      <c r="BP243" s="222"/>
      <c r="BQ243" s="222"/>
      <c r="BR243" s="222"/>
      <c r="BS243" s="222"/>
    </row>
    <row r="244" ht="15.75" customHeight="1">
      <c r="A244" s="278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65"/>
      <c r="AJ244" s="222"/>
      <c r="AK244" s="222"/>
      <c r="BK244" s="222"/>
      <c r="BL244" s="222"/>
      <c r="BM244" s="222"/>
      <c r="BN244" s="222"/>
      <c r="BO244" s="222"/>
      <c r="BP244" s="222"/>
      <c r="BQ244" s="222"/>
      <c r="BR244" s="222"/>
      <c r="BS244" s="222"/>
    </row>
    <row r="245" ht="15.75" customHeight="1">
      <c r="BK245" s="222"/>
      <c r="BL245" s="222"/>
      <c r="BM245" s="222"/>
      <c r="BN245" s="222"/>
      <c r="BO245" s="222"/>
      <c r="BP245" s="222"/>
      <c r="BQ245" s="222"/>
      <c r="BR245" s="222"/>
      <c r="BS245" s="222"/>
    </row>
    <row r="246" ht="15.75" customHeight="1">
      <c r="BK246" s="222"/>
      <c r="BL246" s="222"/>
      <c r="BM246" s="222"/>
      <c r="BN246" s="222"/>
      <c r="BO246" s="222"/>
      <c r="BP246" s="222"/>
      <c r="BQ246" s="222"/>
      <c r="BR246" s="222"/>
      <c r="BS246" s="222"/>
    </row>
    <row r="247" ht="15.75" customHeight="1">
      <c r="BK247" s="222"/>
      <c r="BL247" s="222"/>
      <c r="BM247" s="222"/>
      <c r="BN247" s="222"/>
      <c r="BO247" s="222"/>
      <c r="BP247" s="222"/>
      <c r="BQ247" s="222"/>
      <c r="BR247" s="222"/>
      <c r="BS247" s="22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78" t="s">
        <v>214</v>
      </c>
      <c r="B1" s="579"/>
      <c r="C1" s="264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</row>
    <row r="2" ht="34.5" customHeight="1">
      <c r="A2" s="580" t="s">
        <v>215</v>
      </c>
      <c r="B2" s="581" t="str">
        <f>'LUCERO RECOLETA'!K6</f>
        <v/>
      </c>
      <c r="C2" s="264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</row>
    <row r="3" ht="39.0" customHeight="1">
      <c r="A3" s="582" t="s">
        <v>216</v>
      </c>
      <c r="B3" s="583" t="s">
        <v>217</v>
      </c>
      <c r="C3" s="264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</row>
    <row r="4" ht="27.0" customHeight="1">
      <c r="A4" s="584" t="s">
        <v>218</v>
      </c>
      <c r="B4" s="585" t="str">
        <f>'AS QUILMES'!#REF!</f>
        <v>#ERROR!</v>
      </c>
      <c r="C4" s="264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</row>
    <row r="5" ht="27.0" customHeight="1">
      <c r="A5" s="586" t="s">
        <v>152</v>
      </c>
      <c r="B5" s="587" t="str">
        <f>'AS SAN TELMO'!X58</f>
        <v/>
      </c>
      <c r="C5" s="264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</row>
    <row r="6" ht="27.75" customHeight="1">
      <c r="A6" s="588" t="s">
        <v>219</v>
      </c>
      <c r="B6" s="589">
        <f>'LU MADERO'!J41</f>
        <v>0</v>
      </c>
      <c r="C6" s="264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</row>
    <row r="7" ht="27.75" customHeight="1">
      <c r="A7" s="590" t="s">
        <v>220</v>
      </c>
      <c r="B7" s="591" t="str">
        <f>SUM(B2:B5)</f>
        <v>#ERROR!</v>
      </c>
      <c r="C7" s="264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</row>
    <row r="8">
      <c r="A8" s="222"/>
      <c r="B8" s="592"/>
      <c r="C8" s="264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</row>
    <row r="9">
      <c r="A9" s="222"/>
      <c r="B9" s="592"/>
      <c r="C9" s="264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</row>
    <row r="10">
      <c r="A10" s="222"/>
      <c r="B10" s="592"/>
      <c r="C10" s="264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</row>
    <row r="11">
      <c r="A11" s="222" t="s">
        <v>221</v>
      </c>
      <c r="B11" s="592" t="str">
        <f>B2</f>
        <v/>
      </c>
      <c r="C11" s="264">
        <f>+B11*1%</f>
        <v>0</v>
      </c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</row>
    <row r="12">
      <c r="A12" s="222"/>
      <c r="B12" s="592"/>
      <c r="C12" s="264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</row>
    <row r="13">
      <c r="A13" s="222" t="s">
        <v>222</v>
      </c>
      <c r="B13" s="592" t="str">
        <f>B3+B5</f>
        <v>#VALUE!</v>
      </c>
      <c r="C13" s="264" t="str">
        <f>+B13*1%</f>
        <v>#VALUE!</v>
      </c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</row>
    <row r="14">
      <c r="A14" s="222"/>
      <c r="B14" s="592"/>
      <c r="C14" s="264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</row>
    <row r="15">
      <c r="A15" s="222"/>
      <c r="B15" s="592"/>
      <c r="C15" s="264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</row>
    <row r="16">
      <c r="A16" s="222"/>
      <c r="B16" s="592"/>
      <c r="C16" s="264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</row>
    <row r="17">
      <c r="A17" s="222"/>
      <c r="B17" s="592"/>
      <c r="C17" s="264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</row>
    <row r="18">
      <c r="A18" s="222"/>
      <c r="B18" s="592"/>
      <c r="C18" s="264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</row>
    <row r="19">
      <c r="A19" s="222"/>
      <c r="B19" s="592"/>
      <c r="C19" s="264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</row>
    <row r="20">
      <c r="A20" s="222"/>
      <c r="B20" s="592"/>
      <c r="C20" s="264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</row>
    <row r="21" ht="15.75" customHeight="1">
      <c r="A21" s="222"/>
      <c r="B21" s="592"/>
      <c r="C21" s="264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</row>
    <row r="22" ht="15.75" customHeight="1">
      <c r="A22" s="222"/>
      <c r="B22" s="592"/>
      <c r="C22" s="264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</row>
    <row r="23" ht="15.75" customHeight="1">
      <c r="A23" s="222"/>
      <c r="B23" s="592"/>
      <c r="C23" s="264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</row>
    <row r="24" ht="15.75" customHeight="1">
      <c r="A24" s="222"/>
      <c r="B24" s="592"/>
      <c r="C24" s="264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</row>
    <row r="25" ht="15.75" customHeight="1">
      <c r="A25" s="222"/>
      <c r="B25" s="592"/>
      <c r="C25" s="264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</row>
    <row r="26" ht="15.75" customHeight="1">
      <c r="A26" s="222"/>
      <c r="B26" s="592"/>
      <c r="C26" s="264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</row>
    <row r="27" ht="15.75" customHeight="1">
      <c r="A27" s="222"/>
      <c r="B27" s="592"/>
      <c r="C27" s="264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</row>
    <row r="28" ht="15.75" customHeight="1">
      <c r="A28" s="222"/>
      <c r="B28" s="592"/>
      <c r="C28" s="264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</row>
    <row r="29" ht="15.75" customHeight="1">
      <c r="A29" s="222"/>
      <c r="B29" s="592"/>
      <c r="C29" s="264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</row>
    <row r="30" ht="15.75" customHeight="1">
      <c r="A30" s="222"/>
      <c r="B30" s="592"/>
      <c r="C30" s="264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</row>
    <row r="31" ht="15.75" customHeight="1">
      <c r="A31" s="222"/>
      <c r="B31" s="592"/>
      <c r="C31" s="264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</row>
    <row r="32" ht="15.75" customHeight="1">
      <c r="A32" s="222"/>
      <c r="B32" s="592"/>
      <c r="C32" s="264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</row>
    <row r="33" ht="15.75" customHeight="1">
      <c r="A33" s="222"/>
      <c r="B33" s="592"/>
      <c r="C33" s="264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</row>
    <row r="34" ht="15.75" customHeight="1">
      <c r="A34" s="222"/>
      <c r="B34" s="592"/>
      <c r="C34" s="264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</row>
    <row r="35" ht="15.75" customHeight="1">
      <c r="A35" s="222"/>
      <c r="B35" s="592"/>
      <c r="C35" s="264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</row>
    <row r="36" ht="15.75" customHeight="1">
      <c r="A36" s="222"/>
      <c r="B36" s="592"/>
      <c r="C36" s="264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</row>
    <row r="37" ht="15.75" customHeight="1">
      <c r="A37" s="222"/>
      <c r="B37" s="592"/>
      <c r="C37" s="264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</row>
    <row r="38" ht="15.75" customHeight="1">
      <c r="A38" s="222"/>
      <c r="B38" s="592"/>
      <c r="C38" s="264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</row>
    <row r="39" ht="15.75" customHeight="1">
      <c r="A39" s="222"/>
      <c r="B39" s="592"/>
      <c r="C39" s="264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</row>
    <row r="40" ht="15.75" customHeight="1">
      <c r="A40" s="222"/>
      <c r="B40" s="592"/>
      <c r="C40" s="264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</row>
    <row r="41" ht="15.75" customHeight="1">
      <c r="A41" s="222"/>
      <c r="B41" s="592"/>
      <c r="C41" s="264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</row>
    <row r="42" ht="15.75" customHeight="1">
      <c r="A42" s="222"/>
      <c r="B42" s="592"/>
      <c r="C42" s="264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</row>
    <row r="43" ht="15.75" customHeight="1">
      <c r="A43" s="222"/>
      <c r="B43" s="592"/>
      <c r="C43" s="264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</row>
    <row r="44" ht="15.75" customHeight="1">
      <c r="A44" s="222"/>
      <c r="B44" s="592"/>
      <c r="C44" s="264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</row>
    <row r="45" ht="15.75" customHeight="1">
      <c r="A45" s="222"/>
      <c r="B45" s="592"/>
      <c r="C45" s="264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</row>
    <row r="46" ht="15.75" customHeight="1">
      <c r="A46" s="222"/>
      <c r="B46" s="592"/>
      <c r="C46" s="264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</row>
    <row r="47" ht="15.75" customHeight="1">
      <c r="A47" s="222"/>
      <c r="B47" s="592"/>
      <c r="C47" s="264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</row>
    <row r="48" ht="15.75" customHeight="1">
      <c r="A48" s="222"/>
      <c r="B48" s="592"/>
      <c r="C48" s="264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</row>
    <row r="49" ht="15.75" customHeight="1">
      <c r="A49" s="222"/>
      <c r="B49" s="592"/>
      <c r="C49" s="264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</row>
    <row r="50" ht="15.75" customHeight="1">
      <c r="A50" s="222"/>
      <c r="B50" s="592"/>
      <c r="C50" s="264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</row>
    <row r="51" ht="15.75" customHeight="1">
      <c r="A51" s="222"/>
      <c r="B51" s="592"/>
      <c r="C51" s="264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</row>
    <row r="52" ht="15.75" customHeight="1">
      <c r="A52" s="222"/>
      <c r="B52" s="592"/>
      <c r="C52" s="264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</row>
    <row r="53" ht="15.75" customHeight="1">
      <c r="A53" s="222"/>
      <c r="B53" s="592"/>
      <c r="C53" s="264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</row>
    <row r="54" ht="15.75" customHeight="1">
      <c r="A54" s="222"/>
      <c r="B54" s="592"/>
      <c r="C54" s="264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</row>
    <row r="55" ht="15.75" customHeight="1">
      <c r="A55" s="222"/>
      <c r="B55" s="592"/>
      <c r="C55" s="264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</row>
    <row r="56" ht="15.75" customHeight="1">
      <c r="A56" s="222"/>
      <c r="B56" s="592"/>
      <c r="C56" s="264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</row>
    <row r="57" ht="15.75" customHeight="1">
      <c r="A57" s="222"/>
      <c r="B57" s="592"/>
      <c r="C57" s="264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</row>
    <row r="58" ht="15.75" customHeight="1">
      <c r="A58" s="222"/>
      <c r="B58" s="592"/>
      <c r="C58" s="264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</row>
    <row r="59" ht="15.75" customHeight="1">
      <c r="A59" s="222"/>
      <c r="B59" s="592"/>
      <c r="C59" s="264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</row>
    <row r="60" ht="15.75" customHeight="1">
      <c r="A60" s="222"/>
      <c r="B60" s="592"/>
      <c r="C60" s="264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</row>
    <row r="61" ht="15.75" customHeight="1">
      <c r="A61" s="222"/>
      <c r="B61" s="592"/>
      <c r="C61" s="264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</row>
    <row r="62" ht="15.75" customHeight="1">
      <c r="A62" s="222"/>
      <c r="B62" s="592"/>
      <c r="C62" s="264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</row>
    <row r="63" ht="15.75" customHeight="1">
      <c r="A63" s="222"/>
      <c r="B63" s="592"/>
      <c r="C63" s="264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</row>
    <row r="64" ht="15.75" customHeight="1">
      <c r="A64" s="222"/>
      <c r="B64" s="592"/>
      <c r="C64" s="264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</row>
    <row r="65" ht="15.75" customHeight="1">
      <c r="A65" s="222"/>
      <c r="B65" s="592"/>
      <c r="C65" s="264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</row>
    <row r="66" ht="15.75" customHeight="1">
      <c r="A66" s="222"/>
      <c r="B66" s="592"/>
      <c r="C66" s="264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</row>
    <row r="67" ht="15.75" customHeight="1">
      <c r="A67" s="222"/>
      <c r="B67" s="592"/>
      <c r="C67" s="264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</row>
    <row r="68" ht="15.75" customHeight="1">
      <c r="A68" s="222"/>
      <c r="B68" s="592"/>
      <c r="C68" s="264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</row>
    <row r="69" ht="15.75" customHeight="1">
      <c r="A69" s="222"/>
      <c r="B69" s="592"/>
      <c r="C69" s="264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</row>
    <row r="70" ht="15.75" customHeight="1">
      <c r="A70" s="222"/>
      <c r="B70" s="592"/>
      <c r="C70" s="264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</row>
    <row r="71" ht="15.75" customHeight="1">
      <c r="A71" s="222"/>
      <c r="B71" s="592"/>
      <c r="C71" s="264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</row>
    <row r="72" ht="15.75" customHeight="1">
      <c r="A72" s="222"/>
      <c r="B72" s="592"/>
      <c r="C72" s="264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</row>
    <row r="73" ht="15.75" customHeight="1">
      <c r="A73" s="222"/>
      <c r="B73" s="592"/>
      <c r="C73" s="264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</row>
    <row r="74" ht="15.75" customHeight="1">
      <c r="A74" s="222"/>
      <c r="B74" s="592"/>
      <c r="C74" s="264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</row>
    <row r="75" ht="15.75" customHeight="1">
      <c r="A75" s="222"/>
      <c r="B75" s="592"/>
      <c r="C75" s="264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</row>
    <row r="76" ht="15.75" customHeight="1">
      <c r="A76" s="222"/>
      <c r="B76" s="592"/>
      <c r="C76" s="264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</row>
    <row r="77" ht="15.75" customHeight="1">
      <c r="A77" s="222"/>
      <c r="B77" s="592"/>
      <c r="C77" s="264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</row>
    <row r="78" ht="15.75" customHeight="1">
      <c r="A78" s="222"/>
      <c r="B78" s="592"/>
      <c r="C78" s="264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</row>
    <row r="79" ht="15.75" customHeight="1">
      <c r="A79" s="222"/>
      <c r="B79" s="592"/>
      <c r="C79" s="264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</row>
    <row r="80" ht="15.75" customHeight="1">
      <c r="A80" s="222"/>
      <c r="B80" s="592"/>
      <c r="C80" s="264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</row>
    <row r="81" ht="15.75" customHeight="1">
      <c r="A81" s="222"/>
      <c r="B81" s="592"/>
      <c r="C81" s="264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</row>
    <row r="82" ht="15.75" customHeight="1">
      <c r="A82" s="222"/>
      <c r="B82" s="592"/>
      <c r="C82" s="264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</row>
    <row r="83" ht="15.75" customHeight="1">
      <c r="A83" s="222"/>
      <c r="B83" s="592"/>
      <c r="C83" s="264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</row>
    <row r="84" ht="15.75" customHeight="1">
      <c r="A84" s="222"/>
      <c r="B84" s="592"/>
      <c r="C84" s="264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</row>
    <row r="85" ht="15.75" customHeight="1">
      <c r="A85" s="222"/>
      <c r="B85" s="592"/>
      <c r="C85" s="264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</row>
    <row r="86" ht="15.75" customHeight="1">
      <c r="A86" s="222"/>
      <c r="B86" s="592"/>
      <c r="C86" s="264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</row>
    <row r="87" ht="15.75" customHeight="1">
      <c r="A87" s="222"/>
      <c r="B87" s="592"/>
      <c r="C87" s="264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</row>
    <row r="88" ht="15.75" customHeight="1">
      <c r="A88" s="222"/>
      <c r="B88" s="592"/>
      <c r="C88" s="264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</row>
    <row r="89" ht="15.75" customHeight="1">
      <c r="A89" s="222"/>
      <c r="B89" s="592"/>
      <c r="C89" s="264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</row>
    <row r="90" ht="15.75" customHeight="1">
      <c r="A90" s="222"/>
      <c r="B90" s="592"/>
      <c r="C90" s="264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</row>
    <row r="91" ht="15.75" customHeight="1">
      <c r="A91" s="222"/>
      <c r="B91" s="592"/>
      <c r="C91" s="264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</row>
    <row r="92" ht="15.75" customHeight="1">
      <c r="A92" s="222"/>
      <c r="B92" s="592"/>
      <c r="C92" s="264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</row>
    <row r="93" ht="15.75" customHeight="1">
      <c r="A93" s="222"/>
      <c r="B93" s="592"/>
      <c r="C93" s="264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</row>
    <row r="94" ht="15.75" customHeight="1">
      <c r="A94" s="222"/>
      <c r="B94" s="592"/>
      <c r="C94" s="264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</row>
    <row r="95" ht="15.75" customHeight="1">
      <c r="A95" s="222"/>
      <c r="B95" s="592"/>
      <c r="C95" s="264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</row>
    <row r="96" ht="15.75" customHeight="1">
      <c r="A96" s="222"/>
      <c r="B96" s="592"/>
      <c r="C96" s="264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</row>
    <row r="97" ht="15.75" customHeight="1">
      <c r="A97" s="222"/>
      <c r="B97" s="592"/>
      <c r="C97" s="264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</row>
    <row r="98" ht="15.75" customHeight="1">
      <c r="A98" s="222"/>
      <c r="B98" s="592"/>
      <c r="C98" s="264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</row>
    <row r="99" ht="15.75" customHeight="1">
      <c r="A99" s="222"/>
      <c r="B99" s="592"/>
      <c r="C99" s="264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</row>
    <row r="100" ht="15.75" customHeight="1">
      <c r="A100" s="222"/>
      <c r="B100" s="592"/>
      <c r="C100" s="264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</row>
    <row r="101" ht="15.75" customHeight="1">
      <c r="A101" s="222"/>
      <c r="B101" s="592"/>
      <c r="C101" s="264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</row>
    <row r="102" ht="15.75" customHeight="1">
      <c r="A102" s="222"/>
      <c r="B102" s="592"/>
      <c r="C102" s="264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</row>
    <row r="103" ht="15.75" customHeight="1">
      <c r="A103" s="222"/>
      <c r="B103" s="592"/>
      <c r="C103" s="264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</row>
    <row r="104" ht="15.75" customHeight="1">
      <c r="A104" s="222"/>
      <c r="B104" s="592"/>
      <c r="C104" s="264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</row>
    <row r="105" ht="15.75" customHeight="1">
      <c r="A105" s="222"/>
      <c r="B105" s="592"/>
      <c r="C105" s="264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</row>
    <row r="106" ht="15.75" customHeight="1">
      <c r="A106" s="222"/>
      <c r="B106" s="592"/>
      <c r="C106" s="264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</row>
    <row r="107" ht="15.75" customHeight="1">
      <c r="A107" s="222"/>
      <c r="B107" s="592"/>
      <c r="C107" s="264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</row>
    <row r="108" ht="15.75" customHeight="1">
      <c r="A108" s="222"/>
      <c r="B108" s="592"/>
      <c r="C108" s="264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</row>
    <row r="109" ht="15.75" customHeight="1">
      <c r="A109" s="222"/>
      <c r="B109" s="592"/>
      <c r="C109" s="264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</row>
    <row r="110" ht="15.75" customHeight="1">
      <c r="A110" s="222"/>
      <c r="B110" s="592"/>
      <c r="C110" s="264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</row>
    <row r="111" ht="15.75" customHeight="1">
      <c r="A111" s="222"/>
      <c r="B111" s="592"/>
      <c r="C111" s="264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</row>
    <row r="112" ht="15.75" customHeight="1">
      <c r="A112" s="222"/>
      <c r="B112" s="592"/>
      <c r="C112" s="264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</row>
    <row r="113" ht="15.75" customHeight="1">
      <c r="A113" s="222"/>
      <c r="B113" s="592"/>
      <c r="C113" s="264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</row>
    <row r="114" ht="15.75" customHeight="1">
      <c r="A114" s="222"/>
      <c r="B114" s="592"/>
      <c r="C114" s="264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</row>
    <row r="115" ht="15.75" customHeight="1">
      <c r="A115" s="222"/>
      <c r="B115" s="592"/>
      <c r="C115" s="264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</row>
    <row r="116" ht="15.75" customHeight="1">
      <c r="A116" s="222"/>
      <c r="B116" s="592"/>
      <c r="C116" s="264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</row>
    <row r="117" ht="15.75" customHeight="1">
      <c r="A117" s="222"/>
      <c r="B117" s="592"/>
      <c r="C117" s="264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</row>
    <row r="118" ht="15.75" customHeight="1">
      <c r="A118" s="222"/>
      <c r="B118" s="592"/>
      <c r="C118" s="264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</row>
    <row r="119" ht="15.75" customHeight="1">
      <c r="A119" s="222"/>
      <c r="B119" s="592"/>
      <c r="C119" s="264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</row>
    <row r="120" ht="15.75" customHeight="1">
      <c r="A120" s="222"/>
      <c r="B120" s="592"/>
      <c r="C120" s="264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</row>
    <row r="121" ht="15.75" customHeight="1">
      <c r="A121" s="222"/>
      <c r="B121" s="592"/>
      <c r="C121" s="264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</row>
    <row r="122" ht="15.75" customHeight="1">
      <c r="A122" s="222"/>
      <c r="B122" s="592"/>
      <c r="C122" s="264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</row>
    <row r="123" ht="15.75" customHeight="1">
      <c r="A123" s="222"/>
      <c r="B123" s="592"/>
      <c r="C123" s="264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</row>
    <row r="124" ht="15.75" customHeight="1">
      <c r="A124" s="222"/>
      <c r="B124" s="592"/>
      <c r="C124" s="264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</row>
    <row r="125" ht="15.75" customHeight="1">
      <c r="A125" s="222"/>
      <c r="B125" s="592"/>
      <c r="C125" s="264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</row>
    <row r="126" ht="15.75" customHeight="1">
      <c r="A126" s="222"/>
      <c r="B126" s="592"/>
      <c r="C126" s="264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</row>
    <row r="127" ht="15.75" customHeight="1">
      <c r="A127" s="222"/>
      <c r="B127" s="592"/>
      <c r="C127" s="264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</row>
    <row r="128" ht="15.75" customHeight="1">
      <c r="A128" s="222"/>
      <c r="B128" s="592"/>
      <c r="C128" s="264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</row>
    <row r="129" ht="15.75" customHeight="1">
      <c r="A129" s="222"/>
      <c r="B129" s="592"/>
      <c r="C129" s="264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</row>
    <row r="130" ht="15.75" customHeight="1">
      <c r="A130" s="222"/>
      <c r="B130" s="592"/>
      <c r="C130" s="264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</row>
    <row r="131" ht="15.75" customHeight="1">
      <c r="A131" s="222"/>
      <c r="B131" s="592"/>
      <c r="C131" s="264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</row>
    <row r="132" ht="15.75" customHeight="1">
      <c r="A132" s="222"/>
      <c r="B132" s="592"/>
      <c r="C132" s="264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</row>
    <row r="133" ht="15.75" customHeight="1">
      <c r="A133" s="222"/>
      <c r="B133" s="592"/>
      <c r="C133" s="264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</row>
    <row r="134" ht="15.75" customHeight="1">
      <c r="A134" s="222"/>
      <c r="B134" s="592"/>
      <c r="C134" s="264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</row>
    <row r="135" ht="15.75" customHeight="1">
      <c r="A135" s="222"/>
      <c r="B135" s="592"/>
      <c r="C135" s="264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</row>
    <row r="136" ht="15.75" customHeight="1">
      <c r="A136" s="222"/>
      <c r="B136" s="592"/>
      <c r="C136" s="264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</row>
    <row r="137" ht="15.75" customHeight="1">
      <c r="A137" s="222"/>
      <c r="B137" s="592"/>
      <c r="C137" s="264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</row>
    <row r="138" ht="15.75" customHeight="1">
      <c r="A138" s="222"/>
      <c r="B138" s="592"/>
      <c r="C138" s="264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</row>
    <row r="139" ht="15.75" customHeight="1">
      <c r="A139" s="222"/>
      <c r="B139" s="592"/>
      <c r="C139" s="264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</row>
    <row r="140" ht="15.75" customHeight="1">
      <c r="A140" s="222"/>
      <c r="B140" s="592"/>
      <c r="C140" s="264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</row>
    <row r="141" ht="15.75" customHeight="1">
      <c r="A141" s="222"/>
      <c r="B141" s="592"/>
      <c r="C141" s="264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</row>
    <row r="142" ht="15.75" customHeight="1">
      <c r="A142" s="222"/>
      <c r="B142" s="592"/>
      <c r="C142" s="264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</row>
    <row r="143" ht="15.75" customHeight="1">
      <c r="A143" s="222"/>
      <c r="B143" s="592"/>
      <c r="C143" s="264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</row>
    <row r="144" ht="15.75" customHeight="1">
      <c r="A144" s="222"/>
      <c r="B144" s="592"/>
      <c r="C144" s="264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</row>
    <row r="145" ht="15.75" customHeight="1">
      <c r="A145" s="222"/>
      <c r="B145" s="592"/>
      <c r="C145" s="264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</row>
    <row r="146" ht="15.75" customHeight="1">
      <c r="A146" s="222"/>
      <c r="B146" s="592"/>
      <c r="C146" s="264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</row>
    <row r="147" ht="15.75" customHeight="1">
      <c r="A147" s="222"/>
      <c r="B147" s="592"/>
      <c r="C147" s="264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</row>
    <row r="148" ht="15.75" customHeight="1">
      <c r="A148" s="222"/>
      <c r="B148" s="592"/>
      <c r="C148" s="264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</row>
    <row r="149" ht="15.75" customHeight="1">
      <c r="A149" s="222"/>
      <c r="B149" s="592"/>
      <c r="C149" s="264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</row>
    <row r="150" ht="15.75" customHeight="1">
      <c r="A150" s="222"/>
      <c r="B150" s="592"/>
      <c r="C150" s="264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</row>
    <row r="151" ht="15.75" customHeight="1">
      <c r="A151" s="222"/>
      <c r="B151" s="592"/>
      <c r="C151" s="264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</row>
    <row r="152" ht="15.75" customHeight="1">
      <c r="A152" s="222"/>
      <c r="B152" s="592"/>
      <c r="C152" s="264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</row>
    <row r="153" ht="15.75" customHeight="1">
      <c r="A153" s="222"/>
      <c r="B153" s="592"/>
      <c r="C153" s="264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</row>
    <row r="154" ht="15.75" customHeight="1">
      <c r="A154" s="222"/>
      <c r="B154" s="592"/>
      <c r="C154" s="264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</row>
    <row r="155" ht="15.75" customHeight="1">
      <c r="A155" s="222"/>
      <c r="B155" s="592"/>
      <c r="C155" s="264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</row>
    <row r="156" ht="15.75" customHeight="1">
      <c r="A156" s="222"/>
      <c r="B156" s="592"/>
      <c r="C156" s="264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</row>
    <row r="157" ht="15.75" customHeight="1">
      <c r="A157" s="222"/>
      <c r="B157" s="592"/>
      <c r="C157" s="264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</row>
    <row r="158" ht="15.75" customHeight="1">
      <c r="A158" s="222"/>
      <c r="B158" s="592"/>
      <c r="C158" s="264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</row>
    <row r="159" ht="15.75" customHeight="1">
      <c r="A159" s="222"/>
      <c r="B159" s="592"/>
      <c r="C159" s="264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</row>
    <row r="160" ht="15.75" customHeight="1">
      <c r="A160" s="222"/>
      <c r="B160" s="592"/>
      <c r="C160" s="264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</row>
    <row r="161" ht="15.75" customHeight="1">
      <c r="A161" s="222"/>
      <c r="B161" s="592"/>
      <c r="C161" s="264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</row>
    <row r="162" ht="15.75" customHeight="1">
      <c r="A162" s="222"/>
      <c r="B162" s="592"/>
      <c r="C162" s="264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</row>
    <row r="163" ht="15.75" customHeight="1">
      <c r="A163" s="222"/>
      <c r="B163" s="592"/>
      <c r="C163" s="264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</row>
    <row r="164" ht="15.75" customHeight="1">
      <c r="A164" s="222"/>
      <c r="B164" s="592"/>
      <c r="C164" s="264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</row>
    <row r="165" ht="15.75" customHeight="1">
      <c r="A165" s="222"/>
      <c r="B165" s="592"/>
      <c r="C165" s="264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</row>
    <row r="166" ht="15.75" customHeight="1">
      <c r="A166" s="222"/>
      <c r="B166" s="592"/>
      <c r="C166" s="264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</row>
    <row r="167" ht="15.75" customHeight="1">
      <c r="A167" s="222"/>
      <c r="B167" s="592"/>
      <c r="C167" s="264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</row>
    <row r="168" ht="15.75" customHeight="1">
      <c r="A168" s="222"/>
      <c r="B168" s="592"/>
      <c r="C168" s="264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</row>
    <row r="169" ht="15.75" customHeight="1">
      <c r="A169" s="222"/>
      <c r="B169" s="592"/>
      <c r="C169" s="264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</row>
    <row r="170" ht="15.75" customHeight="1">
      <c r="A170" s="222"/>
      <c r="B170" s="592"/>
      <c r="C170" s="264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</row>
    <row r="171" ht="15.75" customHeight="1">
      <c r="A171" s="222"/>
      <c r="B171" s="592"/>
      <c r="C171" s="264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</row>
    <row r="172" ht="15.75" customHeight="1">
      <c r="A172" s="222"/>
      <c r="B172" s="592"/>
      <c r="C172" s="264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</row>
    <row r="173" ht="15.75" customHeight="1">
      <c r="A173" s="222"/>
      <c r="B173" s="592"/>
      <c r="C173" s="264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</row>
    <row r="174" ht="15.75" customHeight="1">
      <c r="A174" s="222"/>
      <c r="B174" s="592"/>
      <c r="C174" s="264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</row>
    <row r="175" ht="15.75" customHeight="1">
      <c r="A175" s="222"/>
      <c r="B175" s="592"/>
      <c r="C175" s="264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</row>
    <row r="176" ht="15.75" customHeight="1">
      <c r="A176" s="222"/>
      <c r="B176" s="592"/>
      <c r="C176" s="264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</row>
    <row r="177" ht="15.75" customHeight="1">
      <c r="A177" s="222"/>
      <c r="B177" s="592"/>
      <c r="C177" s="264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</row>
    <row r="178" ht="15.75" customHeight="1">
      <c r="A178" s="222"/>
      <c r="B178" s="592"/>
      <c r="C178" s="264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</row>
    <row r="179" ht="15.75" customHeight="1">
      <c r="A179" s="222"/>
      <c r="B179" s="592"/>
      <c r="C179" s="264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</row>
    <row r="180" ht="15.75" customHeight="1">
      <c r="A180" s="222"/>
      <c r="B180" s="592"/>
      <c r="C180" s="264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</row>
    <row r="181" ht="15.75" customHeight="1">
      <c r="A181" s="222"/>
      <c r="B181" s="592"/>
      <c r="C181" s="264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</row>
    <row r="182" ht="15.75" customHeight="1">
      <c r="A182" s="222"/>
      <c r="B182" s="592"/>
      <c r="C182" s="264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</row>
    <row r="183" ht="15.75" customHeight="1">
      <c r="A183" s="222"/>
      <c r="B183" s="592"/>
      <c r="C183" s="264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</row>
    <row r="184" ht="15.75" customHeight="1">
      <c r="A184" s="222"/>
      <c r="B184" s="592"/>
      <c r="C184" s="264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</row>
    <row r="185" ht="15.75" customHeight="1">
      <c r="A185" s="222"/>
      <c r="B185" s="592"/>
      <c r="C185" s="264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</row>
    <row r="186" ht="15.75" customHeight="1">
      <c r="A186" s="222"/>
      <c r="B186" s="592"/>
      <c r="C186" s="264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</row>
    <row r="187" ht="15.75" customHeight="1">
      <c r="A187" s="222"/>
      <c r="B187" s="592"/>
      <c r="C187" s="264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</row>
    <row r="188" ht="15.75" customHeight="1">
      <c r="A188" s="222"/>
      <c r="B188" s="592"/>
      <c r="C188" s="264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</row>
    <row r="189" ht="15.75" customHeight="1">
      <c r="A189" s="222"/>
      <c r="B189" s="592"/>
      <c r="C189" s="264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</row>
    <row r="190" ht="15.75" customHeight="1">
      <c r="A190" s="222"/>
      <c r="B190" s="592"/>
      <c r="C190" s="264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</row>
    <row r="191" ht="15.75" customHeight="1">
      <c r="A191" s="222"/>
      <c r="B191" s="592"/>
      <c r="C191" s="264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</row>
    <row r="192" ht="15.75" customHeight="1">
      <c r="A192" s="222"/>
      <c r="B192" s="592"/>
      <c r="C192" s="264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</row>
    <row r="193" ht="15.75" customHeight="1">
      <c r="A193" s="222"/>
      <c r="B193" s="592"/>
      <c r="C193" s="264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</row>
    <row r="194" ht="15.75" customHeight="1">
      <c r="A194" s="222"/>
      <c r="B194" s="592"/>
      <c r="C194" s="264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</row>
    <row r="195" ht="15.75" customHeight="1">
      <c r="A195" s="222"/>
      <c r="B195" s="592"/>
      <c r="C195" s="264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</row>
    <row r="196" ht="15.75" customHeight="1">
      <c r="A196" s="222"/>
      <c r="B196" s="592"/>
      <c r="C196" s="264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</row>
    <row r="197" ht="15.75" customHeight="1">
      <c r="A197" s="222"/>
      <c r="B197" s="592"/>
      <c r="C197" s="264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</row>
    <row r="198" ht="15.75" customHeight="1">
      <c r="A198" s="222"/>
      <c r="B198" s="592"/>
      <c r="C198" s="264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</row>
    <row r="199" ht="15.75" customHeight="1">
      <c r="A199" s="222"/>
      <c r="B199" s="592"/>
      <c r="C199" s="264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</row>
    <row r="200" ht="15.75" customHeight="1">
      <c r="A200" s="222"/>
      <c r="B200" s="592"/>
      <c r="C200" s="264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</row>
    <row r="201" ht="15.75" customHeight="1">
      <c r="A201" s="222"/>
      <c r="B201" s="592"/>
      <c r="C201" s="264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</row>
    <row r="202" ht="15.75" customHeight="1">
      <c r="A202" s="222"/>
      <c r="B202" s="592"/>
      <c r="C202" s="264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</row>
    <row r="203" ht="15.75" customHeight="1">
      <c r="A203" s="222"/>
      <c r="B203" s="592"/>
      <c r="C203" s="264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</row>
    <row r="204" ht="15.75" customHeight="1">
      <c r="A204" s="222"/>
      <c r="B204" s="592"/>
      <c r="C204" s="264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</row>
    <row r="205" ht="15.75" customHeight="1">
      <c r="A205" s="222"/>
      <c r="B205" s="592"/>
      <c r="C205" s="264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</row>
    <row r="206" ht="15.75" customHeight="1">
      <c r="A206" s="222"/>
      <c r="B206" s="592"/>
      <c r="C206" s="264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</row>
    <row r="207" ht="15.75" customHeight="1">
      <c r="A207" s="222"/>
      <c r="B207" s="592"/>
      <c r="C207" s="264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</row>
    <row r="208" ht="15.75" customHeight="1">
      <c r="A208" s="222"/>
      <c r="B208" s="592"/>
      <c r="C208" s="264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</row>
    <row r="209" ht="15.75" customHeight="1">
      <c r="A209" s="222"/>
      <c r="B209" s="592"/>
      <c r="C209" s="264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</row>
    <row r="210" ht="15.75" customHeight="1">
      <c r="A210" s="222"/>
      <c r="B210" s="592"/>
      <c r="C210" s="264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</row>
    <row r="211" ht="15.75" customHeight="1">
      <c r="A211" s="222"/>
      <c r="B211" s="592"/>
      <c r="C211" s="264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</row>
    <row r="212" ht="15.75" customHeight="1">
      <c r="A212" s="222"/>
      <c r="B212" s="592"/>
      <c r="C212" s="264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</row>
    <row r="213" ht="15.75" customHeight="1">
      <c r="A213" s="222"/>
      <c r="B213" s="592"/>
      <c r="C213" s="264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</row>
    <row r="214" ht="15.75" customHeight="1">
      <c r="A214" s="222"/>
      <c r="B214" s="592"/>
      <c r="C214" s="264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</row>
    <row r="215" ht="15.75" customHeight="1">
      <c r="A215" s="222"/>
      <c r="B215" s="592"/>
      <c r="C215" s="264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</row>
    <row r="216" ht="15.75" customHeight="1">
      <c r="A216" s="222"/>
      <c r="B216" s="592"/>
      <c r="C216" s="264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</row>
    <row r="217" ht="15.75" customHeight="1">
      <c r="A217" s="222"/>
      <c r="B217" s="592"/>
      <c r="C217" s="264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</row>
    <row r="218" ht="15.75" customHeight="1">
      <c r="A218" s="222"/>
      <c r="B218" s="592"/>
      <c r="C218" s="264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</row>
    <row r="219" ht="15.75" customHeight="1">
      <c r="A219" s="222"/>
      <c r="B219" s="592"/>
      <c r="C219" s="264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</row>
    <row r="220" ht="15.75" customHeight="1">
      <c r="A220" s="222"/>
      <c r="B220" s="592"/>
      <c r="C220" s="264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93"/>
      <c r="B1" s="594"/>
      <c r="C1" s="594"/>
      <c r="D1" s="594"/>
      <c r="E1" s="594"/>
      <c r="F1" s="595"/>
      <c r="G1" s="596"/>
      <c r="H1" s="596"/>
      <c r="I1" s="594"/>
      <c r="J1" s="597" t="s">
        <v>223</v>
      </c>
      <c r="K1" s="38"/>
      <c r="L1" s="39"/>
      <c r="M1" s="598"/>
    </row>
    <row r="2" ht="33.75" customHeight="1">
      <c r="A2" s="599" t="s">
        <v>224</v>
      </c>
      <c r="B2" s="600" t="s">
        <v>225</v>
      </c>
      <c r="C2" s="600" t="s">
        <v>226</v>
      </c>
      <c r="D2" s="600" t="s">
        <v>104</v>
      </c>
      <c r="E2" s="600" t="s">
        <v>201</v>
      </c>
      <c r="F2" s="601" t="s">
        <v>227</v>
      </c>
      <c r="G2" s="600" t="s">
        <v>56</v>
      </c>
      <c r="H2" s="600" t="s">
        <v>50</v>
      </c>
      <c r="I2" s="600" t="s">
        <v>228</v>
      </c>
      <c r="J2" s="600" t="s">
        <v>229</v>
      </c>
      <c r="K2" s="600" t="s">
        <v>230</v>
      </c>
      <c r="L2" s="600" t="s">
        <v>231</v>
      </c>
      <c r="M2" s="600" t="s">
        <v>232</v>
      </c>
      <c r="N2" s="602" t="s">
        <v>233</v>
      </c>
      <c r="O2" s="603"/>
      <c r="P2" s="603"/>
      <c r="Q2" s="603"/>
      <c r="R2" s="603"/>
      <c r="S2" s="603"/>
      <c r="T2" s="603"/>
      <c r="U2" s="603"/>
      <c r="V2" s="603"/>
      <c r="W2" s="603"/>
      <c r="X2" s="603"/>
      <c r="Y2" s="603"/>
      <c r="Z2" s="603"/>
    </row>
    <row r="3" ht="16.5" hidden="1" customHeight="1">
      <c r="A3" s="604">
        <v>44105.0</v>
      </c>
      <c r="B3" s="605">
        <f>90+90+90+490+50+360+180</f>
        <v>1350</v>
      </c>
      <c r="C3" s="605"/>
      <c r="D3" s="605"/>
      <c r="E3" s="605"/>
      <c r="F3" s="606"/>
      <c r="G3" s="607">
        <f t="shared" ref="G3:G33" si="1">B3+C3+D3+E3+F3</f>
        <v>1350</v>
      </c>
      <c r="H3" s="608" t="s">
        <v>234</v>
      </c>
      <c r="I3" s="605" t="str">
        <f t="shared" ref="I3:I33" si="2">G3-H3</f>
        <v>#VALUE!</v>
      </c>
      <c r="J3" s="593"/>
      <c r="K3" s="593"/>
      <c r="L3" s="593"/>
      <c r="M3" s="593"/>
    </row>
    <row r="4" ht="16.5" hidden="1" customHeight="1">
      <c r="A4" s="604">
        <v>44106.0</v>
      </c>
      <c r="B4" s="605">
        <f>90+290+180+270+580+90</f>
        <v>1500</v>
      </c>
      <c r="C4" s="605"/>
      <c r="D4" s="605"/>
      <c r="E4" s="605"/>
      <c r="F4" s="606">
        <f>690+770+890+680+1190+90+90</f>
        <v>4400</v>
      </c>
      <c r="G4" s="607">
        <f t="shared" si="1"/>
        <v>5900</v>
      </c>
      <c r="H4" s="608" t="s">
        <v>235</v>
      </c>
      <c r="I4" s="605" t="str">
        <f t="shared" si="2"/>
        <v>#VALUE!</v>
      </c>
      <c r="J4" s="593"/>
      <c r="K4" s="593"/>
      <c r="L4" s="593"/>
      <c r="M4" s="593"/>
    </row>
    <row r="5" hidden="1">
      <c r="A5" s="604">
        <v>44107.0</v>
      </c>
      <c r="B5" s="605">
        <f>90+180+90+50+90+860+270+480+120+1580+90</f>
        <v>3900</v>
      </c>
      <c r="C5" s="605"/>
      <c r="D5" s="605"/>
      <c r="E5" s="605"/>
      <c r="F5" s="606" t="s">
        <v>236</v>
      </c>
      <c r="G5" s="607" t="str">
        <f t="shared" si="1"/>
        <v>#VALUE!</v>
      </c>
      <c r="H5" s="608" t="s">
        <v>237</v>
      </c>
      <c r="I5" s="609" t="str">
        <f t="shared" si="2"/>
        <v>#VALUE!</v>
      </c>
      <c r="J5" s="593"/>
      <c r="K5" s="593"/>
      <c r="L5" s="593"/>
      <c r="M5" s="593"/>
    </row>
    <row r="6" hidden="1">
      <c r="A6" s="604">
        <v>44108.0</v>
      </c>
      <c r="B6" s="605">
        <f>490+90+490+890+2670+580+490+90+90+90+180+90+290+180+1280+490+270+390+860+650+510+270+890+590+390+790+390+290+680+90+1110+1280+1070+180+120+1380+1580+1380+180</f>
        <v>23820</v>
      </c>
      <c r="C6" s="605"/>
      <c r="D6" s="605"/>
      <c r="E6" s="605"/>
      <c r="F6" s="606">
        <f>590+1380+1770+510+490+750+180+140+680+890+360+890+590+1190</f>
        <v>10410</v>
      </c>
      <c r="G6" s="607">
        <f t="shared" si="1"/>
        <v>34230</v>
      </c>
      <c r="H6" s="608" t="s">
        <v>238</v>
      </c>
      <c r="I6" s="605" t="str">
        <f t="shared" si="2"/>
        <v>#VALUE!</v>
      </c>
      <c r="J6" s="593"/>
      <c r="K6" s="593"/>
      <c r="L6" s="593"/>
      <c r="M6" s="593"/>
    </row>
    <row r="7" hidden="1">
      <c r="A7" s="604">
        <v>44109.0</v>
      </c>
      <c r="B7" s="605">
        <f>380+90+90+90</f>
        <v>650</v>
      </c>
      <c r="C7" s="605"/>
      <c r="D7" s="605"/>
      <c r="E7" s="605"/>
      <c r="F7" s="606"/>
      <c r="G7" s="607">
        <f t="shared" si="1"/>
        <v>650</v>
      </c>
      <c r="H7" s="608">
        <v>650.0</v>
      </c>
      <c r="I7" s="605">
        <f t="shared" si="2"/>
        <v>0</v>
      </c>
      <c r="J7" s="593"/>
      <c r="K7" s="593"/>
      <c r="L7" s="593"/>
      <c r="M7" s="593"/>
    </row>
    <row r="8" hidden="1">
      <c r="A8" s="604">
        <v>44110.0</v>
      </c>
      <c r="B8" s="605">
        <f>360+490+190+180+680+870</f>
        <v>2770</v>
      </c>
      <c r="C8" s="605"/>
      <c r="D8" s="605"/>
      <c r="E8" s="605"/>
      <c r="F8" s="606">
        <v>180.0</v>
      </c>
      <c r="G8" s="607">
        <f t="shared" si="1"/>
        <v>2950</v>
      </c>
      <c r="H8" s="608" t="s">
        <v>239</v>
      </c>
      <c r="I8" s="605" t="str">
        <f t="shared" si="2"/>
        <v>#VALUE!</v>
      </c>
      <c r="J8" s="593"/>
      <c r="K8" s="593"/>
      <c r="L8" s="593"/>
      <c r="M8" s="593"/>
    </row>
    <row r="9" hidden="1">
      <c r="A9" s="604">
        <v>44111.0</v>
      </c>
      <c r="B9" s="605">
        <f>890+90+270+270+90</f>
        <v>1610</v>
      </c>
      <c r="C9" s="605"/>
      <c r="D9" s="605"/>
      <c r="E9" s="605"/>
      <c r="F9" s="606">
        <v>270.0</v>
      </c>
      <c r="G9" s="607">
        <f t="shared" si="1"/>
        <v>1880</v>
      </c>
      <c r="H9" s="608" t="s">
        <v>240</v>
      </c>
      <c r="I9" s="605" t="str">
        <f t="shared" si="2"/>
        <v>#VALUE!</v>
      </c>
      <c r="J9" s="593"/>
      <c r="K9" s="593"/>
      <c r="L9" s="593"/>
      <c r="M9" s="593"/>
    </row>
    <row r="10" hidden="1">
      <c r="A10" s="604">
        <v>44112.0</v>
      </c>
      <c r="B10" s="605">
        <f>590+90+90+90+100+490+190</f>
        <v>1640</v>
      </c>
      <c r="C10" s="605"/>
      <c r="D10" s="605"/>
      <c r="E10" s="605"/>
      <c r="F10" s="606">
        <f>90+490+140+480+100</f>
        <v>1300</v>
      </c>
      <c r="G10" s="607">
        <f t="shared" si="1"/>
        <v>2940</v>
      </c>
      <c r="H10" s="608" t="s">
        <v>241</v>
      </c>
      <c r="I10" s="605" t="str">
        <f t="shared" si="2"/>
        <v>#VALUE!</v>
      </c>
      <c r="J10" s="593"/>
      <c r="K10" s="593"/>
      <c r="L10" s="593"/>
      <c r="M10" s="593"/>
    </row>
    <row r="11" hidden="1">
      <c r="A11" s="604">
        <v>44113.0</v>
      </c>
      <c r="B11" s="605">
        <f>90+90+420+180+490+590+90+1280+90</f>
        <v>3320</v>
      </c>
      <c r="C11" s="605"/>
      <c r="D11" s="605"/>
      <c r="E11" s="605"/>
      <c r="F11" s="606">
        <f>490+630+670+880+670+290+590+490</f>
        <v>4710</v>
      </c>
      <c r="G11" s="607">
        <f t="shared" si="1"/>
        <v>8030</v>
      </c>
      <c r="H11" s="608" t="s">
        <v>242</v>
      </c>
      <c r="I11" s="605" t="str">
        <f t="shared" si="2"/>
        <v>#VALUE!</v>
      </c>
      <c r="J11" s="593"/>
      <c r="K11" s="593"/>
      <c r="L11" s="593"/>
      <c r="M11" s="593"/>
    </row>
    <row r="12" hidden="1">
      <c r="A12" s="604">
        <v>44114.0</v>
      </c>
      <c r="B12" s="605">
        <f>50+590+270+1190+180+90+180+90+90+890+490+90+50+180+390+890+90+540</f>
        <v>6340</v>
      </c>
      <c r="C12" s="605"/>
      <c r="D12" s="605"/>
      <c r="E12" s="605"/>
      <c r="F12" s="606">
        <f>980+490+590+180+360+2370+1480+490+1480</f>
        <v>8420</v>
      </c>
      <c r="G12" s="607">
        <f t="shared" si="1"/>
        <v>14760</v>
      </c>
      <c r="H12" s="608" t="s">
        <v>243</v>
      </c>
      <c r="I12" s="605" t="str">
        <f t="shared" si="2"/>
        <v>#VALUE!</v>
      </c>
      <c r="J12" s="593"/>
      <c r="K12" s="593"/>
      <c r="L12" s="593"/>
      <c r="M12" s="593"/>
    </row>
    <row r="13" hidden="1">
      <c r="A13" s="604">
        <v>44115.0</v>
      </c>
      <c r="B13" s="605">
        <f>270+90+690+390+1780+180+590+1080+11300+690+590+780+100+90+490+290+90+90+590+590+590+90</f>
        <v>21440</v>
      </c>
      <c r="C13" s="605"/>
      <c r="D13" s="605"/>
      <c r="E13" s="605"/>
      <c r="F13" s="606">
        <f>680+590+1580+230+1380+580+1750+680+860+670+490+890+1380+390+270+90+2960+1260+1470+590+390+270+360+190+290+360</f>
        <v>20650</v>
      </c>
      <c r="G13" s="607">
        <f t="shared" si="1"/>
        <v>42090</v>
      </c>
      <c r="H13" s="608" t="s">
        <v>244</v>
      </c>
      <c r="I13" s="609" t="str">
        <f t="shared" si="2"/>
        <v>#VALUE!</v>
      </c>
      <c r="J13" s="593"/>
      <c r="K13" s="593"/>
      <c r="L13" s="593"/>
      <c r="M13" s="593"/>
    </row>
    <row r="14" hidden="1">
      <c r="A14" s="604">
        <v>44116.0</v>
      </c>
      <c r="B14" s="605">
        <f>180+90+90+450+90+180+290+980+180+990+570</f>
        <v>4090</v>
      </c>
      <c r="C14" s="605"/>
      <c r="D14" s="605"/>
      <c r="E14" s="605"/>
      <c r="F14" s="606">
        <f>890+680</f>
        <v>1570</v>
      </c>
      <c r="G14" s="607">
        <f t="shared" si="1"/>
        <v>5660</v>
      </c>
      <c r="H14" s="608" t="s">
        <v>245</v>
      </c>
      <c r="I14" s="605" t="str">
        <f t="shared" si="2"/>
        <v>#VALUE!</v>
      </c>
      <c r="J14" s="593"/>
      <c r="K14" s="593"/>
      <c r="L14" s="593"/>
      <c r="M14" s="593"/>
    </row>
    <row r="15" hidden="1">
      <c r="A15" s="604">
        <v>44117.0</v>
      </c>
      <c r="B15" s="605">
        <f>90+890+390+590+1190+890</f>
        <v>4040</v>
      </c>
      <c r="C15" s="605"/>
      <c r="D15" s="605"/>
      <c r="E15" s="605"/>
      <c r="F15" s="606">
        <f>590+190</f>
        <v>780</v>
      </c>
      <c r="G15" s="607">
        <f t="shared" si="1"/>
        <v>4820</v>
      </c>
      <c r="H15" s="608" t="s">
        <v>246</v>
      </c>
      <c r="I15" s="605" t="str">
        <f t="shared" si="2"/>
        <v>#VALUE!</v>
      </c>
      <c r="J15" s="593"/>
      <c r="K15" s="593"/>
      <c r="L15" s="593"/>
      <c r="M15" s="593"/>
    </row>
    <row r="16" hidden="1">
      <c r="A16" s="604">
        <v>44118.0</v>
      </c>
      <c r="B16" s="605">
        <f>890+50+990+390+270+90+90+100+90+270+300</f>
        <v>3530</v>
      </c>
      <c r="C16" s="605"/>
      <c r="D16" s="605"/>
      <c r="E16" s="605"/>
      <c r="F16" s="606"/>
      <c r="G16" s="607">
        <f t="shared" si="1"/>
        <v>3530</v>
      </c>
      <c r="H16" s="608" t="s">
        <v>247</v>
      </c>
      <c r="I16" s="605" t="str">
        <f t="shared" si="2"/>
        <v>#VALUE!</v>
      </c>
      <c r="J16" s="593"/>
      <c r="K16" s="593"/>
      <c r="L16" s="593"/>
      <c r="M16" s="593"/>
    </row>
    <row r="17" hidden="1">
      <c r="A17" s="604">
        <v>44119.0</v>
      </c>
      <c r="B17" s="605">
        <f>890+490+490+590+1740+590</f>
        <v>4790</v>
      </c>
      <c r="C17" s="605"/>
      <c r="D17" s="605"/>
      <c r="E17" s="605"/>
      <c r="F17" s="606">
        <f>670+590+1190+290+90+390+590+1080</f>
        <v>4890</v>
      </c>
      <c r="G17" s="607">
        <f t="shared" si="1"/>
        <v>9680</v>
      </c>
      <c r="H17" s="608" t="s">
        <v>248</v>
      </c>
      <c r="I17" s="609" t="str">
        <f t="shared" si="2"/>
        <v>#VALUE!</v>
      </c>
      <c r="J17" s="593"/>
      <c r="K17" s="593"/>
      <c r="L17" s="593"/>
      <c r="M17" s="593"/>
    </row>
    <row r="18" hidden="1">
      <c r="A18" s="604">
        <v>44120.0</v>
      </c>
      <c r="B18" s="605">
        <f>390+290+730+90+360+3170+290+2180+360</f>
        <v>7860</v>
      </c>
      <c r="C18" s="605"/>
      <c r="D18" s="605"/>
      <c r="E18" s="605"/>
      <c r="F18" s="606">
        <f>590+1170+980+1080+180</f>
        <v>4000</v>
      </c>
      <c r="G18" s="607">
        <f t="shared" si="1"/>
        <v>11860</v>
      </c>
      <c r="H18" s="608" t="s">
        <v>249</v>
      </c>
      <c r="I18" s="605" t="str">
        <f t="shared" si="2"/>
        <v>#VALUE!</v>
      </c>
      <c r="J18" s="593"/>
      <c r="K18" s="593"/>
      <c r="L18" s="593"/>
      <c r="M18" s="593"/>
    </row>
    <row r="19" hidden="1">
      <c r="A19" s="604">
        <v>44121.0</v>
      </c>
      <c r="B19" s="605">
        <f>50+90+780+530+690+590+540+490+180+180+90+590+590+2770+1780+90+590+890+90+90</f>
        <v>11690</v>
      </c>
      <c r="C19" s="605"/>
      <c r="D19" s="605">
        <v>1.19</v>
      </c>
      <c r="E19" s="605"/>
      <c r="F19" s="606">
        <f>4430+1080+390+690+290+990+1980+290+1180+490+1350+990+1410+490</f>
        <v>16050</v>
      </c>
      <c r="G19" s="607">
        <f t="shared" si="1"/>
        <v>27741.19</v>
      </c>
      <c r="H19" s="608" t="s">
        <v>250</v>
      </c>
      <c r="I19" s="609" t="str">
        <f t="shared" si="2"/>
        <v>#VALUE!</v>
      </c>
      <c r="J19" s="593"/>
      <c r="K19" s="593"/>
      <c r="L19" s="593"/>
      <c r="M19" s="593"/>
    </row>
    <row r="20" hidden="1">
      <c r="A20" s="604">
        <v>44122.0</v>
      </c>
      <c r="B20" s="605">
        <f>590+890+870+490+890+990+1580+90+180+340+190+590+210+590+90+1450+690+90+3950+140+290+90</f>
        <v>15280</v>
      </c>
      <c r="C20" s="605"/>
      <c r="D20" s="605">
        <f>1480+50+90</f>
        <v>1620</v>
      </c>
      <c r="E20" s="605"/>
      <c r="F20" s="606">
        <f>390+5960</f>
        <v>6350</v>
      </c>
      <c r="G20" s="607">
        <f t="shared" si="1"/>
        <v>23250</v>
      </c>
      <c r="H20" s="608" t="s">
        <v>251</v>
      </c>
      <c r="I20" s="609" t="str">
        <f t="shared" si="2"/>
        <v>#VALUE!</v>
      </c>
      <c r="J20" s="593"/>
      <c r="K20" s="593"/>
      <c r="L20" s="593"/>
      <c r="M20" s="593"/>
    </row>
    <row r="21" ht="15.75" hidden="1" customHeight="1">
      <c r="A21" s="604">
        <v>44123.0</v>
      </c>
      <c r="B21" s="605">
        <f>50</f>
        <v>50</v>
      </c>
      <c r="C21" s="605"/>
      <c r="D21" s="605"/>
      <c r="E21" s="605"/>
      <c r="F21" s="606"/>
      <c r="G21" s="607">
        <f t="shared" si="1"/>
        <v>50</v>
      </c>
      <c r="H21" s="608">
        <v>50.0</v>
      </c>
      <c r="I21" s="605">
        <f t="shared" si="2"/>
        <v>0</v>
      </c>
      <c r="J21" s="593"/>
      <c r="K21" s="610"/>
      <c r="L21" s="593"/>
      <c r="M21" s="593"/>
    </row>
    <row r="22" ht="15.75" hidden="1" customHeight="1">
      <c r="A22" s="604">
        <v>44124.0</v>
      </c>
      <c r="B22" s="605">
        <f>50+90+90+180+590+90</f>
        <v>1090</v>
      </c>
      <c r="C22" s="605"/>
      <c r="D22" s="605"/>
      <c r="E22" s="605"/>
      <c r="F22" s="606"/>
      <c r="G22" s="607">
        <f t="shared" si="1"/>
        <v>1090</v>
      </c>
      <c r="H22" s="608" t="s">
        <v>252</v>
      </c>
      <c r="I22" s="605" t="str">
        <f t="shared" si="2"/>
        <v>#VALUE!</v>
      </c>
      <c r="J22" s="593"/>
      <c r="K22" s="593"/>
      <c r="L22" s="593"/>
      <c r="M22" s="593"/>
    </row>
    <row r="23" ht="15.75" hidden="1" customHeight="1">
      <c r="A23" s="604">
        <v>44125.0</v>
      </c>
      <c r="B23" s="605">
        <f>100+280+50+540+890+580</f>
        <v>2440</v>
      </c>
      <c r="C23" s="605"/>
      <c r="D23" s="605">
        <v>470.0</v>
      </c>
      <c r="E23" s="605"/>
      <c r="F23" s="606">
        <f>270+180</f>
        <v>450</v>
      </c>
      <c r="G23" s="607">
        <f t="shared" si="1"/>
        <v>3360</v>
      </c>
      <c r="H23" s="608" t="s">
        <v>253</v>
      </c>
      <c r="I23" s="609" t="str">
        <f t="shared" si="2"/>
        <v>#VALUE!</v>
      </c>
      <c r="J23" s="593"/>
      <c r="K23" s="593"/>
      <c r="L23" s="593"/>
      <c r="M23" s="593"/>
    </row>
    <row r="24" ht="15.75" hidden="1" customHeight="1">
      <c r="A24" s="604">
        <v>44126.0</v>
      </c>
      <c r="B24" s="605">
        <f>180+590+50</f>
        <v>820</v>
      </c>
      <c r="C24" s="605"/>
      <c r="D24" s="605"/>
      <c r="E24" s="605"/>
      <c r="F24" s="606"/>
      <c r="G24" s="607">
        <f t="shared" si="1"/>
        <v>820</v>
      </c>
      <c r="H24" s="608">
        <v>820.0</v>
      </c>
      <c r="I24" s="605">
        <f t="shared" si="2"/>
        <v>0</v>
      </c>
      <c r="J24" s="593"/>
      <c r="K24" s="593"/>
      <c r="L24" s="593"/>
      <c r="M24" s="593"/>
    </row>
    <row r="25" ht="15.75" hidden="1" customHeight="1">
      <c r="A25" s="604">
        <v>44127.0</v>
      </c>
      <c r="B25" s="605">
        <f>180+500+90+890+980+90</f>
        <v>2730</v>
      </c>
      <c r="C25" s="605"/>
      <c r="D25" s="605"/>
      <c r="E25" s="605"/>
      <c r="F25" s="606"/>
      <c r="G25" s="607">
        <f t="shared" si="1"/>
        <v>2730</v>
      </c>
      <c r="H25" s="608" t="s">
        <v>254</v>
      </c>
      <c r="I25" s="605" t="str">
        <f t="shared" si="2"/>
        <v>#VALUE!</v>
      </c>
      <c r="J25" s="593"/>
      <c r="K25" s="593"/>
      <c r="L25" s="593"/>
      <c r="M25" s="593"/>
    </row>
    <row r="26" ht="15.75" hidden="1" customHeight="1">
      <c r="A26" s="604">
        <v>44128.0</v>
      </c>
      <c r="B26" s="605">
        <f>290+90+490+50+270+100+90+140+90+90+270+490+490+180</f>
        <v>3130</v>
      </c>
      <c r="C26" s="605"/>
      <c r="D26" s="605">
        <f>490+980</f>
        <v>1470</v>
      </c>
      <c r="E26" s="605"/>
      <c r="F26" s="606">
        <f>680+270+1180+680+590+890+890+2060+490+980</f>
        <v>8710</v>
      </c>
      <c r="G26" s="607">
        <f t="shared" si="1"/>
        <v>13310</v>
      </c>
      <c r="H26" s="608" t="s">
        <v>255</v>
      </c>
      <c r="I26" s="609" t="str">
        <f t="shared" si="2"/>
        <v>#VALUE!</v>
      </c>
      <c r="J26" s="593"/>
      <c r="K26" s="593"/>
      <c r="L26" s="593"/>
      <c r="M26" s="593"/>
    </row>
    <row r="27" ht="15.75" hidden="1" customHeight="1">
      <c r="A27" s="604">
        <v>44129.0</v>
      </c>
      <c r="B27" s="605">
        <f>90+290+90+90+180+140+890+13580+1080+90+90+1080+180+450+50+620+180</f>
        <v>19170</v>
      </c>
      <c r="C27" s="605"/>
      <c r="D27" s="605">
        <f>580+490+1470</f>
        <v>2540</v>
      </c>
      <c r="E27" s="605"/>
      <c r="F27" s="606">
        <f>490+1070+490+90+140</f>
        <v>2280</v>
      </c>
      <c r="G27" s="607">
        <f t="shared" si="1"/>
        <v>23990</v>
      </c>
      <c r="H27" s="608" t="s">
        <v>256</v>
      </c>
      <c r="I27" s="605" t="str">
        <f t="shared" si="2"/>
        <v>#VALUE!</v>
      </c>
      <c r="J27" s="593"/>
      <c r="K27" s="593"/>
      <c r="L27" s="593"/>
      <c r="M27" s="593"/>
    </row>
    <row r="28" ht="15.75" hidden="1" customHeight="1">
      <c r="A28" s="604">
        <v>44130.0</v>
      </c>
      <c r="B28" s="605">
        <f>100+490+1190+2450</f>
        <v>4230</v>
      </c>
      <c r="C28" s="605"/>
      <c r="D28" s="605"/>
      <c r="E28" s="605"/>
      <c r="F28" s="606">
        <v>870.0</v>
      </c>
      <c r="G28" s="607">
        <f t="shared" si="1"/>
        <v>5100</v>
      </c>
      <c r="H28" s="608" t="s">
        <v>257</v>
      </c>
      <c r="I28" s="605" t="str">
        <f t="shared" si="2"/>
        <v>#VALUE!</v>
      </c>
      <c r="J28" s="593"/>
      <c r="K28" s="593"/>
      <c r="L28" s="593"/>
      <c r="M28" s="593"/>
    </row>
    <row r="29" ht="15.75" hidden="1" customHeight="1">
      <c r="A29" s="604">
        <v>44131.0</v>
      </c>
      <c r="B29" s="605">
        <f>270+360+780+90+180+50</f>
        <v>1730</v>
      </c>
      <c r="C29" s="605"/>
      <c r="D29" s="605"/>
      <c r="E29" s="605"/>
      <c r="F29" s="606"/>
      <c r="G29" s="607">
        <f t="shared" si="1"/>
        <v>1730</v>
      </c>
      <c r="H29" s="608" t="s">
        <v>258</v>
      </c>
      <c r="I29" s="605" t="str">
        <f t="shared" si="2"/>
        <v>#VALUE!</v>
      </c>
      <c r="J29" s="593"/>
      <c r="K29" s="593"/>
      <c r="L29" s="593"/>
      <c r="M29" s="593"/>
    </row>
    <row r="30" ht="15.75" hidden="1" customHeight="1">
      <c r="A30" s="604">
        <v>44132.0</v>
      </c>
      <c r="B30" s="605">
        <f>270+180+90+1190+90+50+100</f>
        <v>1970</v>
      </c>
      <c r="C30" s="605"/>
      <c r="D30" s="605">
        <v>290.0</v>
      </c>
      <c r="E30" s="605"/>
      <c r="F30" s="606"/>
      <c r="G30" s="607">
        <f t="shared" si="1"/>
        <v>2260</v>
      </c>
      <c r="H30" s="608" t="s">
        <v>259</v>
      </c>
      <c r="I30" s="605" t="str">
        <f t="shared" si="2"/>
        <v>#VALUE!</v>
      </c>
      <c r="J30" s="593"/>
      <c r="K30" s="593"/>
      <c r="L30" s="593"/>
      <c r="M30" s="593"/>
    </row>
    <row r="31" ht="15.75" hidden="1" customHeight="1">
      <c r="A31" s="604">
        <v>44133.0</v>
      </c>
      <c r="B31" s="605">
        <f>180+180+90+90+90+140</f>
        <v>770</v>
      </c>
      <c r="C31" s="605"/>
      <c r="D31" s="605">
        <f>960+180</f>
        <v>1140</v>
      </c>
      <c r="E31" s="605"/>
      <c r="F31" s="606">
        <v>790.0</v>
      </c>
      <c r="G31" s="607">
        <f t="shared" si="1"/>
        <v>2700</v>
      </c>
      <c r="H31" s="608" t="s">
        <v>260</v>
      </c>
      <c r="I31" s="605" t="str">
        <f t="shared" si="2"/>
        <v>#VALUE!</v>
      </c>
      <c r="J31" s="593"/>
      <c r="K31" s="593"/>
      <c r="L31" s="593"/>
      <c r="M31" s="593"/>
    </row>
    <row r="32" ht="15.75" hidden="1" customHeight="1">
      <c r="A32" s="604">
        <v>44134.0</v>
      </c>
      <c r="B32" s="605">
        <f>450+90+180+1380+90</f>
        <v>2190</v>
      </c>
      <c r="C32" s="605"/>
      <c r="D32" s="605">
        <v>590.0</v>
      </c>
      <c r="E32" s="605"/>
      <c r="F32" s="606">
        <f>870+490+680+1190+1360</f>
        <v>4590</v>
      </c>
      <c r="G32" s="607">
        <f t="shared" si="1"/>
        <v>7370</v>
      </c>
      <c r="H32" s="608" t="s">
        <v>261</v>
      </c>
      <c r="I32" s="605" t="str">
        <f t="shared" si="2"/>
        <v>#VALUE!</v>
      </c>
      <c r="J32" s="593"/>
      <c r="K32" s="593"/>
      <c r="L32" s="593"/>
      <c r="M32" s="593"/>
    </row>
    <row r="33" ht="15.75" hidden="1" customHeight="1">
      <c r="A33" s="604">
        <v>44135.0</v>
      </c>
      <c r="B33" s="605">
        <f>370+90+180+270+90+790+90+90+2350+90</f>
        <v>4410</v>
      </c>
      <c r="C33" s="605"/>
      <c r="D33" s="605">
        <f>1180+790</f>
        <v>1970</v>
      </c>
      <c r="E33" s="605"/>
      <c r="F33" s="606">
        <f>1070+1070+90+690+1360+790+470+330+1190+320+970+1060+1380+1190</f>
        <v>11980</v>
      </c>
      <c r="G33" s="607">
        <f t="shared" si="1"/>
        <v>18360</v>
      </c>
      <c r="H33" s="608" t="s">
        <v>262</v>
      </c>
      <c r="I33" s="605" t="str">
        <f t="shared" si="2"/>
        <v>#VALUE!</v>
      </c>
      <c r="J33" s="593"/>
      <c r="K33" s="593"/>
      <c r="L33" s="593"/>
      <c r="M33" s="593"/>
    </row>
    <row r="34" ht="30.75" hidden="1" customHeight="1">
      <c r="A34" s="604"/>
      <c r="B34" s="611">
        <f>SUM(B3:B33)</f>
        <v>164350</v>
      </c>
      <c r="C34" s="611"/>
      <c r="D34" s="611">
        <f>SUM(D3:D33)</f>
        <v>10091.19</v>
      </c>
      <c r="E34" s="611"/>
      <c r="F34" s="612">
        <f t="shared" ref="F34:I34" si="3">SUM(F3:F33)</f>
        <v>113650</v>
      </c>
      <c r="G34" s="613" t="str">
        <f t="shared" si="3"/>
        <v>#VALUE!</v>
      </c>
      <c r="H34" s="612">
        <f t="shared" si="3"/>
        <v>1520</v>
      </c>
      <c r="I34" s="605" t="str">
        <f t="shared" si="3"/>
        <v>#VALUE!</v>
      </c>
      <c r="J34" s="593"/>
      <c r="K34" s="593"/>
      <c r="L34" s="593"/>
      <c r="M34" s="593"/>
    </row>
    <row r="35" ht="15.75" hidden="1" customHeight="1">
      <c r="A35" s="604">
        <v>44136.0</v>
      </c>
      <c r="B35" s="605">
        <f>390+90+90+790+790+790+180+1080+390+890+100+50+690+270+1280+790+690+2370+540+180+360+90+90+90+180+50+180</f>
        <v>13480</v>
      </c>
      <c r="C35" s="605"/>
      <c r="D35" s="605">
        <f>970</f>
        <v>970</v>
      </c>
      <c r="E35" s="605"/>
      <c r="F35" s="606">
        <f>1060+790+1680+970+790+270+790+790+790+590+790+230+1330+590+370+590+1760</f>
        <v>14180</v>
      </c>
      <c r="G35" s="607">
        <f t="shared" ref="G35:G63" si="4">B35+C35+D35+E35+F35</f>
        <v>28630</v>
      </c>
      <c r="H35" s="596">
        <v>30.44</v>
      </c>
      <c r="I35" s="609">
        <f t="shared" ref="I35:I64" si="5">G35-H35</f>
        <v>28599.56</v>
      </c>
      <c r="J35" s="593"/>
      <c r="K35" s="593"/>
      <c r="L35" s="593"/>
      <c r="M35" s="593"/>
    </row>
    <row r="36" ht="15.75" hidden="1" customHeight="1">
      <c r="A36" s="604">
        <v>44137.0</v>
      </c>
      <c r="B36" s="605">
        <f>50+590+550+90+990+90+90+180</f>
        <v>2630</v>
      </c>
      <c r="C36" s="605"/>
      <c r="D36" s="605">
        <v>280.0</v>
      </c>
      <c r="E36" s="605"/>
      <c r="F36" s="606">
        <f>1170+1190+90</f>
        <v>2450</v>
      </c>
      <c r="G36" s="607">
        <f t="shared" si="4"/>
        <v>5360</v>
      </c>
      <c r="H36" s="614">
        <v>5.36</v>
      </c>
      <c r="I36" s="605">
        <f t="shared" si="5"/>
        <v>5354.64</v>
      </c>
      <c r="J36" s="593"/>
      <c r="K36" s="593"/>
      <c r="L36" s="593"/>
      <c r="M36" s="593"/>
    </row>
    <row r="37" ht="15.75" hidden="1" customHeight="1">
      <c r="A37" s="604">
        <v>44138.0</v>
      </c>
      <c r="B37" s="605">
        <f>1280+90+790+90</f>
        <v>2250</v>
      </c>
      <c r="C37" s="605"/>
      <c r="D37" s="605">
        <f>780+790+90</f>
        <v>1660</v>
      </c>
      <c r="E37" s="605"/>
      <c r="F37" s="606"/>
      <c r="G37" s="607">
        <f t="shared" si="4"/>
        <v>3910</v>
      </c>
      <c r="H37" s="614">
        <v>3.91</v>
      </c>
      <c r="I37" s="605">
        <f t="shared" si="5"/>
        <v>3906.09</v>
      </c>
      <c r="J37" s="593"/>
      <c r="K37" s="593"/>
      <c r="L37" s="593"/>
      <c r="M37" s="593"/>
    </row>
    <row r="38" ht="15.75" hidden="1" customHeight="1">
      <c r="A38" s="604">
        <v>44139.0</v>
      </c>
      <c r="B38" s="605">
        <v>200.0</v>
      </c>
      <c r="C38" s="605"/>
      <c r="D38" s="605"/>
      <c r="E38" s="605"/>
      <c r="F38" s="606">
        <v>410.0</v>
      </c>
      <c r="G38" s="607">
        <f t="shared" si="4"/>
        <v>610</v>
      </c>
      <c r="H38" s="614">
        <v>610.0</v>
      </c>
      <c r="I38" s="605">
        <f t="shared" si="5"/>
        <v>0</v>
      </c>
      <c r="J38" s="593"/>
      <c r="K38" s="593"/>
      <c r="L38" s="593"/>
      <c r="M38" s="593"/>
    </row>
    <row r="39" ht="15.75" hidden="1" customHeight="1">
      <c r="A39" s="604">
        <v>44140.0</v>
      </c>
      <c r="B39" s="605">
        <f>90+1280+1520+790+180+90+90</f>
        <v>4040</v>
      </c>
      <c r="C39" s="605"/>
      <c r="D39" s="605">
        <v>790.0</v>
      </c>
      <c r="E39" s="605"/>
      <c r="F39" s="606">
        <v>890.0</v>
      </c>
      <c r="G39" s="607">
        <f t="shared" si="4"/>
        <v>5720</v>
      </c>
      <c r="H39" s="614">
        <v>5.72</v>
      </c>
      <c r="I39" s="605">
        <f t="shared" si="5"/>
        <v>5714.28</v>
      </c>
      <c r="J39" s="593"/>
      <c r="K39" s="593"/>
      <c r="L39" s="593"/>
      <c r="M39" s="593"/>
    </row>
    <row r="40" ht="15.75" hidden="1" customHeight="1">
      <c r="A40" s="604">
        <v>44141.0</v>
      </c>
      <c r="B40" s="605">
        <f>790+180+90+90</f>
        <v>1150</v>
      </c>
      <c r="C40" s="605"/>
      <c r="D40" s="605">
        <v>90.0</v>
      </c>
      <c r="E40" s="605"/>
      <c r="F40" s="595">
        <f>360+90+290+870</f>
        <v>1610</v>
      </c>
      <c r="G40" s="607">
        <f t="shared" si="4"/>
        <v>2850</v>
      </c>
      <c r="H40" s="614">
        <v>2.85</v>
      </c>
      <c r="I40" s="605">
        <f t="shared" si="5"/>
        <v>2847.15</v>
      </c>
      <c r="J40" s="593"/>
      <c r="K40" s="593"/>
      <c r="L40" s="593"/>
      <c r="M40" s="593"/>
    </row>
    <row r="41" ht="15.75" hidden="1" customHeight="1">
      <c r="A41" s="604">
        <v>44142.0</v>
      </c>
      <c r="B41" s="605">
        <f>90+190+90+180+890+90+90+180+190+230+90+90+90+90+90+1580+590+90+90</f>
        <v>5020</v>
      </c>
      <c r="C41" s="605"/>
      <c r="D41" s="605">
        <v>690.0</v>
      </c>
      <c r="E41" s="605"/>
      <c r="F41" s="593">
        <f>1060+13100</f>
        <v>14160</v>
      </c>
      <c r="G41" s="607">
        <f t="shared" si="4"/>
        <v>19870</v>
      </c>
      <c r="H41" s="614">
        <v>19.69</v>
      </c>
      <c r="I41" s="615">
        <f t="shared" si="5"/>
        <v>19850.31</v>
      </c>
      <c r="J41" s="593"/>
      <c r="K41" s="594"/>
      <c r="L41" s="593"/>
      <c r="M41" s="593"/>
    </row>
    <row r="42" ht="15.75" hidden="1" customHeight="1">
      <c r="A42" s="604">
        <v>44143.0</v>
      </c>
      <c r="B42" s="605">
        <f>90+1480+90+90+490+790+90+180+90+180+290+100+230+2020+180+90+570+390</f>
        <v>7440</v>
      </c>
      <c r="C42" s="605"/>
      <c r="D42" s="605">
        <f>270+790+790+1380</f>
        <v>3230</v>
      </c>
      <c r="E42" s="605"/>
      <c r="F42" s="606">
        <f>890+790+790+590+580+790+1770+360+190+790+390+790+790+880+790+970+180+790+690</f>
        <v>13810</v>
      </c>
      <c r="G42" s="607">
        <f t="shared" si="4"/>
        <v>24480</v>
      </c>
      <c r="H42" s="614">
        <v>24.48</v>
      </c>
      <c r="I42" s="605">
        <f t="shared" si="5"/>
        <v>24455.52</v>
      </c>
      <c r="J42" s="593"/>
      <c r="K42" s="593"/>
      <c r="L42" s="593"/>
      <c r="M42" s="593"/>
    </row>
    <row r="43" ht="15.75" hidden="1" customHeight="1">
      <c r="A43" s="604">
        <v>44144.0</v>
      </c>
      <c r="B43" s="605">
        <f>690+980+690+50+90+150+50+200</f>
        <v>2900</v>
      </c>
      <c r="C43" s="605"/>
      <c r="D43" s="605"/>
      <c r="E43" s="605"/>
      <c r="F43" s="606"/>
      <c r="G43" s="607">
        <f t="shared" si="4"/>
        <v>2900</v>
      </c>
      <c r="H43" s="614">
        <v>2.9</v>
      </c>
      <c r="I43" s="605">
        <f t="shared" si="5"/>
        <v>2897.1</v>
      </c>
      <c r="J43" s="606"/>
      <c r="K43" s="593"/>
      <c r="L43" s="593"/>
      <c r="M43" s="593"/>
    </row>
    <row r="44" ht="15.75" hidden="1" customHeight="1">
      <c r="A44" s="604">
        <v>44145.0</v>
      </c>
      <c r="B44" s="605">
        <f>490+370+90+90+280+180+560+1300+200</f>
        <v>3560</v>
      </c>
      <c r="C44" s="605"/>
      <c r="D44" s="605">
        <f>380+50</f>
        <v>430</v>
      </c>
      <c r="E44" s="605"/>
      <c r="F44" s="606" t="s">
        <v>263</v>
      </c>
      <c r="G44" s="607" t="str">
        <f t="shared" si="4"/>
        <v>#VALUE!</v>
      </c>
      <c r="H44" s="614">
        <v>5.37</v>
      </c>
      <c r="I44" s="605" t="str">
        <f t="shared" si="5"/>
        <v>#VALUE!</v>
      </c>
      <c r="J44" s="593"/>
      <c r="K44" s="593"/>
      <c r="L44" s="593"/>
      <c r="M44" s="593"/>
    </row>
    <row r="45" ht="15.75" hidden="1" customHeight="1">
      <c r="A45" s="604">
        <v>44146.0</v>
      </c>
      <c r="B45" s="605">
        <f>50+90+90+90+700+50+420+90+180+50</f>
        <v>1810</v>
      </c>
      <c r="C45" s="605"/>
      <c r="D45" s="605">
        <v>180.0</v>
      </c>
      <c r="E45" s="605"/>
      <c r="F45" s="606">
        <f>180+690</f>
        <v>870</v>
      </c>
      <c r="G45" s="607">
        <f t="shared" si="4"/>
        <v>2860</v>
      </c>
      <c r="H45" s="614">
        <v>2.86</v>
      </c>
      <c r="I45" s="605">
        <f t="shared" si="5"/>
        <v>2857.14</v>
      </c>
      <c r="J45" s="593"/>
      <c r="K45" s="593"/>
      <c r="L45" s="593"/>
      <c r="M45" s="593"/>
    </row>
    <row r="46" ht="15.75" hidden="1" customHeight="1">
      <c r="A46" s="604">
        <v>44147.0</v>
      </c>
      <c r="B46" s="605">
        <f>380+9020+180+180+690</f>
        <v>10450</v>
      </c>
      <c r="C46" s="605"/>
      <c r="D46" s="605">
        <f>180+2130</f>
        <v>2310</v>
      </c>
      <c r="E46" s="605"/>
      <c r="F46" s="606">
        <f>360+360+190+90</f>
        <v>1000</v>
      </c>
      <c r="G46" s="607">
        <f t="shared" si="4"/>
        <v>13760</v>
      </c>
      <c r="H46" s="614">
        <v>13.76</v>
      </c>
      <c r="I46" s="605">
        <f t="shared" si="5"/>
        <v>13746.24</v>
      </c>
      <c r="J46" s="593"/>
      <c r="K46" s="593"/>
      <c r="L46" s="593"/>
      <c r="M46" s="593"/>
    </row>
    <row r="47" ht="15.75" hidden="1" customHeight="1">
      <c r="A47" s="604">
        <v>44148.0</v>
      </c>
      <c r="B47" s="605">
        <f>90+1380+890+180+90</f>
        <v>2630</v>
      </c>
      <c r="C47" s="605"/>
      <c r="D47" s="605">
        <v>180.0</v>
      </c>
      <c r="E47" s="605"/>
      <c r="F47" s="606">
        <f>980+530+490+1970+980+790+180</f>
        <v>5920</v>
      </c>
      <c r="G47" s="607">
        <f t="shared" si="4"/>
        <v>8730</v>
      </c>
      <c r="H47" s="614">
        <v>8.73</v>
      </c>
      <c r="I47" s="605">
        <f t="shared" si="5"/>
        <v>8721.27</v>
      </c>
      <c r="J47" s="593"/>
      <c r="K47" s="593"/>
      <c r="L47" s="593"/>
      <c r="M47" s="593"/>
    </row>
    <row r="48" ht="15.75" hidden="1" customHeight="1">
      <c r="A48" s="604">
        <v>44149.0</v>
      </c>
      <c r="B48" s="605">
        <f>90+560+270+140+100+50+90+90+180+690+90</f>
        <v>2350</v>
      </c>
      <c r="C48" s="605"/>
      <c r="D48" s="605">
        <f>360+180</f>
        <v>540</v>
      </c>
      <c r="E48" s="605"/>
      <c r="F48" s="606">
        <f>230+890+90+190+2550+780+1480+790</f>
        <v>7000</v>
      </c>
      <c r="G48" s="607">
        <f t="shared" si="4"/>
        <v>9890</v>
      </c>
      <c r="H48" s="614">
        <v>9.89</v>
      </c>
      <c r="I48" s="605">
        <f t="shared" si="5"/>
        <v>9880.11</v>
      </c>
      <c r="J48" s="593"/>
      <c r="K48" s="593"/>
      <c r="L48" s="593"/>
      <c r="M48" s="593"/>
    </row>
    <row r="49" ht="15.75" hidden="1" customHeight="1">
      <c r="A49" s="604">
        <v>44150.0</v>
      </c>
      <c r="B49" s="605">
        <f>90+180+90+290+290+90+1190+90+180+430+100+100+90+360+560+180+90+790+740+690+50+2360+270+470+320+290+890+90+380+90+90+180+890+90+270+190+90+270</f>
        <v>13900</v>
      </c>
      <c r="C49" s="605"/>
      <c r="D49" s="605"/>
      <c r="E49" s="605"/>
      <c r="F49" s="606">
        <f>590+790+970+230+590+970+790+90+910+370+790+1190+690+2250</f>
        <v>11220</v>
      </c>
      <c r="G49" s="607">
        <f t="shared" si="4"/>
        <v>25120</v>
      </c>
      <c r="H49" s="614">
        <v>27.36</v>
      </c>
      <c r="I49" s="609">
        <f t="shared" si="5"/>
        <v>25092.64</v>
      </c>
      <c r="J49" s="593">
        <f>9060+2160</f>
        <v>11220</v>
      </c>
      <c r="K49" s="593"/>
      <c r="L49" s="593"/>
      <c r="M49" s="593"/>
    </row>
    <row r="50" ht="15.75" hidden="1" customHeight="1">
      <c r="A50" s="604">
        <v>44151.0</v>
      </c>
      <c r="B50" s="605">
        <f>360+1070+140+1380+640+90</f>
        <v>3680</v>
      </c>
      <c r="C50" s="605"/>
      <c r="D50" s="605"/>
      <c r="E50" s="605"/>
      <c r="F50" s="606">
        <f>380+180+570+290+1190</f>
        <v>2610</v>
      </c>
      <c r="G50" s="607">
        <f t="shared" si="4"/>
        <v>6290</v>
      </c>
      <c r="H50" s="614">
        <v>6.29</v>
      </c>
      <c r="I50" s="605">
        <f t="shared" si="5"/>
        <v>6283.71</v>
      </c>
      <c r="J50" s="593"/>
      <c r="K50" s="593"/>
      <c r="L50" s="593"/>
      <c r="M50" s="593"/>
    </row>
    <row r="51" ht="15.75" hidden="1" customHeight="1">
      <c r="A51" s="604">
        <v>44152.0</v>
      </c>
      <c r="B51" s="605">
        <f>180+290+180+90+190+90</f>
        <v>1020</v>
      </c>
      <c r="C51" s="605"/>
      <c r="D51" s="605"/>
      <c r="E51" s="605"/>
      <c r="F51" s="606">
        <f>270+690+180+180</f>
        <v>1320</v>
      </c>
      <c r="G51" s="607">
        <f t="shared" si="4"/>
        <v>2340</v>
      </c>
      <c r="H51" s="614">
        <v>2.34</v>
      </c>
      <c r="I51" s="605">
        <f t="shared" si="5"/>
        <v>2337.66</v>
      </c>
      <c r="J51" s="593"/>
      <c r="K51" s="593"/>
      <c r="L51" s="593"/>
      <c r="M51" s="593"/>
    </row>
    <row r="52" ht="15.75" hidden="1" customHeight="1">
      <c r="A52" s="604">
        <v>44153.0</v>
      </c>
      <c r="B52" s="605">
        <f>180+90+50+90+90+270+560</f>
        <v>1330</v>
      </c>
      <c r="C52" s="605"/>
      <c r="D52" s="605"/>
      <c r="E52" s="605"/>
      <c r="F52" s="606">
        <f>790+590+790</f>
        <v>2170</v>
      </c>
      <c r="G52" s="607">
        <f t="shared" si="4"/>
        <v>3500</v>
      </c>
      <c r="H52" s="614">
        <v>3.5</v>
      </c>
      <c r="I52" s="605">
        <f t="shared" si="5"/>
        <v>3496.5</v>
      </c>
      <c r="J52" s="593"/>
      <c r="K52" s="593"/>
      <c r="L52" s="593"/>
      <c r="M52" s="593"/>
    </row>
    <row r="53" ht="15.75" hidden="1" customHeight="1">
      <c r="A53" s="604">
        <v>44154.0</v>
      </c>
      <c r="B53" s="605">
        <f>420+690+320+270</f>
        <v>1700</v>
      </c>
      <c r="C53" s="605"/>
      <c r="D53" s="605"/>
      <c r="E53" s="605"/>
      <c r="F53" s="606">
        <f>660+460+1280+790+590</f>
        <v>3780</v>
      </c>
      <c r="G53" s="607">
        <f t="shared" si="4"/>
        <v>5480</v>
      </c>
      <c r="H53" s="614">
        <v>5.48</v>
      </c>
      <c r="I53" s="605">
        <f t="shared" si="5"/>
        <v>5474.52</v>
      </c>
      <c r="J53" s="593"/>
      <c r="K53" s="593"/>
      <c r="L53" s="593"/>
      <c r="M53" s="593"/>
    </row>
    <row r="54" ht="15.75" hidden="1" customHeight="1">
      <c r="A54" s="604">
        <v>44155.0</v>
      </c>
      <c r="B54" s="605">
        <f>90+180+90+240+440+90+180+180</f>
        <v>1490</v>
      </c>
      <c r="C54" s="605"/>
      <c r="D54" s="605"/>
      <c r="E54" s="605"/>
      <c r="F54" s="606">
        <f>990+1570+300+1290+1470+360</f>
        <v>5980</v>
      </c>
      <c r="G54" s="607">
        <f t="shared" si="4"/>
        <v>7470</v>
      </c>
      <c r="H54" s="614">
        <v>7.47</v>
      </c>
      <c r="I54" s="605">
        <f t="shared" si="5"/>
        <v>7462.53</v>
      </c>
      <c r="J54" s="593"/>
      <c r="K54" s="593"/>
      <c r="L54" s="593"/>
      <c r="M54" s="593"/>
    </row>
    <row r="55" ht="15.75" hidden="1" customHeight="1">
      <c r="A55" s="604">
        <v>44156.0</v>
      </c>
      <c r="B55" s="605">
        <f>180+790+180+180+270+190+90+90</f>
        <v>1970</v>
      </c>
      <c r="C55" s="605"/>
      <c r="D55" s="605">
        <f>1780+180+90</f>
        <v>2050</v>
      </c>
      <c r="E55" s="605"/>
      <c r="F55" s="606">
        <f>2870+640+690+1950+2180+1190+1380+230+2160+550+890+690</f>
        <v>15420</v>
      </c>
      <c r="G55" s="607">
        <f t="shared" si="4"/>
        <v>19440</v>
      </c>
      <c r="H55" s="614">
        <v>19.44</v>
      </c>
      <c r="I55" s="605">
        <f t="shared" si="5"/>
        <v>19420.56</v>
      </c>
      <c r="J55" s="593"/>
      <c r="K55" s="593"/>
      <c r="L55" s="593"/>
      <c r="M55" s="593"/>
    </row>
    <row r="56" ht="15.75" hidden="1" customHeight="1">
      <c r="A56" s="604">
        <v>44157.0</v>
      </c>
      <c r="B56" s="605">
        <f>90+1280+270+290+860+180+90+360+2670+480+50+590+890+90+90+420+90+50+90+1280+990+90+490+320+90+700+1270+230+180+90+180+790+290+580+90+100+50+50</f>
        <v>16790</v>
      </c>
      <c r="C56" s="605"/>
      <c r="D56" s="605">
        <f>180+590+890+990</f>
        <v>2650</v>
      </c>
      <c r="E56" s="605"/>
      <c r="F56" s="606">
        <f>890+1280+1780+1370+430+590+590+790+390+1190+590+590+1380+790+480+790+980</f>
        <v>14900</v>
      </c>
      <c r="G56" s="607">
        <f t="shared" si="4"/>
        <v>34340</v>
      </c>
      <c r="H56" s="614">
        <v>34.03</v>
      </c>
      <c r="I56" s="615">
        <f t="shared" si="5"/>
        <v>34305.97</v>
      </c>
      <c r="J56" s="593">
        <f>12310+2280</f>
        <v>14590</v>
      </c>
      <c r="K56" s="593"/>
      <c r="L56" s="593"/>
      <c r="M56" s="593"/>
    </row>
    <row r="57" ht="15.75" hidden="1" customHeight="1">
      <c r="A57" s="604">
        <v>44158.0</v>
      </c>
      <c r="B57" s="605">
        <f>270+180+90+560+680+90+90+90+90+100+230+690+190+90+90+410+50+50</f>
        <v>4040</v>
      </c>
      <c r="C57" s="605"/>
      <c r="D57" s="605"/>
      <c r="E57" s="605"/>
      <c r="F57" s="606">
        <f>90+790+290+690+140</f>
        <v>2000</v>
      </c>
      <c r="G57" s="607">
        <f t="shared" si="4"/>
        <v>6040</v>
      </c>
      <c r="H57" s="614">
        <v>6.041</v>
      </c>
      <c r="I57" s="605">
        <f t="shared" si="5"/>
        <v>6033.959</v>
      </c>
      <c r="J57" s="593"/>
      <c r="K57" s="593"/>
      <c r="L57" s="593"/>
      <c r="M57" s="593"/>
    </row>
    <row r="58" ht="15.75" hidden="1" customHeight="1">
      <c r="A58" s="604">
        <v>44159.0</v>
      </c>
      <c r="B58" s="605">
        <f>90+790</f>
        <v>880</v>
      </c>
      <c r="C58" s="605"/>
      <c r="D58" s="605"/>
      <c r="E58" s="605"/>
      <c r="F58" s="606">
        <f>1470+270+890</f>
        <v>2630</v>
      </c>
      <c r="G58" s="607">
        <f t="shared" si="4"/>
        <v>3510</v>
      </c>
      <c r="H58" s="614">
        <v>3.51</v>
      </c>
      <c r="I58" s="605">
        <f t="shared" si="5"/>
        <v>3506.49</v>
      </c>
      <c r="J58" s="593"/>
      <c r="K58" s="593"/>
      <c r="L58" s="593"/>
      <c r="M58" s="593"/>
    </row>
    <row r="59" ht="15.75" hidden="1" customHeight="1">
      <c r="A59" s="604">
        <v>44160.0</v>
      </c>
      <c r="B59" s="605">
        <f>50+790+680+730+90+180+290</f>
        <v>2810</v>
      </c>
      <c r="C59" s="605"/>
      <c r="D59" s="605"/>
      <c r="E59" s="605"/>
      <c r="F59" s="606">
        <f>780+790+1470</f>
        <v>3040</v>
      </c>
      <c r="G59" s="607">
        <f t="shared" si="4"/>
        <v>5850</v>
      </c>
      <c r="H59" s="614">
        <v>5.85</v>
      </c>
      <c r="I59" s="605">
        <f t="shared" si="5"/>
        <v>5844.15</v>
      </c>
      <c r="J59" s="593">
        <f>154992.78-103983.41</f>
        <v>51009.37</v>
      </c>
      <c r="K59" s="593"/>
      <c r="L59" s="593"/>
      <c r="M59" s="593"/>
    </row>
    <row r="60" ht="15.75" hidden="1" customHeight="1">
      <c r="A60" s="604">
        <v>44161.0</v>
      </c>
      <c r="B60" s="605">
        <f>90+270+90+90</f>
        <v>540</v>
      </c>
      <c r="C60" s="605"/>
      <c r="D60" s="605"/>
      <c r="E60" s="605"/>
      <c r="F60" s="606">
        <f>890</f>
        <v>890</v>
      </c>
      <c r="G60" s="607">
        <f t="shared" si="4"/>
        <v>1430</v>
      </c>
      <c r="H60" s="614">
        <v>1.43</v>
      </c>
      <c r="I60" s="605">
        <f t="shared" si="5"/>
        <v>1428.57</v>
      </c>
      <c r="J60" s="593"/>
      <c r="K60" s="593"/>
      <c r="L60" s="593"/>
      <c r="M60" s="593"/>
    </row>
    <row r="61" ht="15.75" hidden="1" customHeight="1">
      <c r="A61" s="604">
        <v>44162.0</v>
      </c>
      <c r="B61" s="605">
        <f>90+490+50+90+90+90+180+190</f>
        <v>1270</v>
      </c>
      <c r="C61" s="605"/>
      <c r="D61" s="605">
        <f>790+1480</f>
        <v>2270</v>
      </c>
      <c r="E61" s="605"/>
      <c r="F61" s="606">
        <f>1470</f>
        <v>1470</v>
      </c>
      <c r="G61" s="607">
        <f t="shared" si="4"/>
        <v>5010</v>
      </c>
      <c r="H61" s="614">
        <v>5.01</v>
      </c>
      <c r="I61" s="605">
        <f t="shared" si="5"/>
        <v>5004.99</v>
      </c>
      <c r="J61" s="593"/>
      <c r="K61" s="593"/>
      <c r="L61" s="593"/>
      <c r="M61" s="593"/>
    </row>
    <row r="62" ht="15.75" hidden="1" customHeight="1">
      <c r="A62" s="604">
        <v>44163.0</v>
      </c>
      <c r="B62" s="605">
        <f>590+690+790+190+790+90+540+230+180</f>
        <v>4090</v>
      </c>
      <c r="C62" s="605"/>
      <c r="D62" s="605">
        <f>1980</f>
        <v>1980</v>
      </c>
      <c r="E62" s="605"/>
      <c r="F62" s="606">
        <f>180+1180+790+970+180+590+1780</f>
        <v>5670</v>
      </c>
      <c r="G62" s="607">
        <f t="shared" si="4"/>
        <v>11740</v>
      </c>
      <c r="H62" s="614">
        <v>11.74</v>
      </c>
      <c r="I62" s="605">
        <f t="shared" si="5"/>
        <v>11728.26</v>
      </c>
      <c r="J62" s="593"/>
      <c r="K62" s="593"/>
      <c r="L62" s="593"/>
      <c r="M62" s="593"/>
    </row>
    <row r="63" ht="15.75" hidden="1" customHeight="1">
      <c r="A63" s="604">
        <v>44164.0</v>
      </c>
      <c r="B63" s="605">
        <f>590+280+90+690+90+90+90+990+290+90+180+270+90+90+270+890+1770+790+490+90+590+90+50+790+1190+90+100+180+90+180+90+1190+50+500+90+200</f>
        <v>13690</v>
      </c>
      <c r="C63" s="605"/>
      <c r="D63" s="605">
        <f>200+180+90+880</f>
        <v>1350</v>
      </c>
      <c r="E63" s="605"/>
      <c r="F63" s="606">
        <f>790+1280+100+90+640+280+1780+560+590+790+590+1570+880+1550</f>
        <v>11490</v>
      </c>
      <c r="G63" s="607">
        <f t="shared" si="4"/>
        <v>26530</v>
      </c>
      <c r="H63" s="614">
        <v>27.42</v>
      </c>
      <c r="I63" s="609">
        <f t="shared" si="5"/>
        <v>26502.58</v>
      </c>
      <c r="J63" s="593"/>
      <c r="K63" s="593"/>
      <c r="L63" s="593"/>
      <c r="M63" s="593"/>
    </row>
    <row r="64" ht="15.75" hidden="1" customHeight="1">
      <c r="A64" s="604">
        <v>44165.0</v>
      </c>
      <c r="B64" s="605">
        <f>90+90+390+140+180+270</f>
        <v>1160</v>
      </c>
      <c r="C64" s="605"/>
      <c r="D64" s="594">
        <v>0.0</v>
      </c>
      <c r="E64" s="605"/>
      <c r="F64" s="595">
        <v>0.0</v>
      </c>
      <c r="G64" s="607">
        <v>0.0</v>
      </c>
      <c r="H64" s="614">
        <v>1.16</v>
      </c>
      <c r="I64" s="605">
        <f t="shared" si="5"/>
        <v>-1.16</v>
      </c>
      <c r="J64" s="593"/>
      <c r="K64" s="593"/>
      <c r="L64" s="593"/>
      <c r="M64" s="593"/>
    </row>
    <row r="65" ht="23.25" hidden="1" customHeight="1">
      <c r="A65" s="604"/>
      <c r="B65" s="614">
        <f>SUM(B35:B64)</f>
        <v>130270</v>
      </c>
      <c r="C65" s="614"/>
      <c r="D65" s="614">
        <f>SUM(D35:D63)</f>
        <v>21650</v>
      </c>
      <c r="E65" s="614"/>
      <c r="F65" s="608">
        <f>SUM(F35:F63)</f>
        <v>146890</v>
      </c>
      <c r="G65" s="607" t="str">
        <f t="shared" ref="G65:I65" si="6">SUM(G35:G64)</f>
        <v>#VALUE!</v>
      </c>
      <c r="H65" s="614">
        <f t="shared" si="6"/>
        <v>914.031</v>
      </c>
      <c r="I65" s="605" t="str">
        <f t="shared" si="6"/>
        <v>#VALUE!</v>
      </c>
      <c r="J65" s="593"/>
      <c r="K65" s="593"/>
      <c r="L65" s="593"/>
      <c r="M65" s="593"/>
    </row>
    <row r="66" ht="15.75" hidden="1" customHeight="1">
      <c r="A66" s="604">
        <v>44166.0</v>
      </c>
      <c r="B66" s="605">
        <f>640+50+230</f>
        <v>920</v>
      </c>
      <c r="C66" s="605"/>
      <c r="D66" s="605"/>
      <c r="E66" s="605"/>
      <c r="F66" s="616">
        <f>90+1290+790+1450</f>
        <v>3620</v>
      </c>
      <c r="G66" s="607">
        <f t="shared" ref="G66:G96" si="7">B66+C66+D66+E66+F66</f>
        <v>4540</v>
      </c>
      <c r="H66" s="606" t="s">
        <v>264</v>
      </c>
      <c r="I66" s="605" t="str">
        <f t="shared" ref="I66:I97" si="8">G66-H66</f>
        <v>#VALUE!</v>
      </c>
      <c r="J66" s="593"/>
      <c r="K66" s="593"/>
      <c r="L66" s="593"/>
      <c r="M66" s="593"/>
    </row>
    <row r="67" ht="15.75" hidden="1" customHeight="1">
      <c r="A67" s="604">
        <v>44167.0</v>
      </c>
      <c r="B67" s="605">
        <f>90+50+290+90+890+50+180+50+180+50+490</f>
        <v>2410</v>
      </c>
      <c r="C67" s="605"/>
      <c r="D67" s="614">
        <v>590.0</v>
      </c>
      <c r="E67" s="605"/>
      <c r="F67" s="616">
        <f>790+690+690</f>
        <v>2170</v>
      </c>
      <c r="G67" s="607">
        <f t="shared" si="7"/>
        <v>5170</v>
      </c>
      <c r="H67" s="617" t="s">
        <v>265</v>
      </c>
      <c r="I67" s="615" t="str">
        <f t="shared" si="8"/>
        <v>#VALUE!</v>
      </c>
      <c r="J67" s="593"/>
      <c r="K67" s="593"/>
      <c r="L67" s="593"/>
      <c r="M67" s="593"/>
    </row>
    <row r="68" ht="15.75" hidden="1" customHeight="1">
      <c r="A68" s="604">
        <v>44168.0</v>
      </c>
      <c r="B68" s="605">
        <f>180+90+180+690+90+90</f>
        <v>1320</v>
      </c>
      <c r="C68" s="605"/>
      <c r="D68" s="605"/>
      <c r="E68" s="605"/>
      <c r="F68" s="616">
        <f>890+740+590+90+290+2290</f>
        <v>4890</v>
      </c>
      <c r="G68" s="607">
        <f t="shared" si="7"/>
        <v>6210</v>
      </c>
      <c r="H68" s="606" t="s">
        <v>266</v>
      </c>
      <c r="I68" s="605" t="str">
        <f t="shared" si="8"/>
        <v>#VALUE!</v>
      </c>
      <c r="J68" s="593"/>
      <c r="K68" s="593"/>
      <c r="L68" s="593"/>
      <c r="M68" s="593"/>
    </row>
    <row r="69" ht="15.75" hidden="1" customHeight="1">
      <c r="A69" s="604">
        <v>44169.0</v>
      </c>
      <c r="B69" s="605">
        <f>90+90+90+50+180+680+110+150</f>
        <v>1440</v>
      </c>
      <c r="C69" s="605"/>
      <c r="D69" s="614">
        <f>180+390</f>
        <v>570</v>
      </c>
      <c r="E69" s="605"/>
      <c r="F69" s="616">
        <f>1830+1290+1880+240</f>
        <v>5240</v>
      </c>
      <c r="G69" s="607">
        <f t="shared" si="7"/>
        <v>7250</v>
      </c>
      <c r="H69" s="606" t="s">
        <v>267</v>
      </c>
      <c r="I69" s="605" t="str">
        <f t="shared" si="8"/>
        <v>#VALUE!</v>
      </c>
      <c r="J69" s="593"/>
      <c r="K69" s="593"/>
      <c r="L69" s="593"/>
      <c r="M69" s="593"/>
    </row>
    <row r="70" ht="15.75" hidden="1" customHeight="1">
      <c r="A70" s="604">
        <v>44170.0</v>
      </c>
      <c r="B70" s="605">
        <f>970+870+720+180+580+130+140+150+200+370+790+90+90+180+270+940+360+180+2170+130+110+280+490</f>
        <v>10390</v>
      </c>
      <c r="C70" s="605"/>
      <c r="D70" s="614">
        <f>1680+210</f>
        <v>1890</v>
      </c>
      <c r="E70" s="605"/>
      <c r="F70" s="616" t="s">
        <v>268</v>
      </c>
      <c r="G70" s="607" t="str">
        <f t="shared" si="7"/>
        <v>#VALUE!</v>
      </c>
      <c r="H70" s="606" t="s">
        <v>269</v>
      </c>
      <c r="I70" s="615" t="str">
        <f t="shared" si="8"/>
        <v>#VALUE!</v>
      </c>
      <c r="J70" s="593"/>
      <c r="K70" s="593"/>
      <c r="L70" s="593"/>
      <c r="M70" s="593"/>
    </row>
    <row r="71" ht="15.75" hidden="1" customHeight="1">
      <c r="A71" s="604">
        <v>44171.0</v>
      </c>
      <c r="B71" s="605">
        <f>540+300+450+1170+680+690+790+230+90+590+360+90+140+90+240+990+50+790+790+1080+890+990+90+1190+90+180+50+590+590+590+2370+50+180+90+50+290+9180+1040+890</f>
        <v>29540</v>
      </c>
      <c r="C71" s="605"/>
      <c r="D71" s="614">
        <f>790+490+690+450+180+680+90+120+300</f>
        <v>3790</v>
      </c>
      <c r="E71" s="605"/>
      <c r="F71" s="616" t="s">
        <v>270</v>
      </c>
      <c r="G71" s="607" t="str">
        <f t="shared" si="7"/>
        <v>#VALUE!</v>
      </c>
      <c r="H71" s="606" t="s">
        <v>271</v>
      </c>
      <c r="I71" s="615" t="str">
        <f t="shared" si="8"/>
        <v>#VALUE!</v>
      </c>
      <c r="J71" s="593"/>
      <c r="K71" s="593"/>
      <c r="L71" s="593"/>
      <c r="M71" s="593"/>
    </row>
    <row r="72" ht="15.75" hidden="1" customHeight="1">
      <c r="A72" s="604">
        <v>44172.0</v>
      </c>
      <c r="B72" s="605">
        <f>90+690+140+230+100+1280+90+180+230+90+90+1030+90+880+90+790+780+870+270+380+160+180+180+90+1350</f>
        <v>10350</v>
      </c>
      <c r="C72" s="605"/>
      <c r="D72" s="605"/>
      <c r="E72" s="605"/>
      <c r="F72" s="616">
        <f>1040+90+580+2290+740+1580+590+570+380+990+190</f>
        <v>9040</v>
      </c>
      <c r="G72" s="607">
        <f t="shared" si="7"/>
        <v>19390</v>
      </c>
      <c r="H72" s="606" t="s">
        <v>272</v>
      </c>
      <c r="I72" s="605" t="str">
        <f t="shared" si="8"/>
        <v>#VALUE!</v>
      </c>
      <c r="J72" s="593"/>
      <c r="K72" s="593"/>
      <c r="L72" s="593"/>
      <c r="M72" s="593"/>
    </row>
    <row r="73" ht="15.75" hidden="1" customHeight="1">
      <c r="A73" s="604">
        <v>44173.0</v>
      </c>
      <c r="B73" s="618">
        <f>90+50+90+390+90+690+90+180+270+20+990+90+150+890+790</f>
        <v>4870</v>
      </c>
      <c r="C73" s="618"/>
      <c r="D73" s="619">
        <f>210+10260+990</f>
        <v>11460</v>
      </c>
      <c r="E73" s="618"/>
      <c r="F73" s="616" t="s">
        <v>273</v>
      </c>
      <c r="G73" s="607" t="str">
        <f t="shared" si="7"/>
        <v>#VALUE!</v>
      </c>
      <c r="H73" s="606" t="s">
        <v>274</v>
      </c>
      <c r="I73" s="605" t="str">
        <f t="shared" si="8"/>
        <v>#VALUE!</v>
      </c>
      <c r="J73" s="593"/>
      <c r="K73" s="593"/>
      <c r="L73" s="593"/>
      <c r="M73" s="593"/>
    </row>
    <row r="74" ht="15.75" hidden="1" customHeight="1">
      <c r="A74" s="604">
        <v>44174.0</v>
      </c>
      <c r="B74" s="618">
        <f>180+180+90+140</f>
        <v>590</v>
      </c>
      <c r="C74" s="618"/>
      <c r="D74" s="618"/>
      <c r="E74" s="618"/>
      <c r="F74" s="616">
        <v>770.0</v>
      </c>
      <c r="G74" s="607">
        <f t="shared" si="7"/>
        <v>1360</v>
      </c>
      <c r="H74" s="606" t="s">
        <v>275</v>
      </c>
      <c r="I74" s="605" t="str">
        <f t="shared" si="8"/>
        <v>#VALUE!</v>
      </c>
      <c r="J74" s="593"/>
      <c r="K74" s="593"/>
      <c r="L74" s="593"/>
      <c r="M74" s="593"/>
    </row>
    <row r="75" ht="15.75" hidden="1" customHeight="1">
      <c r="A75" s="604">
        <v>44175.0</v>
      </c>
      <c r="B75" s="618">
        <f>90+790+490+50+180+100</f>
        <v>1700</v>
      </c>
      <c r="C75" s="618"/>
      <c r="D75" s="619">
        <v>1580.0</v>
      </c>
      <c r="E75" s="618"/>
      <c r="F75" s="616">
        <f>290+490</f>
        <v>780</v>
      </c>
      <c r="G75" s="607">
        <f t="shared" si="7"/>
        <v>4060</v>
      </c>
      <c r="H75" s="606" t="s">
        <v>276</v>
      </c>
      <c r="I75" s="605" t="str">
        <f t="shared" si="8"/>
        <v>#VALUE!</v>
      </c>
      <c r="J75" s="593"/>
      <c r="K75" s="593"/>
      <c r="L75" s="593"/>
      <c r="M75" s="593"/>
    </row>
    <row r="76" ht="15.75" hidden="1" customHeight="1">
      <c r="A76" s="604">
        <v>44176.0</v>
      </c>
      <c r="B76" s="618">
        <f>90+810+90+890+90+360</f>
        <v>2330</v>
      </c>
      <c r="C76" s="618"/>
      <c r="D76" s="619">
        <v>490.0</v>
      </c>
      <c r="E76" s="618"/>
      <c r="F76" s="616">
        <f>1170+790+1280+490</f>
        <v>3730</v>
      </c>
      <c r="G76" s="607">
        <f t="shared" si="7"/>
        <v>6550</v>
      </c>
      <c r="H76" s="606" t="s">
        <v>277</v>
      </c>
      <c r="I76" s="605" t="str">
        <f t="shared" si="8"/>
        <v>#VALUE!</v>
      </c>
      <c r="J76" s="593"/>
      <c r="K76" s="593"/>
      <c r="L76" s="593"/>
      <c r="M76" s="593"/>
    </row>
    <row r="77" ht="15.75" hidden="1" customHeight="1">
      <c r="A77" s="604">
        <v>44177.0</v>
      </c>
      <c r="B77" s="605">
        <f>790+790+1160+180+180+700+590+490+150+50+360+180+390+670+500+180+50+100+290+230</f>
        <v>8030</v>
      </c>
      <c r="C77" s="605"/>
      <c r="D77" s="614">
        <f>240+140+450</f>
        <v>830</v>
      </c>
      <c r="E77" s="605"/>
      <c r="F77" s="616">
        <f>2300+90+980+290+290+790+970+3070</f>
        <v>8780</v>
      </c>
      <c r="G77" s="607">
        <f t="shared" si="7"/>
        <v>17640</v>
      </c>
      <c r="H77" s="606" t="s">
        <v>278</v>
      </c>
      <c r="I77" s="605" t="str">
        <f t="shared" si="8"/>
        <v>#VALUE!</v>
      </c>
      <c r="J77" s="593"/>
      <c r="K77" s="593"/>
      <c r="L77" s="593"/>
      <c r="M77" s="593"/>
    </row>
    <row r="78" ht="15.75" hidden="1" customHeight="1">
      <c r="A78" s="604">
        <v>44178.0</v>
      </c>
      <c r="B78" s="605">
        <f>690+150+180+270+180+230+1380+490+1580+180+90+450+90+90+180+90+90+690+980+90+200+150+180+90+720+790+90+150+90+300+90+90</f>
        <v>11110</v>
      </c>
      <c r="C78" s="605"/>
      <c r="D78" s="605"/>
      <c r="E78" s="605"/>
      <c r="F78" s="616">
        <f>780+790+1270+1960+3860+880+330+1210+790+180+270+1480+990+1040+1180+890+180+690</f>
        <v>18770</v>
      </c>
      <c r="G78" s="607">
        <f t="shared" si="7"/>
        <v>29880</v>
      </c>
      <c r="H78" s="606" t="s">
        <v>279</v>
      </c>
      <c r="I78" s="605" t="str">
        <f t="shared" si="8"/>
        <v>#VALUE!</v>
      </c>
      <c r="J78" s="593"/>
      <c r="K78" s="593"/>
      <c r="L78" s="593"/>
      <c r="M78" s="593"/>
    </row>
    <row r="79" ht="15.75" hidden="1" customHeight="1">
      <c r="A79" s="604">
        <v>44179.0</v>
      </c>
      <c r="B79" s="605">
        <f>90+90+180+970+270+230+740+2080</f>
        <v>4650</v>
      </c>
      <c r="C79" s="605"/>
      <c r="D79" s="614">
        <f>790+790</f>
        <v>1580</v>
      </c>
      <c r="E79" s="605"/>
      <c r="F79" s="616">
        <f>790+390+790+1040+690</f>
        <v>3700</v>
      </c>
      <c r="G79" s="607">
        <f t="shared" si="7"/>
        <v>9930</v>
      </c>
      <c r="H79" s="606" t="s">
        <v>280</v>
      </c>
      <c r="I79" s="605" t="str">
        <f t="shared" si="8"/>
        <v>#VALUE!</v>
      </c>
      <c r="J79" s="593"/>
      <c r="K79" s="593"/>
      <c r="L79" s="593"/>
      <c r="M79" s="593"/>
    </row>
    <row r="80" ht="15.75" hidden="1" customHeight="1">
      <c r="A80" s="604">
        <v>44180.0</v>
      </c>
      <c r="B80" s="605">
        <f>200+200+540+330</f>
        <v>1270</v>
      </c>
      <c r="C80" s="605"/>
      <c r="D80" s="620"/>
      <c r="E80" s="620"/>
      <c r="F80" s="616">
        <f>1140+1580+490+680+1190</f>
        <v>5080</v>
      </c>
      <c r="G80" s="607">
        <f t="shared" si="7"/>
        <v>6350</v>
      </c>
      <c r="H80" s="606" t="s">
        <v>281</v>
      </c>
      <c r="I80" s="605" t="str">
        <f t="shared" si="8"/>
        <v>#VALUE!</v>
      </c>
      <c r="J80" s="593"/>
      <c r="K80" s="593"/>
      <c r="L80" s="593"/>
      <c r="M80" s="593"/>
    </row>
    <row r="81" ht="15.75" hidden="1" customHeight="1">
      <c r="A81" s="604">
        <v>44181.0</v>
      </c>
      <c r="B81" s="605">
        <f>50+50+970+90+980+230+100+970+100+90+90+50+780+590</f>
        <v>5140</v>
      </c>
      <c r="C81" s="605"/>
      <c r="D81" s="614">
        <f>1580</f>
        <v>1580</v>
      </c>
      <c r="E81" s="605"/>
      <c r="F81" s="616">
        <f>690+240+270+790+1570+590+790+100+890</f>
        <v>5930</v>
      </c>
      <c r="G81" s="607">
        <f t="shared" si="7"/>
        <v>12650</v>
      </c>
      <c r="H81" s="606" t="s">
        <v>282</v>
      </c>
      <c r="I81" s="605" t="str">
        <f t="shared" si="8"/>
        <v>#VALUE!</v>
      </c>
      <c r="J81" s="593"/>
      <c r="K81" s="593"/>
      <c r="L81" s="593"/>
      <c r="M81" s="593"/>
    </row>
    <row r="82" ht="15.75" hidden="1" customHeight="1">
      <c r="A82" s="604">
        <v>44182.0</v>
      </c>
      <c r="B82" s="605">
        <f>180+580+150+590+90+50+390+90+360+580</f>
        <v>3060</v>
      </c>
      <c r="C82" s="605"/>
      <c r="D82" s="605"/>
      <c r="E82" s="605"/>
      <c r="F82" s="616" t="s">
        <v>283</v>
      </c>
      <c r="G82" s="607" t="str">
        <f t="shared" si="7"/>
        <v>#VALUE!</v>
      </c>
      <c r="H82" s="606" t="s">
        <v>284</v>
      </c>
      <c r="I82" s="605" t="str">
        <f t="shared" si="8"/>
        <v>#VALUE!</v>
      </c>
      <c r="J82" s="593"/>
      <c r="K82" s="593"/>
      <c r="L82" s="593"/>
      <c r="M82" s="593"/>
    </row>
    <row r="83" ht="15.75" hidden="1" customHeight="1">
      <c r="A83" s="604">
        <v>44183.0</v>
      </c>
      <c r="B83" s="605">
        <f>90+3290+50+90+180+980+760+90+990+690+390+1670+290+1020+180+150+690+180+1380+90</f>
        <v>13250</v>
      </c>
      <c r="C83" s="605"/>
      <c r="D83" s="614">
        <f>990+580+90+190</f>
        <v>1850</v>
      </c>
      <c r="E83" s="605"/>
      <c r="F83" s="616">
        <f>180+790+230+90</f>
        <v>1290</v>
      </c>
      <c r="G83" s="607">
        <f t="shared" si="7"/>
        <v>16390</v>
      </c>
      <c r="H83" s="606" t="s">
        <v>285</v>
      </c>
      <c r="I83" s="615" t="str">
        <f t="shared" si="8"/>
        <v>#VALUE!</v>
      </c>
      <c r="J83" s="593"/>
      <c r="K83" s="593"/>
      <c r="L83" s="593"/>
      <c r="M83" s="593"/>
    </row>
    <row r="84" ht="15.75" hidden="1" customHeight="1">
      <c r="A84" s="604">
        <v>44184.0</v>
      </c>
      <c r="B84" s="605">
        <f>50+2010+1260+360+240+390+180+690+1290+1230+540+120+690+990+490+3950+190+180+90+90+90</f>
        <v>15120</v>
      </c>
      <c r="C84" s="605"/>
      <c r="D84" s="614">
        <f>1240+640+450</f>
        <v>2330</v>
      </c>
      <c r="E84" s="605"/>
      <c r="F84" s="616" t="s">
        <v>286</v>
      </c>
      <c r="G84" s="607" t="str">
        <f t="shared" si="7"/>
        <v>#VALUE!</v>
      </c>
      <c r="H84" s="606" t="s">
        <v>287</v>
      </c>
      <c r="I84" s="615" t="str">
        <f t="shared" si="8"/>
        <v>#VALUE!</v>
      </c>
      <c r="J84" s="593"/>
      <c r="K84" s="593"/>
      <c r="L84" s="593"/>
      <c r="M84" s="593"/>
    </row>
    <row r="85" ht="15.75" hidden="1" customHeight="1">
      <c r="A85" s="604">
        <v>44185.0</v>
      </c>
      <c r="B85" s="605">
        <f>50+50+90+370+190+1180+980+740+680+250+90+90+230+1680+790+50+180+1130+380+100+790+880+790+110+960+180+790+270+590+290+1190+430+90+50+270+180+90+270+590+200+140+190+230+680+50+790+690+270+790+50+180+90+180</f>
        <v>22640</v>
      </c>
      <c r="C85" s="605"/>
      <c r="D85" s="614">
        <v>590.0</v>
      </c>
      <c r="E85" s="605"/>
      <c r="F85" s="621">
        <f>1540+12130+17560</f>
        <v>31230</v>
      </c>
      <c r="G85" s="607">
        <f t="shared" si="7"/>
        <v>54460</v>
      </c>
      <c r="H85" s="606" t="s">
        <v>288</v>
      </c>
      <c r="I85" s="605" t="str">
        <f t="shared" si="8"/>
        <v>#VALUE!</v>
      </c>
      <c r="J85" s="593"/>
      <c r="K85" s="593"/>
      <c r="L85" s="593"/>
      <c r="M85" s="593"/>
    </row>
    <row r="86" ht="15.75" hidden="1" customHeight="1">
      <c r="A86" s="604">
        <v>44186.0</v>
      </c>
      <c r="B86" s="605">
        <f>180+590+490+90+830+50+180+1450+900</f>
        <v>4760</v>
      </c>
      <c r="C86" s="605"/>
      <c r="D86" s="605"/>
      <c r="E86" s="605"/>
      <c r="F86" s="622">
        <f>380+1080+390+390+1050+1260+1370+180</f>
        <v>6100</v>
      </c>
      <c r="G86" s="607">
        <f t="shared" si="7"/>
        <v>10860</v>
      </c>
      <c r="H86" s="606" t="s">
        <v>289</v>
      </c>
      <c r="I86" s="605" t="str">
        <f t="shared" si="8"/>
        <v>#VALUE!</v>
      </c>
      <c r="J86" s="593"/>
      <c r="K86" s="593"/>
      <c r="L86" s="593"/>
      <c r="M86" s="593"/>
    </row>
    <row r="87" ht="15.75" hidden="1" customHeight="1">
      <c r="A87" s="604">
        <v>44187.0</v>
      </c>
      <c r="B87" s="605">
        <f>180+390+90+140+690+890+470+180+180+1180+180+980+270+560+290+90+2870+1570</f>
        <v>11200</v>
      </c>
      <c r="C87" s="605"/>
      <c r="D87" s="614">
        <v>180.0</v>
      </c>
      <c r="E87" s="605"/>
      <c r="F87" s="616">
        <f>760+790+1240+7560+1020+90+510+990+790+890</f>
        <v>14640</v>
      </c>
      <c r="G87" s="607">
        <f t="shared" si="7"/>
        <v>26020</v>
      </c>
      <c r="H87" s="606" t="s">
        <v>290</v>
      </c>
      <c r="I87" s="605" t="str">
        <f t="shared" si="8"/>
        <v>#VALUE!</v>
      </c>
      <c r="J87" s="593"/>
      <c r="K87" s="593"/>
      <c r="L87" s="593"/>
      <c r="M87" s="593"/>
    </row>
    <row r="88" ht="15.75" hidden="1" customHeight="1">
      <c r="A88" s="604">
        <v>44188.0</v>
      </c>
      <c r="B88" s="605">
        <f>150+90+390+150+90+1180+740+580+90+290+740+90+480+690+980+300+90+180+780+680+590</f>
        <v>9350</v>
      </c>
      <c r="C88" s="605"/>
      <c r="D88" s="614">
        <f>270+1280+790+780</f>
        <v>3120</v>
      </c>
      <c r="E88" s="605"/>
      <c r="F88" s="616" t="s">
        <v>291</v>
      </c>
      <c r="G88" s="607" t="str">
        <f t="shared" si="7"/>
        <v>#VALUE!</v>
      </c>
      <c r="H88" s="606" t="s">
        <v>292</v>
      </c>
      <c r="I88" s="615" t="str">
        <f t="shared" si="8"/>
        <v>#VALUE!</v>
      </c>
      <c r="J88" s="593"/>
      <c r="K88" s="593"/>
      <c r="L88" s="593"/>
      <c r="M88" s="593"/>
    </row>
    <row r="89" ht="15.75" hidden="1" customHeight="1">
      <c r="A89" s="604">
        <v>44189.0</v>
      </c>
      <c r="B89" s="605">
        <f>300+180+50+290+500+690+200+50+560+1560+190+410+180+1180+610+990+690+640+300+890+240+180+100+1030+540+270+1190+590</f>
        <v>14600</v>
      </c>
      <c r="C89" s="605"/>
      <c r="D89" s="614">
        <f>320+240+1390</f>
        <v>1950</v>
      </c>
      <c r="E89" s="605"/>
      <c r="F89" s="616">
        <f>790+180+1580+1190+490+390+230+90+320</f>
        <v>5260</v>
      </c>
      <c r="G89" s="607">
        <f t="shared" si="7"/>
        <v>21810</v>
      </c>
      <c r="H89" s="606" t="s">
        <v>293</v>
      </c>
      <c r="I89" s="605" t="str">
        <f t="shared" si="8"/>
        <v>#VALUE!</v>
      </c>
      <c r="J89" s="593"/>
      <c r="K89" s="593"/>
      <c r="L89" s="593"/>
      <c r="M89" s="593"/>
    </row>
    <row r="90" ht="15.75" hidden="1" customHeight="1">
      <c r="A90" s="604">
        <v>44190.0</v>
      </c>
      <c r="B90" s="605">
        <v>0.0</v>
      </c>
      <c r="C90" s="605">
        <v>0.0</v>
      </c>
      <c r="D90" s="614">
        <v>0.0</v>
      </c>
      <c r="E90" s="605">
        <v>0.0</v>
      </c>
      <c r="F90" s="605">
        <v>0.0</v>
      </c>
      <c r="G90" s="607">
        <f t="shared" si="7"/>
        <v>0</v>
      </c>
      <c r="H90" s="606">
        <v>0.0</v>
      </c>
      <c r="I90" s="605">
        <f t="shared" si="8"/>
        <v>0</v>
      </c>
      <c r="J90" s="593"/>
      <c r="K90" s="593"/>
      <c r="L90" s="593"/>
      <c r="M90" s="593"/>
    </row>
    <row r="91" ht="15.75" hidden="1" customHeight="1">
      <c r="A91" s="604">
        <v>44191.0</v>
      </c>
      <c r="B91" s="605">
        <f>550+50+180+1180+270+90+290+90+180+100+150</f>
        <v>3130</v>
      </c>
      <c r="C91" s="605"/>
      <c r="D91" s="614">
        <f>180+290+480</f>
        <v>950</v>
      </c>
      <c r="E91" s="605"/>
      <c r="F91" s="616">
        <f>1980+180+1690+50+490+1460+780+940+790</f>
        <v>8360</v>
      </c>
      <c r="G91" s="607">
        <f t="shared" si="7"/>
        <v>12440</v>
      </c>
      <c r="H91" s="606" t="s">
        <v>294</v>
      </c>
      <c r="I91" s="605" t="str">
        <f t="shared" si="8"/>
        <v>#VALUE!</v>
      </c>
      <c r="J91" s="593"/>
      <c r="K91" s="593"/>
      <c r="L91" s="593"/>
      <c r="M91" s="593"/>
    </row>
    <row r="92" ht="15.75" hidden="1" customHeight="1">
      <c r="A92" s="604">
        <v>44192.0</v>
      </c>
      <c r="B92" s="605">
        <f>100+370+720+1190+140+790+890+590+840+270+190+490+90+270+360+380+270+390+180+240+90+790+90+150+90+330+590</f>
        <v>10890</v>
      </c>
      <c r="C92" s="605"/>
      <c r="D92" s="614">
        <f>790+90+790</f>
        <v>1670</v>
      </c>
      <c r="E92" s="605"/>
      <c r="F92" s="616" t="s">
        <v>295</v>
      </c>
      <c r="G92" s="607" t="str">
        <f t="shared" si="7"/>
        <v>#VALUE!</v>
      </c>
      <c r="H92" s="606" t="s">
        <v>296</v>
      </c>
      <c r="I92" s="605" t="str">
        <f t="shared" si="8"/>
        <v>#VALUE!</v>
      </c>
      <c r="J92" s="593"/>
      <c r="K92" s="593"/>
      <c r="L92" s="593"/>
      <c r="M92" s="593"/>
    </row>
    <row r="93" ht="15.75" hidden="1" customHeight="1">
      <c r="A93" s="604">
        <v>44193.0</v>
      </c>
      <c r="B93" s="605">
        <f>420+150+180+270+190</f>
        <v>1210</v>
      </c>
      <c r="C93" s="605"/>
      <c r="D93" s="605">
        <v>0.0</v>
      </c>
      <c r="E93" s="605"/>
      <c r="F93" s="606">
        <f>790+420</f>
        <v>1210</v>
      </c>
      <c r="G93" s="607">
        <f t="shared" si="7"/>
        <v>2420</v>
      </c>
      <c r="H93" s="606" t="s">
        <v>297</v>
      </c>
      <c r="I93" s="605" t="str">
        <f t="shared" si="8"/>
        <v>#VALUE!</v>
      </c>
      <c r="J93" s="593"/>
      <c r="K93" s="593"/>
      <c r="L93" s="593"/>
      <c r="M93" s="593"/>
    </row>
    <row r="94" ht="15.75" hidden="1" customHeight="1">
      <c r="A94" s="604">
        <v>44194.0</v>
      </c>
      <c r="B94" s="605">
        <f>90+490+790+90+190+180+100</f>
        <v>1930</v>
      </c>
      <c r="C94" s="605"/>
      <c r="D94" s="605">
        <v>0.0</v>
      </c>
      <c r="E94" s="594"/>
      <c r="F94" s="606">
        <f>590+1370+90+590+430+790</f>
        <v>3860</v>
      </c>
      <c r="G94" s="607">
        <f t="shared" si="7"/>
        <v>5790</v>
      </c>
      <c r="H94" s="606" t="s">
        <v>298</v>
      </c>
      <c r="I94" s="605" t="str">
        <f t="shared" si="8"/>
        <v>#VALUE!</v>
      </c>
      <c r="J94" s="593"/>
      <c r="K94" s="593"/>
      <c r="L94" s="593"/>
      <c r="M94" s="593"/>
    </row>
    <row r="95" ht="15.75" hidden="1" customHeight="1">
      <c r="A95" s="604">
        <v>44195.0</v>
      </c>
      <c r="B95" s="605">
        <f>270+630+180+50+90+490+370+990+370+990</f>
        <v>4430</v>
      </c>
      <c r="C95" s="605"/>
      <c r="D95" s="605">
        <v>0.0</v>
      </c>
      <c r="E95" s="605"/>
      <c r="F95" s="606">
        <f>540+770+1450+1670+630+590+90+590+680+890</f>
        <v>7900</v>
      </c>
      <c r="G95" s="607">
        <f t="shared" si="7"/>
        <v>12330</v>
      </c>
      <c r="H95" s="606" t="s">
        <v>299</v>
      </c>
      <c r="I95" s="615" t="str">
        <f t="shared" si="8"/>
        <v>#VALUE!</v>
      </c>
      <c r="J95" s="593"/>
      <c r="K95" s="593"/>
      <c r="L95" s="593"/>
      <c r="M95" s="593"/>
    </row>
    <row r="96" ht="15.75" hidden="1" customHeight="1">
      <c r="A96" s="604">
        <v>44196.0</v>
      </c>
      <c r="B96" s="605">
        <v>0.0</v>
      </c>
      <c r="C96" s="605"/>
      <c r="D96" s="605">
        <v>0.0</v>
      </c>
      <c r="E96" s="605"/>
      <c r="F96" s="606">
        <v>0.0</v>
      </c>
      <c r="G96" s="607">
        <f t="shared" si="7"/>
        <v>0</v>
      </c>
      <c r="H96" s="614">
        <v>0.0</v>
      </c>
      <c r="I96" s="605">
        <f t="shared" si="8"/>
        <v>0</v>
      </c>
      <c r="J96" s="593"/>
      <c r="K96" s="593"/>
      <c r="L96" s="593"/>
      <c r="M96" s="593"/>
    </row>
    <row r="97" ht="15.75" hidden="1" customHeight="1">
      <c r="A97" s="604"/>
      <c r="B97" s="614">
        <f t="shared" ref="B97:H97" si="9">SUM(B66:B96)</f>
        <v>211630</v>
      </c>
      <c r="C97" s="614">
        <f t="shared" si="9"/>
        <v>0</v>
      </c>
      <c r="D97" s="614">
        <f t="shared" si="9"/>
        <v>37000</v>
      </c>
      <c r="E97" s="614">
        <f t="shared" si="9"/>
        <v>0</v>
      </c>
      <c r="F97" s="614">
        <f t="shared" si="9"/>
        <v>152350</v>
      </c>
      <c r="G97" s="614" t="str">
        <f t="shared" si="9"/>
        <v>#VALUE!</v>
      </c>
      <c r="H97" s="614">
        <f t="shared" si="9"/>
        <v>0</v>
      </c>
      <c r="I97" s="615" t="str">
        <f t="shared" si="8"/>
        <v>#VALUE!</v>
      </c>
      <c r="J97" s="594" t="str">
        <f>I65+I34</f>
        <v>#VALUE!</v>
      </c>
      <c r="K97" s="593"/>
      <c r="L97" s="593"/>
      <c r="M97" s="593"/>
    </row>
    <row r="98" ht="15.75" customHeight="1">
      <c r="A98" s="604"/>
      <c r="B98" s="605"/>
      <c r="C98" s="605"/>
      <c r="D98" s="605"/>
      <c r="E98" s="605"/>
      <c r="F98" s="605"/>
      <c r="G98" s="605"/>
      <c r="H98" s="605"/>
      <c r="I98" s="615"/>
      <c r="J98" s="605"/>
      <c r="K98" s="618"/>
      <c r="L98" s="618"/>
      <c r="M98" s="618"/>
      <c r="N98" s="330"/>
    </row>
    <row r="99" ht="15.75" customHeight="1">
      <c r="A99" s="604">
        <v>44197.0</v>
      </c>
      <c r="B99" s="605">
        <v>0.0</v>
      </c>
      <c r="C99" s="605">
        <v>0.0</v>
      </c>
      <c r="D99" s="605">
        <v>0.0</v>
      </c>
      <c r="E99" s="605">
        <v>0.0</v>
      </c>
      <c r="F99" s="605">
        <v>0.0</v>
      </c>
      <c r="G99" s="623">
        <f t="shared" ref="G99:G129" si="10">B99+C99+D99+E99+F99</f>
        <v>0</v>
      </c>
      <c r="H99" s="605">
        <v>0.0</v>
      </c>
      <c r="I99" s="615">
        <f t="shared" ref="I99:I129" si="11">G99-H99</f>
        <v>0</v>
      </c>
      <c r="J99" s="618">
        <v>0.0</v>
      </c>
      <c r="K99" s="618"/>
      <c r="L99" s="618"/>
      <c r="M99" s="618"/>
      <c r="N99" s="330"/>
    </row>
    <row r="100" ht="15.75" customHeight="1">
      <c r="A100" s="604">
        <v>44198.0</v>
      </c>
      <c r="B100" s="605">
        <f>190+150+590+270+90+270+20+200</f>
        <v>1780</v>
      </c>
      <c r="C100" s="605"/>
      <c r="D100" s="605">
        <v>270.0</v>
      </c>
      <c r="E100" s="594"/>
      <c r="F100" s="606">
        <f>790+840+780+880+690+90+590+790+190+490+990+790</f>
        <v>7910</v>
      </c>
      <c r="G100" s="623">
        <f t="shared" si="10"/>
        <v>9960</v>
      </c>
      <c r="H100" s="605">
        <v>9.96</v>
      </c>
      <c r="I100" s="615">
        <f t="shared" si="11"/>
        <v>9950.04</v>
      </c>
      <c r="J100" s="618">
        <v>22.0</v>
      </c>
      <c r="K100" s="618">
        <v>2068.0</v>
      </c>
      <c r="L100" s="618">
        <v>2089.0</v>
      </c>
      <c r="M100" s="618">
        <v>1.0</v>
      </c>
      <c r="N100" s="330">
        <v>39.0</v>
      </c>
    </row>
    <row r="101" ht="15.75" customHeight="1">
      <c r="A101" s="604">
        <v>44199.0</v>
      </c>
      <c r="B101" s="605">
        <f>50+790+90+880+100+410+410+180+180+150+20+150+1030+270+150+390+270+180+590+180+100+90</f>
        <v>6660</v>
      </c>
      <c r="C101" s="605"/>
      <c r="D101" s="605">
        <v>790.0</v>
      </c>
      <c r="E101" s="605"/>
      <c r="F101" s="606">
        <f>7090+1780+1470+590+270+300+780</f>
        <v>12280</v>
      </c>
      <c r="G101" s="623">
        <f t="shared" si="10"/>
        <v>19730</v>
      </c>
      <c r="H101" s="605">
        <v>20.32</v>
      </c>
      <c r="I101" s="609">
        <f t="shared" si="11"/>
        <v>19709.68</v>
      </c>
      <c r="J101" s="618">
        <v>32.0</v>
      </c>
      <c r="K101" s="618">
        <v>2090.0</v>
      </c>
      <c r="L101" s="618">
        <v>2121.0</v>
      </c>
      <c r="M101" s="618">
        <v>1.0</v>
      </c>
      <c r="N101" s="330">
        <v>65.0</v>
      </c>
    </row>
    <row r="102" ht="15.75" customHeight="1">
      <c r="A102" s="604">
        <v>44200.0</v>
      </c>
      <c r="B102" s="605">
        <f>270+270+150+150+180+150+180+490+890</f>
        <v>2730</v>
      </c>
      <c r="C102" s="605"/>
      <c r="D102" s="605">
        <v>0.0</v>
      </c>
      <c r="E102" s="605"/>
      <c r="F102" s="606">
        <v>320.0</v>
      </c>
      <c r="G102" s="623">
        <f t="shared" si="10"/>
        <v>3050</v>
      </c>
      <c r="H102" s="605">
        <v>3.05</v>
      </c>
      <c r="I102" s="615">
        <f t="shared" si="11"/>
        <v>3046.95</v>
      </c>
      <c r="J102" s="618">
        <v>9.0</v>
      </c>
      <c r="K102" s="618">
        <v>2122.0</v>
      </c>
      <c r="L102" s="618">
        <v>2130.0</v>
      </c>
      <c r="M102" s="618">
        <v>0.0</v>
      </c>
      <c r="N102" s="330">
        <v>19.0</v>
      </c>
    </row>
    <row r="103" ht="15.75" customHeight="1">
      <c r="A103" s="604">
        <v>44201.0</v>
      </c>
      <c r="B103" s="605">
        <f>200+100+100+100+90+180</f>
        <v>770</v>
      </c>
      <c r="C103" s="605"/>
      <c r="D103" s="605">
        <v>980.0</v>
      </c>
      <c r="E103" s="605"/>
      <c r="F103" s="606">
        <f>2260+1290+1670</f>
        <v>5220</v>
      </c>
      <c r="G103" s="623">
        <f t="shared" si="10"/>
        <v>6970</v>
      </c>
      <c r="H103" s="605">
        <v>6.97</v>
      </c>
      <c r="I103" s="615">
        <f t="shared" si="11"/>
        <v>6963.03</v>
      </c>
      <c r="J103" s="618">
        <v>10.0</v>
      </c>
      <c r="K103" s="618">
        <v>2131.0</v>
      </c>
      <c r="L103" s="618">
        <v>2140.0</v>
      </c>
      <c r="M103" s="618">
        <v>0.0</v>
      </c>
      <c r="N103" s="330">
        <v>23.0</v>
      </c>
    </row>
    <row r="104" ht="15.75" customHeight="1">
      <c r="A104" s="604">
        <v>44202.0</v>
      </c>
      <c r="B104" s="605">
        <f>90+890+180+90+380+270+200+180+100+90+890+1850</f>
        <v>5210</v>
      </c>
      <c r="C104" s="605"/>
      <c r="D104" s="605">
        <v>1.85</v>
      </c>
      <c r="E104" s="605"/>
      <c r="F104" s="606">
        <f>450+1290+240</f>
        <v>1980</v>
      </c>
      <c r="G104" s="623">
        <f t="shared" si="10"/>
        <v>7191.85</v>
      </c>
      <c r="H104" s="605">
        <v>9.04</v>
      </c>
      <c r="I104" s="615">
        <f t="shared" si="11"/>
        <v>7182.81</v>
      </c>
      <c r="J104" s="618">
        <v>15.0</v>
      </c>
      <c r="K104" s="618">
        <v>2141.0</v>
      </c>
      <c r="L104" s="618">
        <v>2155.0</v>
      </c>
      <c r="M104" s="618">
        <v>0.0</v>
      </c>
      <c r="N104" s="330">
        <v>36.0</v>
      </c>
    </row>
    <row r="105" ht="15.75" customHeight="1">
      <c r="A105" s="604">
        <v>44203.0</v>
      </c>
      <c r="B105" s="605">
        <f>270+570+180+1490+90+180</f>
        <v>2780</v>
      </c>
      <c r="C105" s="605"/>
      <c r="D105" s="605">
        <v>450.0</v>
      </c>
      <c r="E105" s="605"/>
      <c r="F105" s="606">
        <f>890+1290+3030+280</f>
        <v>5490</v>
      </c>
      <c r="G105" s="623">
        <f t="shared" si="10"/>
        <v>8720</v>
      </c>
      <c r="H105" s="605">
        <v>8.72</v>
      </c>
      <c r="I105" s="615">
        <f t="shared" si="11"/>
        <v>8711.28</v>
      </c>
      <c r="J105" s="618">
        <v>11.0</v>
      </c>
      <c r="K105" s="618">
        <v>2156.0</v>
      </c>
      <c r="L105" s="618">
        <v>2166.0</v>
      </c>
      <c r="M105" s="618">
        <v>0.0</v>
      </c>
      <c r="N105" s="330">
        <v>11.0</v>
      </c>
    </row>
    <row r="106" ht="15.75" customHeight="1">
      <c r="A106" s="604">
        <v>44204.0</v>
      </c>
      <c r="B106" s="605">
        <f>680+50+150+90+90</f>
        <v>1060</v>
      </c>
      <c r="C106" s="605"/>
      <c r="D106" s="605">
        <f>890+690</f>
        <v>1580</v>
      </c>
      <c r="E106" s="605"/>
      <c r="F106" s="606">
        <f>690+2570+240</f>
        <v>3500</v>
      </c>
      <c r="G106" s="623">
        <f t="shared" si="10"/>
        <v>6140</v>
      </c>
      <c r="H106" s="605">
        <v>6.14</v>
      </c>
      <c r="I106" s="615">
        <f t="shared" si="11"/>
        <v>6133.86</v>
      </c>
      <c r="J106" s="618">
        <v>10.0</v>
      </c>
      <c r="K106" s="618">
        <v>2167.0</v>
      </c>
      <c r="L106" s="618">
        <v>2176.0</v>
      </c>
      <c r="M106" s="618">
        <v>0.0</v>
      </c>
      <c r="N106" s="330">
        <v>12.0</v>
      </c>
    </row>
    <row r="107" ht="15.75" customHeight="1">
      <c r="A107" s="604">
        <v>44205.0</v>
      </c>
      <c r="B107" s="605">
        <f>150+90+90+90+480+1670+50+90+90</f>
        <v>2800</v>
      </c>
      <c r="C107" s="605"/>
      <c r="D107" s="605">
        <f>890+180</f>
        <v>1070</v>
      </c>
      <c r="E107" s="605"/>
      <c r="F107" s="606">
        <f>890+870+890+1290+270+890+1290+280+570</f>
        <v>7240</v>
      </c>
      <c r="G107" s="623">
        <f t="shared" si="10"/>
        <v>11110</v>
      </c>
      <c r="H107" s="605">
        <v>11.11</v>
      </c>
      <c r="I107" s="615">
        <f t="shared" si="11"/>
        <v>11098.89</v>
      </c>
      <c r="J107" s="618">
        <v>20.0</v>
      </c>
      <c r="K107" s="618">
        <v>2177.0</v>
      </c>
      <c r="L107" s="618">
        <v>2196.0</v>
      </c>
      <c r="M107" s="618">
        <v>0.0</v>
      </c>
      <c r="N107" s="330">
        <v>34.0</v>
      </c>
    </row>
    <row r="108" ht="15.75" customHeight="1">
      <c r="A108" s="604">
        <v>44206.0</v>
      </c>
      <c r="B108" s="605">
        <f>50+890+1290+50+50+1290+50+1220+1780+290+240+500+300+180+50+290+360+920+360</f>
        <v>10160</v>
      </c>
      <c r="C108" s="605"/>
      <c r="D108" s="605">
        <f>140+390</f>
        <v>530</v>
      </c>
      <c r="E108" s="605"/>
      <c r="F108" s="606">
        <f>330+490+230+50+1780</f>
        <v>2880</v>
      </c>
      <c r="G108" s="623">
        <f t="shared" si="10"/>
        <v>13570</v>
      </c>
      <c r="H108" s="605">
        <v>13.57</v>
      </c>
      <c r="I108" s="615">
        <f t="shared" si="11"/>
        <v>13556.43</v>
      </c>
      <c r="J108" s="618">
        <v>26.0</v>
      </c>
      <c r="K108" s="618">
        <v>2197.0</v>
      </c>
      <c r="L108" s="618">
        <v>2222.0</v>
      </c>
      <c r="M108" s="618">
        <v>1.0</v>
      </c>
      <c r="N108" s="330">
        <v>51.0</v>
      </c>
    </row>
    <row r="109" ht="15.75" customHeight="1">
      <c r="A109" s="604">
        <v>44207.0</v>
      </c>
      <c r="B109" s="605">
        <v>180.0</v>
      </c>
      <c r="C109" s="605"/>
      <c r="D109" s="605"/>
      <c r="E109" s="605"/>
      <c r="F109" s="606"/>
      <c r="G109" s="623">
        <f t="shared" si="10"/>
        <v>180</v>
      </c>
      <c r="H109" s="605">
        <v>180.0</v>
      </c>
      <c r="I109" s="615">
        <f t="shared" si="11"/>
        <v>0</v>
      </c>
      <c r="J109" s="618">
        <v>1.0</v>
      </c>
      <c r="K109" s="618">
        <v>2223.0</v>
      </c>
      <c r="L109" s="618">
        <v>2223.0</v>
      </c>
      <c r="M109" s="618">
        <v>0.0</v>
      </c>
      <c r="N109" s="330">
        <v>1.0</v>
      </c>
    </row>
    <row r="110" ht="15.75" customHeight="1">
      <c r="A110" s="604">
        <v>44208.0</v>
      </c>
      <c r="B110" s="605">
        <f>1290+90</f>
        <v>1380</v>
      </c>
      <c r="C110" s="605"/>
      <c r="D110" s="605"/>
      <c r="E110" s="605"/>
      <c r="F110" s="606">
        <f>890+860+280+1030</f>
        <v>3060</v>
      </c>
      <c r="G110" s="623">
        <f t="shared" si="10"/>
        <v>4440</v>
      </c>
      <c r="H110" s="605">
        <v>4.44</v>
      </c>
      <c r="I110" s="615">
        <f t="shared" si="11"/>
        <v>4435.56</v>
      </c>
      <c r="J110" s="618">
        <v>6.0</v>
      </c>
      <c r="K110" s="618">
        <v>2224.0</v>
      </c>
      <c r="L110" s="618">
        <v>2229.0</v>
      </c>
      <c r="M110" s="618">
        <v>6.0</v>
      </c>
      <c r="N110" s="330">
        <v>14.0</v>
      </c>
    </row>
    <row r="111" ht="15.75" customHeight="1">
      <c r="A111" s="604">
        <v>44209.0</v>
      </c>
      <c r="B111" s="605">
        <f>50+140+150+270+770+90+140+240</f>
        <v>1850</v>
      </c>
      <c r="C111" s="605"/>
      <c r="D111" s="605"/>
      <c r="E111" s="605"/>
      <c r="F111" s="606">
        <f>480+2530+50+980</f>
        <v>4040</v>
      </c>
      <c r="G111" s="623">
        <f t="shared" si="10"/>
        <v>5890</v>
      </c>
      <c r="H111" s="605">
        <v>5.89</v>
      </c>
      <c r="I111" s="615">
        <f t="shared" si="11"/>
        <v>5884.11</v>
      </c>
      <c r="J111" s="618">
        <v>12.0</v>
      </c>
      <c r="K111" s="618">
        <v>2230.0</v>
      </c>
      <c r="L111" s="618">
        <v>2241.0</v>
      </c>
      <c r="M111" s="618">
        <v>0.0</v>
      </c>
      <c r="N111" s="330">
        <v>27.0</v>
      </c>
    </row>
    <row r="112" ht="15.75" customHeight="1">
      <c r="A112" s="604">
        <v>44210.0</v>
      </c>
      <c r="B112" s="605">
        <f>140+450+50+190+50+50</f>
        <v>930</v>
      </c>
      <c r="C112" s="605"/>
      <c r="D112" s="605">
        <v>90.0</v>
      </c>
      <c r="E112" s="605"/>
      <c r="F112" s="606">
        <f>890+890+270</f>
        <v>2050</v>
      </c>
      <c r="G112" s="623">
        <f t="shared" si="10"/>
        <v>3070</v>
      </c>
      <c r="H112" s="605">
        <v>3.07</v>
      </c>
      <c r="I112" s="615">
        <f t="shared" si="11"/>
        <v>3066.93</v>
      </c>
      <c r="J112" s="618">
        <v>10.0</v>
      </c>
      <c r="K112" s="618">
        <v>2242.0</v>
      </c>
      <c r="L112" s="618">
        <v>2251.0</v>
      </c>
      <c r="M112" s="618">
        <v>0.0</v>
      </c>
      <c r="N112" s="330">
        <v>19.0</v>
      </c>
    </row>
    <row r="113" ht="15.75" customHeight="1">
      <c r="A113" s="604">
        <v>44211.0</v>
      </c>
      <c r="B113" s="605">
        <f>190+50+50+180+360+50</f>
        <v>880</v>
      </c>
      <c r="C113" s="605"/>
      <c r="D113" s="605"/>
      <c r="E113" s="605"/>
      <c r="F113" s="606">
        <f>1490+1780+360+490</f>
        <v>4120</v>
      </c>
      <c r="G113" s="623">
        <f t="shared" si="10"/>
        <v>5000</v>
      </c>
      <c r="H113" s="605">
        <v>5.0</v>
      </c>
      <c r="I113" s="615">
        <f t="shared" si="11"/>
        <v>4995</v>
      </c>
      <c r="J113" s="618">
        <v>10.0</v>
      </c>
      <c r="K113" s="618">
        <v>2252.0</v>
      </c>
      <c r="L113" s="618">
        <v>2261.0</v>
      </c>
      <c r="M113" s="618">
        <v>0.0</v>
      </c>
      <c r="N113" s="330">
        <v>19.0</v>
      </c>
    </row>
    <row r="114" ht="15.75" customHeight="1">
      <c r="A114" s="604">
        <v>44212.0</v>
      </c>
      <c r="B114" s="605">
        <f>50+180+890+1290+230+90+90+50+50+180+180+1970+140+200+180+90+890+1290+50+1290+590</f>
        <v>9970</v>
      </c>
      <c r="C114" s="605"/>
      <c r="D114" s="605">
        <v>890.0</v>
      </c>
      <c r="E114" s="605"/>
      <c r="F114" s="606">
        <f>2080+1780+640+270+1880+570+2980+530</f>
        <v>10730</v>
      </c>
      <c r="G114" s="623">
        <f t="shared" si="10"/>
        <v>21590</v>
      </c>
      <c r="H114" s="605">
        <v>21.99</v>
      </c>
      <c r="I114" s="609">
        <f t="shared" si="11"/>
        <v>21568.01</v>
      </c>
      <c r="J114" s="618">
        <v>32.0</v>
      </c>
      <c r="K114" s="618">
        <v>2262.0</v>
      </c>
      <c r="L114" s="618">
        <v>2293.0</v>
      </c>
      <c r="M114" s="618">
        <v>2.0</v>
      </c>
      <c r="N114" s="330">
        <v>56.0</v>
      </c>
    </row>
    <row r="115" ht="15.75" customHeight="1">
      <c r="A115" s="604">
        <v>44213.0</v>
      </c>
      <c r="B115" s="605">
        <f>90+890+90+240+230+2180+240+90+180+180+490+1490+180+390+90+180+180+90+180+100+320+180+150+180+320+1290+180+980</f>
        <v>11380</v>
      </c>
      <c r="C115" s="605"/>
      <c r="D115" s="605">
        <v>1.83</v>
      </c>
      <c r="E115" s="605"/>
      <c r="F115" s="606">
        <f>1490+1290+890+1880+690+1490+390+270+200+300+890+940+1490+890</f>
        <v>13100</v>
      </c>
      <c r="G115" s="623">
        <f t="shared" si="10"/>
        <v>24481.83</v>
      </c>
      <c r="H115" s="605">
        <v>26.31</v>
      </c>
      <c r="I115" s="615">
        <f t="shared" si="11"/>
        <v>24455.52</v>
      </c>
      <c r="J115" s="618">
        <v>47.0</v>
      </c>
      <c r="K115" s="618">
        <v>2294.0</v>
      </c>
      <c r="L115" s="618">
        <v>2340.0</v>
      </c>
      <c r="M115" s="618">
        <v>0.0</v>
      </c>
      <c r="N115" s="330">
        <v>83.0</v>
      </c>
    </row>
    <row r="116" ht="15.75" customHeight="1">
      <c r="A116" s="604">
        <v>44214.0</v>
      </c>
      <c r="B116" s="605">
        <f>230+890+180+890+100+270+90</f>
        <v>2650</v>
      </c>
      <c r="C116" s="605"/>
      <c r="D116" s="605">
        <f>1290+1690</f>
        <v>2980</v>
      </c>
      <c r="E116" s="605"/>
      <c r="F116" s="606">
        <f>1670+890</f>
        <v>2560</v>
      </c>
      <c r="G116" s="623">
        <f t="shared" si="10"/>
        <v>8190</v>
      </c>
      <c r="H116" s="605">
        <v>8.19</v>
      </c>
      <c r="I116" s="615">
        <f t="shared" si="11"/>
        <v>8181.81</v>
      </c>
      <c r="J116" s="618">
        <v>11.0</v>
      </c>
      <c r="K116" s="618">
        <v>2341.0</v>
      </c>
      <c r="L116" s="618">
        <v>2351.0</v>
      </c>
      <c r="M116" s="618">
        <v>0.0</v>
      </c>
      <c r="N116" s="330">
        <v>16.0</v>
      </c>
    </row>
    <row r="117" ht="15.75" customHeight="1">
      <c r="A117" s="604">
        <v>44215.0</v>
      </c>
      <c r="B117" s="605">
        <f>200+50+90+90+180</f>
        <v>610</v>
      </c>
      <c r="C117" s="605"/>
      <c r="D117" s="605">
        <f>90</f>
        <v>90</v>
      </c>
      <c r="E117" s="605"/>
      <c r="F117" s="606">
        <f>690+880+390+1290</f>
        <v>3250</v>
      </c>
      <c r="G117" s="623">
        <f t="shared" si="10"/>
        <v>3950</v>
      </c>
      <c r="H117" s="605">
        <v>4.51</v>
      </c>
      <c r="I117" s="609">
        <f t="shared" si="11"/>
        <v>3945.49</v>
      </c>
      <c r="J117" s="618">
        <v>11.0</v>
      </c>
      <c r="K117" s="618">
        <v>2352.0</v>
      </c>
      <c r="L117" s="618">
        <v>2362.0</v>
      </c>
      <c r="M117" s="618">
        <v>0.0</v>
      </c>
      <c r="N117" s="330">
        <v>17.0</v>
      </c>
    </row>
    <row r="118" ht="15.75" customHeight="1">
      <c r="A118" s="604">
        <v>44216.0</v>
      </c>
      <c r="B118" s="605">
        <v>90.0</v>
      </c>
      <c r="C118" s="605"/>
      <c r="D118" s="605"/>
      <c r="E118" s="605"/>
      <c r="F118" s="606" t="s">
        <v>300</v>
      </c>
      <c r="G118" s="623" t="str">
        <f t="shared" si="10"/>
        <v>#VALUE!</v>
      </c>
      <c r="H118" s="605">
        <v>1.78</v>
      </c>
      <c r="I118" s="615" t="str">
        <f t="shared" si="11"/>
        <v>#VALUE!</v>
      </c>
      <c r="J118" s="618">
        <v>2.0</v>
      </c>
      <c r="K118" s="618">
        <v>2363.0</v>
      </c>
      <c r="L118" s="618">
        <v>2364.0</v>
      </c>
      <c r="M118" s="618">
        <v>0.0</v>
      </c>
      <c r="N118" s="330">
        <v>2.0</v>
      </c>
    </row>
    <row r="119" ht="15.75" customHeight="1">
      <c r="A119" s="604">
        <v>44217.0</v>
      </c>
      <c r="B119" s="594">
        <f>90+300</f>
        <v>390</v>
      </c>
      <c r="C119" s="605"/>
      <c r="D119" s="605"/>
      <c r="E119" s="605"/>
      <c r="F119" s="605">
        <f>1780+2670+890+1690</f>
        <v>7030</v>
      </c>
      <c r="G119" s="623">
        <f t="shared" si="10"/>
        <v>7420</v>
      </c>
      <c r="H119" s="605">
        <v>7.42</v>
      </c>
      <c r="I119" s="615">
        <f t="shared" si="11"/>
        <v>7412.58</v>
      </c>
      <c r="J119" s="618">
        <v>6.0</v>
      </c>
      <c r="K119" s="618">
        <v>2365.0</v>
      </c>
      <c r="L119" s="618">
        <v>2370.0</v>
      </c>
      <c r="M119" s="618">
        <v>0.0</v>
      </c>
      <c r="N119" s="330">
        <v>12.0</v>
      </c>
    </row>
    <row r="120" ht="15.75" customHeight="1">
      <c r="A120" s="604">
        <v>44218.0</v>
      </c>
      <c r="B120" s="605">
        <f>50+90+890+150+270+290</f>
        <v>1740</v>
      </c>
      <c r="C120" s="605"/>
      <c r="D120" s="605"/>
      <c r="E120" s="605"/>
      <c r="F120" s="606" t="s">
        <v>301</v>
      </c>
      <c r="G120" s="623" t="str">
        <f t="shared" si="10"/>
        <v>#VALUE!</v>
      </c>
      <c r="H120" s="605">
        <v>3.46</v>
      </c>
      <c r="I120" s="615" t="str">
        <f t="shared" si="11"/>
        <v>#VALUE!</v>
      </c>
      <c r="J120" s="618">
        <v>7.0</v>
      </c>
      <c r="K120" s="618">
        <v>2371.0</v>
      </c>
      <c r="L120" s="618">
        <v>2377.0</v>
      </c>
      <c r="M120" s="618">
        <v>0.0</v>
      </c>
      <c r="N120" s="330">
        <v>12.0</v>
      </c>
    </row>
    <row r="121" ht="15.75" customHeight="1">
      <c r="A121" s="604">
        <v>44219.0</v>
      </c>
      <c r="B121" s="605">
        <f>50+90+1280+890+90+90+200+390+90+490+1290</f>
        <v>4950</v>
      </c>
      <c r="C121" s="605"/>
      <c r="D121" s="605"/>
      <c r="E121" s="605"/>
      <c r="F121" s="606">
        <f>890+390+890+1960+180</f>
        <v>4310</v>
      </c>
      <c r="G121" s="623">
        <f t="shared" si="10"/>
        <v>9260</v>
      </c>
      <c r="H121" s="605">
        <v>9.26</v>
      </c>
      <c r="I121" s="615">
        <f t="shared" si="11"/>
        <v>9250.74</v>
      </c>
      <c r="J121" s="618">
        <v>16.0</v>
      </c>
      <c r="K121" s="618">
        <v>2378.0</v>
      </c>
      <c r="L121" s="618">
        <v>2393.0</v>
      </c>
      <c r="M121" s="618">
        <v>0.0</v>
      </c>
      <c r="N121" s="330">
        <v>21.0</v>
      </c>
    </row>
    <row r="122" ht="15.75" customHeight="1">
      <c r="A122" s="604">
        <v>44220.0</v>
      </c>
      <c r="B122" s="594">
        <f>50+1290+890+90+90+90+200+890+100+90</f>
        <v>3780</v>
      </c>
      <c r="C122" s="605"/>
      <c r="D122" s="605">
        <f>180+390+380</f>
        <v>950</v>
      </c>
      <c r="E122" s="605"/>
      <c r="F122" s="605">
        <f>180+890</f>
        <v>1070</v>
      </c>
      <c r="G122" s="623">
        <f t="shared" si="10"/>
        <v>5800</v>
      </c>
      <c r="H122" s="605">
        <v>6.69</v>
      </c>
      <c r="I122" s="609">
        <f t="shared" si="11"/>
        <v>5793.31</v>
      </c>
      <c r="J122" s="618">
        <v>16.0</v>
      </c>
      <c r="K122" s="618">
        <v>2394.0</v>
      </c>
      <c r="L122" s="618">
        <v>2409.0</v>
      </c>
      <c r="M122" s="618">
        <v>0.0</v>
      </c>
      <c r="N122" s="330">
        <v>24.0</v>
      </c>
    </row>
    <row r="123" ht="15.75" customHeight="1">
      <c r="A123" s="604">
        <v>44221.0</v>
      </c>
      <c r="B123" s="605">
        <f>90+100</f>
        <v>190</v>
      </c>
      <c r="C123" s="605"/>
      <c r="D123" s="605"/>
      <c r="E123" s="605"/>
      <c r="F123" s="606"/>
      <c r="G123" s="623">
        <f t="shared" si="10"/>
        <v>190</v>
      </c>
      <c r="H123" s="605">
        <v>190.0</v>
      </c>
      <c r="I123" s="615">
        <f t="shared" si="11"/>
        <v>0</v>
      </c>
      <c r="J123" s="618">
        <v>2.0</v>
      </c>
      <c r="K123" s="618">
        <v>2410.0</v>
      </c>
      <c r="L123" s="618">
        <v>2411.0</v>
      </c>
      <c r="M123" s="618">
        <v>0.0</v>
      </c>
      <c r="N123" s="330">
        <v>3.0</v>
      </c>
    </row>
    <row r="124" ht="15.75" customHeight="1">
      <c r="A124" s="604">
        <v>44222.0</v>
      </c>
      <c r="B124" s="605">
        <f>290+490+480+150+90</f>
        <v>1500</v>
      </c>
      <c r="C124" s="605"/>
      <c r="D124" s="605"/>
      <c r="E124" s="605"/>
      <c r="F124" s="606">
        <f>360+1490+1690+890+1290</f>
        <v>5720</v>
      </c>
      <c r="G124" s="623">
        <f t="shared" si="10"/>
        <v>7220</v>
      </c>
      <c r="H124" s="605">
        <v>7.22</v>
      </c>
      <c r="I124" s="615">
        <f t="shared" si="11"/>
        <v>7212.78</v>
      </c>
      <c r="J124" s="618">
        <v>10.0</v>
      </c>
      <c r="K124" s="618">
        <v>2412.0</v>
      </c>
      <c r="L124" s="618">
        <v>2421.0</v>
      </c>
      <c r="M124" s="618">
        <v>0.0</v>
      </c>
      <c r="N124" s="330">
        <v>16.0</v>
      </c>
    </row>
    <row r="125" ht="15.75" customHeight="1">
      <c r="A125" s="604">
        <v>44223.0</v>
      </c>
      <c r="B125" s="605">
        <f>580+1290+1490+890+90+180+90</f>
        <v>4610</v>
      </c>
      <c r="C125" s="605"/>
      <c r="D125" s="605"/>
      <c r="E125" s="605"/>
      <c r="F125" s="606">
        <f>670+470+890</f>
        <v>2030</v>
      </c>
      <c r="G125" s="623">
        <f t="shared" si="10"/>
        <v>6640</v>
      </c>
      <c r="H125" s="605">
        <v>6.64</v>
      </c>
      <c r="I125" s="615">
        <f t="shared" si="11"/>
        <v>6633.36</v>
      </c>
      <c r="J125" s="618">
        <v>10.0</v>
      </c>
      <c r="K125" s="618">
        <v>2422.0</v>
      </c>
      <c r="L125" s="618">
        <v>2431.0</v>
      </c>
      <c r="M125" s="618">
        <v>0.0</v>
      </c>
      <c r="N125" s="330">
        <v>17.0</v>
      </c>
    </row>
    <row r="126" ht="15.75" customHeight="1">
      <c r="A126" s="604">
        <v>44224.0</v>
      </c>
      <c r="B126" s="605">
        <f>190+90+180+630</f>
        <v>1090</v>
      </c>
      <c r="C126" s="605"/>
      <c r="D126" s="605"/>
      <c r="E126" s="605"/>
      <c r="F126" s="606">
        <f>270+1290+890+1670+250</f>
        <v>4370</v>
      </c>
      <c r="G126" s="623">
        <f t="shared" si="10"/>
        <v>5460</v>
      </c>
      <c r="H126" s="605">
        <v>6.35</v>
      </c>
      <c r="I126" s="609">
        <f t="shared" si="11"/>
        <v>5453.65</v>
      </c>
      <c r="J126" s="618">
        <v>10.0</v>
      </c>
      <c r="K126" s="618">
        <v>2432.0</v>
      </c>
      <c r="L126" s="618">
        <v>2441.0</v>
      </c>
      <c r="M126" s="618">
        <v>0.0</v>
      </c>
      <c r="N126" s="330">
        <v>20.0</v>
      </c>
    </row>
    <row r="127" ht="15.75" customHeight="1">
      <c r="A127" s="604">
        <v>44225.0</v>
      </c>
      <c r="B127" s="605">
        <f>240+890+190</f>
        <v>1320</v>
      </c>
      <c r="C127" s="605"/>
      <c r="D127" s="605">
        <v>400.0</v>
      </c>
      <c r="E127" s="605"/>
      <c r="F127" s="606">
        <f>890+290+890+1780+360</f>
        <v>4210</v>
      </c>
      <c r="G127" s="623">
        <f t="shared" si="10"/>
        <v>5930</v>
      </c>
      <c r="H127" s="605">
        <v>5.93</v>
      </c>
      <c r="I127" s="615">
        <f t="shared" si="11"/>
        <v>5924.07</v>
      </c>
      <c r="J127" s="618">
        <v>9.0</v>
      </c>
      <c r="K127" s="618">
        <v>2442.0</v>
      </c>
      <c r="L127" s="618">
        <v>2450.0</v>
      </c>
      <c r="M127" s="618">
        <v>0.0</v>
      </c>
      <c r="N127" s="330">
        <v>29.0</v>
      </c>
    </row>
    <row r="128" ht="15.75" customHeight="1">
      <c r="A128" s="604">
        <v>44226.0</v>
      </c>
      <c r="B128" s="605">
        <f>100+140+180+50+120+90+280+240+150+290+50+40+700+570</f>
        <v>3000</v>
      </c>
      <c r="C128" s="605"/>
      <c r="D128" s="605">
        <v>180.0</v>
      </c>
      <c r="E128" s="605"/>
      <c r="F128" s="606">
        <f>1180+2350+180+890</f>
        <v>4600</v>
      </c>
      <c r="G128" s="623">
        <f t="shared" si="10"/>
        <v>7780</v>
      </c>
      <c r="H128" s="605">
        <v>7.78</v>
      </c>
      <c r="I128" s="615">
        <f t="shared" si="11"/>
        <v>7772.22</v>
      </c>
      <c r="J128" s="618">
        <v>20.0</v>
      </c>
      <c r="K128" s="618">
        <v>2451.0</v>
      </c>
      <c r="L128" s="618">
        <v>2470.0</v>
      </c>
      <c r="M128" s="618">
        <v>1.0</v>
      </c>
      <c r="N128" s="330">
        <v>44.0</v>
      </c>
    </row>
    <row r="129" ht="15.75" customHeight="1">
      <c r="A129" s="604">
        <v>44227.0</v>
      </c>
      <c r="B129" s="605">
        <f>50+60+360+2580+1290+890+90+90+290+390+90+490+100+140+300+90+50+570+240+360+690+1040+180+890+180+180+200+200+1070+50</f>
        <v>13200</v>
      </c>
      <c r="C129" s="605"/>
      <c r="D129" s="605">
        <f>980+890</f>
        <v>1870</v>
      </c>
      <c r="E129" s="605"/>
      <c r="F129" s="606">
        <f>2980+1490+890+890+1380+2360+1560+1290+980+780+2580+780+270+230+580+1870+290+890+980+890</f>
        <v>23960</v>
      </c>
      <c r="G129" s="623">
        <f t="shared" si="10"/>
        <v>39030</v>
      </c>
      <c r="H129" s="605">
        <v>39.03</v>
      </c>
      <c r="I129" s="615">
        <f t="shared" si="11"/>
        <v>38990.97</v>
      </c>
      <c r="J129" s="618">
        <v>52.0</v>
      </c>
      <c r="K129" s="618">
        <v>2471.0</v>
      </c>
      <c r="L129" s="618">
        <v>2522.0</v>
      </c>
      <c r="M129" s="618">
        <v>0.0</v>
      </c>
      <c r="N129" s="330">
        <v>96.0</v>
      </c>
    </row>
    <row r="130" ht="15.75" customHeight="1">
      <c r="A130" s="624" t="s">
        <v>302</v>
      </c>
      <c r="B130" s="614">
        <f>SUM(B98:B129)</f>
        <v>99640</v>
      </c>
      <c r="C130" s="614"/>
      <c r="D130" s="614">
        <f>SUM(D99:D129)</f>
        <v>13123.68</v>
      </c>
      <c r="E130" s="614"/>
      <c r="F130" s="608">
        <f t="shared" ref="F130:I130" si="12">SUM(F99:F129)</f>
        <v>147030</v>
      </c>
      <c r="G130" s="607" t="str">
        <f t="shared" si="12"/>
        <v>#VALUE!</v>
      </c>
      <c r="H130" s="614">
        <f t="shared" si="12"/>
        <v>639.84</v>
      </c>
      <c r="I130" s="609" t="str">
        <f t="shared" si="12"/>
        <v>#VALUE!</v>
      </c>
      <c r="J130" s="618"/>
      <c r="K130" s="618"/>
      <c r="L130" s="618"/>
      <c r="M130" s="618"/>
      <c r="N130" s="625">
        <f>SUM(N100:N129)</f>
        <v>838</v>
      </c>
    </row>
    <row r="131" ht="15.75" customHeight="1">
      <c r="A131" s="626"/>
      <c r="B131" s="627"/>
      <c r="C131" s="627"/>
      <c r="D131" s="627"/>
      <c r="E131" s="627"/>
      <c r="F131" s="628"/>
      <c r="G131" s="629"/>
      <c r="H131" s="552"/>
      <c r="I131" s="627"/>
      <c r="J131" s="330"/>
      <c r="K131" s="330"/>
      <c r="L131" s="330"/>
      <c r="M131" s="330"/>
      <c r="N131" s="330"/>
    </row>
    <row r="132" ht="15.75" customHeight="1">
      <c r="A132" s="626"/>
      <c r="B132" s="627"/>
      <c r="C132" s="627"/>
      <c r="D132" s="627"/>
      <c r="E132" s="627"/>
      <c r="F132" s="628"/>
      <c r="G132" s="629"/>
      <c r="H132" s="552"/>
      <c r="I132" s="627"/>
      <c r="J132" s="330"/>
      <c r="K132" s="330"/>
      <c r="L132" s="330"/>
      <c r="M132" s="330"/>
      <c r="N132" s="330"/>
    </row>
    <row r="133" ht="15.75" customHeight="1">
      <c r="A133" s="626"/>
      <c r="B133" s="627"/>
      <c r="C133" s="627"/>
      <c r="D133" s="627"/>
      <c r="E133" s="627"/>
      <c r="F133" s="628"/>
      <c r="G133" s="629"/>
      <c r="H133" s="552"/>
      <c r="I133" s="627"/>
      <c r="J133" s="330"/>
      <c r="K133" s="330"/>
      <c r="L133" s="330"/>
      <c r="M133" s="330"/>
      <c r="N133" s="330"/>
    </row>
    <row r="134" ht="15.75" customHeight="1">
      <c r="A134" s="626"/>
      <c r="B134" s="627"/>
      <c r="C134" s="627"/>
      <c r="D134" s="627"/>
      <c r="E134" s="627"/>
      <c r="F134" s="628"/>
      <c r="G134" s="629"/>
      <c r="H134" s="552"/>
      <c r="I134" s="627"/>
      <c r="J134" s="330"/>
      <c r="K134" s="330"/>
      <c r="L134" s="330"/>
      <c r="M134" s="330"/>
      <c r="N134" s="330"/>
    </row>
    <row r="135" ht="15.75" customHeight="1">
      <c r="A135" s="626"/>
      <c r="B135" s="627"/>
      <c r="C135" s="627"/>
      <c r="D135" s="627"/>
      <c r="E135" s="627"/>
      <c r="F135" s="628"/>
      <c r="G135" s="629"/>
      <c r="H135" s="552"/>
      <c r="I135" s="627"/>
      <c r="J135" s="330"/>
      <c r="K135" s="330"/>
      <c r="L135" s="330"/>
      <c r="M135" s="330"/>
      <c r="N135" s="330"/>
    </row>
    <row r="136" ht="15.75" customHeight="1">
      <c r="A136" s="626"/>
      <c r="B136" s="627"/>
      <c r="C136" s="627"/>
      <c r="D136" s="627"/>
      <c r="E136" s="627"/>
      <c r="F136" s="628"/>
      <c r="G136" s="629"/>
      <c r="H136" s="552"/>
      <c r="I136" s="627"/>
      <c r="J136" s="330"/>
      <c r="K136" s="330"/>
      <c r="L136" s="330"/>
      <c r="M136" s="330"/>
      <c r="N136" s="330"/>
    </row>
    <row r="137" ht="15.75" customHeight="1">
      <c r="A137" s="626"/>
      <c r="B137" s="627"/>
      <c r="C137" s="627"/>
      <c r="D137" s="627"/>
      <c r="E137" s="627"/>
      <c r="F137" s="628"/>
      <c r="G137" s="629"/>
      <c r="H137" s="552"/>
      <c r="I137" s="627"/>
      <c r="J137" s="330"/>
      <c r="K137" s="330"/>
      <c r="L137" s="330"/>
      <c r="M137" s="330"/>
      <c r="N137" s="330"/>
    </row>
    <row r="138" ht="15.75" customHeight="1">
      <c r="A138" s="626"/>
      <c r="B138" s="627"/>
      <c r="C138" s="627"/>
      <c r="D138" s="627"/>
      <c r="E138" s="627"/>
      <c r="F138" s="628"/>
      <c r="G138" s="629"/>
      <c r="H138" s="552"/>
      <c r="I138" s="627"/>
      <c r="J138" s="330"/>
      <c r="K138" s="330"/>
      <c r="L138" s="330"/>
      <c r="M138" s="330"/>
      <c r="N138" s="330"/>
    </row>
    <row r="139" ht="15.75" customHeight="1">
      <c r="A139" s="626"/>
      <c r="B139" s="627"/>
      <c r="C139" s="627"/>
      <c r="D139" s="627"/>
      <c r="E139" s="627"/>
      <c r="F139" s="628"/>
      <c r="G139" s="552"/>
      <c r="H139" s="552"/>
      <c r="I139" s="627"/>
      <c r="J139" s="330"/>
      <c r="K139" s="330"/>
      <c r="L139" s="330"/>
      <c r="M139" s="330"/>
      <c r="N139" s="330"/>
    </row>
    <row r="140" ht="15.75" customHeight="1">
      <c r="A140" s="626"/>
      <c r="B140" s="627"/>
      <c r="C140" s="627"/>
      <c r="D140" s="627"/>
      <c r="E140" s="627"/>
      <c r="F140" s="628"/>
      <c r="G140" s="552"/>
      <c r="H140" s="552"/>
      <c r="I140" s="627"/>
      <c r="J140" s="330"/>
      <c r="K140" s="330"/>
      <c r="L140" s="330"/>
      <c r="M140" s="330"/>
      <c r="N140" s="330"/>
    </row>
    <row r="141" ht="15.75" customHeight="1">
      <c r="A141" s="626"/>
      <c r="B141" s="627"/>
      <c r="C141" s="627"/>
      <c r="D141" s="627"/>
      <c r="E141" s="627"/>
      <c r="F141" s="628"/>
      <c r="G141" s="552"/>
      <c r="H141" s="552"/>
      <c r="I141" s="627"/>
      <c r="J141" s="330"/>
      <c r="K141" s="330"/>
      <c r="L141" s="330"/>
      <c r="M141" s="330"/>
      <c r="N141" s="330"/>
    </row>
    <row r="142" ht="15.75" customHeight="1">
      <c r="A142" s="626"/>
      <c r="B142" s="627"/>
      <c r="C142" s="627"/>
      <c r="D142" s="627"/>
      <c r="E142" s="627"/>
      <c r="F142" s="628"/>
      <c r="G142" s="552"/>
      <c r="H142" s="552"/>
      <c r="I142" s="627"/>
      <c r="J142" s="330"/>
      <c r="K142" s="330"/>
      <c r="L142" s="330"/>
      <c r="M142" s="330"/>
      <c r="N142" s="330"/>
    </row>
    <row r="143" ht="15.75" customHeight="1">
      <c r="A143" s="626"/>
      <c r="B143" s="627"/>
      <c r="C143" s="627"/>
      <c r="D143" s="627"/>
      <c r="E143" s="627"/>
      <c r="F143" s="628"/>
      <c r="G143" s="552"/>
      <c r="H143" s="552"/>
      <c r="I143" s="627"/>
      <c r="J143" s="330"/>
      <c r="K143" s="330"/>
      <c r="L143" s="330"/>
      <c r="M143" s="330"/>
      <c r="N143" s="330"/>
    </row>
    <row r="144" ht="15.75" customHeight="1">
      <c r="A144" s="626"/>
      <c r="B144" s="627"/>
      <c r="C144" s="627"/>
      <c r="D144" s="627"/>
      <c r="E144" s="627"/>
      <c r="F144" s="628"/>
      <c r="G144" s="552"/>
      <c r="H144" s="552"/>
      <c r="I144" s="627"/>
      <c r="J144" s="330"/>
      <c r="K144" s="330"/>
      <c r="L144" s="330"/>
      <c r="M144" s="330"/>
      <c r="N144" s="330"/>
    </row>
    <row r="145" ht="15.75" customHeight="1">
      <c r="A145" s="626"/>
      <c r="B145" s="627"/>
      <c r="C145" s="627"/>
      <c r="D145" s="627"/>
      <c r="E145" s="627"/>
      <c r="F145" s="628"/>
      <c r="G145" s="552"/>
      <c r="H145" s="552"/>
      <c r="I145" s="627"/>
      <c r="J145" s="330"/>
      <c r="K145" s="330"/>
      <c r="L145" s="330"/>
      <c r="M145" s="330"/>
      <c r="N145" s="330"/>
    </row>
    <row r="146" ht="15.75" customHeight="1">
      <c r="A146" s="626"/>
      <c r="B146" s="627"/>
      <c r="C146" s="627"/>
      <c r="D146" s="627"/>
      <c r="E146" s="627"/>
      <c r="F146" s="628"/>
      <c r="G146" s="552"/>
      <c r="H146" s="552"/>
      <c r="I146" s="627"/>
      <c r="J146" s="330"/>
      <c r="K146" s="330"/>
      <c r="L146" s="330"/>
      <c r="M146" s="330"/>
      <c r="N146" s="330"/>
    </row>
    <row r="147" ht="15.75" customHeight="1">
      <c r="A147" s="626"/>
      <c r="B147" s="627"/>
      <c r="C147" s="627"/>
      <c r="D147" s="627"/>
      <c r="E147" s="627"/>
      <c r="F147" s="628"/>
      <c r="G147" s="552"/>
      <c r="H147" s="552"/>
      <c r="I147" s="627"/>
      <c r="J147" s="330"/>
      <c r="K147" s="330"/>
      <c r="L147" s="330"/>
      <c r="M147" s="330"/>
      <c r="N147" s="330"/>
    </row>
    <row r="148" ht="15.75" customHeight="1">
      <c r="A148" s="626"/>
      <c r="B148" s="627"/>
      <c r="C148" s="627"/>
      <c r="D148" s="627"/>
      <c r="E148" s="627"/>
      <c r="F148" s="628"/>
      <c r="G148" s="552"/>
      <c r="H148" s="552"/>
      <c r="I148" s="627"/>
      <c r="J148" s="330"/>
      <c r="K148" s="330"/>
      <c r="L148" s="330"/>
      <c r="M148" s="330"/>
      <c r="N148" s="330"/>
    </row>
    <row r="149" ht="15.75" customHeight="1">
      <c r="B149" s="630"/>
      <c r="C149" s="630"/>
      <c r="D149" s="630"/>
      <c r="E149" s="630"/>
      <c r="F149" s="631"/>
      <c r="G149" s="553"/>
      <c r="H149" s="553"/>
      <c r="I149" s="630"/>
    </row>
    <row r="150" ht="15.75" customHeight="1">
      <c r="B150" s="630"/>
      <c r="C150" s="630"/>
      <c r="D150" s="630"/>
      <c r="E150" s="630"/>
      <c r="F150" s="631"/>
      <c r="G150" s="553"/>
      <c r="H150" s="553"/>
      <c r="I150" s="630"/>
    </row>
    <row r="151" ht="15.75" customHeight="1">
      <c r="B151" s="630"/>
      <c r="C151" s="630"/>
      <c r="D151" s="630"/>
      <c r="E151" s="630"/>
      <c r="F151" s="631"/>
      <c r="G151" s="553"/>
      <c r="H151" s="553"/>
      <c r="I151" s="630"/>
    </row>
    <row r="152" ht="15.75" customHeight="1">
      <c r="B152" s="630"/>
      <c r="C152" s="630"/>
      <c r="D152" s="630"/>
      <c r="E152" s="630"/>
      <c r="F152" s="631"/>
      <c r="G152" s="553"/>
      <c r="H152" s="553"/>
      <c r="I152" s="630"/>
    </row>
    <row r="153" ht="15.75" customHeight="1">
      <c r="B153" s="630"/>
      <c r="C153" s="630"/>
      <c r="D153" s="630"/>
      <c r="E153" s="630"/>
      <c r="F153" s="631"/>
      <c r="G153" s="553"/>
      <c r="H153" s="553"/>
      <c r="I153" s="630"/>
    </row>
    <row r="154" ht="15.75" customHeight="1">
      <c r="B154" s="630"/>
      <c r="C154" s="630"/>
      <c r="D154" s="630"/>
      <c r="E154" s="630"/>
      <c r="F154" s="631"/>
      <c r="G154" s="553"/>
      <c r="H154" s="553"/>
      <c r="I154" s="630"/>
    </row>
    <row r="155" ht="15.75" customHeight="1">
      <c r="B155" s="630"/>
      <c r="C155" s="630"/>
      <c r="D155" s="630"/>
      <c r="E155" s="630"/>
      <c r="F155" s="631"/>
      <c r="G155" s="553"/>
      <c r="H155" s="553"/>
      <c r="I155" s="630"/>
    </row>
    <row r="156" ht="15.75" customHeight="1">
      <c r="B156" s="630"/>
      <c r="C156" s="630"/>
      <c r="D156" s="630"/>
      <c r="E156" s="630"/>
      <c r="F156" s="631"/>
      <c r="G156" s="553"/>
      <c r="H156" s="553"/>
      <c r="I156" s="630"/>
    </row>
    <row r="157" ht="15.75" customHeight="1">
      <c r="B157" s="630"/>
      <c r="C157" s="630"/>
      <c r="D157" s="630"/>
      <c r="E157" s="630"/>
      <c r="F157" s="631"/>
      <c r="G157" s="553"/>
      <c r="H157" s="553"/>
      <c r="I157" s="630"/>
    </row>
    <row r="158" ht="15.75" customHeight="1">
      <c r="B158" s="630"/>
      <c r="C158" s="630"/>
      <c r="D158" s="630"/>
      <c r="E158" s="630"/>
      <c r="F158" s="631"/>
      <c r="G158" s="553"/>
      <c r="H158" s="553"/>
      <c r="I158" s="630"/>
    </row>
    <row r="159" ht="15.75" customHeight="1">
      <c r="B159" s="630"/>
      <c r="C159" s="630"/>
      <c r="D159" s="630"/>
      <c r="E159" s="630"/>
      <c r="F159" s="631"/>
      <c r="G159" s="553"/>
      <c r="H159" s="553"/>
      <c r="I159" s="630"/>
    </row>
    <row r="160" ht="15.75" customHeight="1">
      <c r="B160" s="630"/>
      <c r="C160" s="630"/>
      <c r="D160" s="630"/>
      <c r="E160" s="630"/>
      <c r="F160" s="631"/>
      <c r="G160" s="553"/>
      <c r="H160" s="553"/>
      <c r="I160" s="630"/>
    </row>
    <row r="161" ht="15.75" customHeight="1">
      <c r="B161" s="630"/>
      <c r="C161" s="630"/>
      <c r="D161" s="630"/>
      <c r="E161" s="630"/>
      <c r="F161" s="631"/>
      <c r="G161" s="553"/>
      <c r="H161" s="553"/>
      <c r="I161" s="630"/>
    </row>
    <row r="162" ht="15.75" customHeight="1">
      <c r="B162" s="630"/>
      <c r="C162" s="630"/>
      <c r="D162" s="630"/>
      <c r="E162" s="630"/>
      <c r="F162" s="631"/>
      <c r="G162" s="553"/>
      <c r="H162" s="553"/>
      <c r="I162" s="630"/>
    </row>
    <row r="163" ht="15.75" customHeight="1">
      <c r="B163" s="630"/>
      <c r="C163" s="630"/>
      <c r="D163" s="630"/>
      <c r="E163" s="630"/>
      <c r="F163" s="631"/>
      <c r="G163" s="553"/>
      <c r="H163" s="553"/>
      <c r="I163" s="630"/>
    </row>
    <row r="164" ht="15.75" customHeight="1">
      <c r="B164" s="630"/>
      <c r="C164" s="630"/>
      <c r="D164" s="630"/>
      <c r="E164" s="630"/>
      <c r="F164" s="631"/>
      <c r="G164" s="553"/>
      <c r="H164" s="553"/>
      <c r="I164" s="630"/>
    </row>
    <row r="165" ht="15.75" customHeight="1">
      <c r="B165" s="630"/>
      <c r="C165" s="630"/>
      <c r="D165" s="630"/>
      <c r="E165" s="630"/>
      <c r="F165" s="631"/>
      <c r="G165" s="553"/>
      <c r="H165" s="553"/>
      <c r="I165" s="630"/>
    </row>
    <row r="166" ht="15.75" customHeight="1">
      <c r="B166" s="630"/>
      <c r="C166" s="630"/>
      <c r="D166" s="630"/>
      <c r="E166" s="630"/>
      <c r="F166" s="631"/>
      <c r="G166" s="553"/>
      <c r="H166" s="553"/>
      <c r="I166" s="630"/>
    </row>
    <row r="167" ht="15.75" customHeight="1">
      <c r="B167" s="630"/>
      <c r="C167" s="630"/>
      <c r="D167" s="630"/>
      <c r="E167" s="630"/>
      <c r="F167" s="631"/>
      <c r="G167" s="553"/>
      <c r="H167" s="553"/>
      <c r="I167" s="630"/>
    </row>
    <row r="168" ht="15.75" customHeight="1">
      <c r="B168" s="630"/>
      <c r="C168" s="630"/>
      <c r="D168" s="630"/>
      <c r="E168" s="630"/>
      <c r="F168" s="631"/>
      <c r="G168" s="553"/>
      <c r="H168" s="553"/>
      <c r="I168" s="630"/>
    </row>
    <row r="169" ht="15.75" customHeight="1">
      <c r="B169" s="630"/>
      <c r="C169" s="630"/>
      <c r="D169" s="630"/>
      <c r="E169" s="630"/>
      <c r="F169" s="631"/>
      <c r="G169" s="553"/>
      <c r="H169" s="553"/>
      <c r="I169" s="630"/>
    </row>
    <row r="170" ht="15.75" customHeight="1">
      <c r="B170" s="630"/>
      <c r="C170" s="630"/>
      <c r="D170" s="630"/>
      <c r="E170" s="630"/>
      <c r="F170" s="631"/>
      <c r="G170" s="553"/>
      <c r="H170" s="553"/>
      <c r="I170" s="630"/>
    </row>
    <row r="171" ht="15.75" customHeight="1">
      <c r="B171" s="630"/>
      <c r="C171" s="630"/>
      <c r="D171" s="630"/>
      <c r="E171" s="630"/>
      <c r="F171" s="631"/>
      <c r="G171" s="553"/>
      <c r="H171" s="553"/>
      <c r="I171" s="630"/>
    </row>
    <row r="172" ht="15.75" customHeight="1">
      <c r="B172" s="630"/>
      <c r="C172" s="630"/>
      <c r="D172" s="630"/>
      <c r="E172" s="630"/>
      <c r="F172" s="631"/>
      <c r="G172" s="553"/>
      <c r="H172" s="553"/>
      <c r="I172" s="630"/>
    </row>
    <row r="173" ht="15.75" customHeight="1">
      <c r="B173" s="630"/>
      <c r="C173" s="630"/>
      <c r="D173" s="630"/>
      <c r="E173" s="630"/>
      <c r="F173" s="631"/>
      <c r="G173" s="553"/>
      <c r="H173" s="553"/>
      <c r="I173" s="630"/>
    </row>
    <row r="174" ht="15.75" customHeight="1">
      <c r="B174" s="630"/>
      <c r="C174" s="630"/>
      <c r="D174" s="630"/>
      <c r="E174" s="630"/>
      <c r="F174" s="631"/>
      <c r="G174" s="553"/>
      <c r="H174" s="553"/>
      <c r="I174" s="630"/>
    </row>
    <row r="175" ht="15.75" customHeight="1">
      <c r="B175" s="630"/>
      <c r="C175" s="630"/>
      <c r="D175" s="630"/>
      <c r="E175" s="630"/>
      <c r="F175" s="631"/>
      <c r="G175" s="553"/>
      <c r="H175" s="553"/>
      <c r="I175" s="630"/>
    </row>
    <row r="176" ht="15.75" customHeight="1">
      <c r="B176" s="630"/>
      <c r="C176" s="630"/>
      <c r="D176" s="630"/>
      <c r="E176" s="630"/>
      <c r="F176" s="631"/>
      <c r="G176" s="553"/>
      <c r="H176" s="553"/>
      <c r="I176" s="630"/>
    </row>
    <row r="177" ht="15.75" customHeight="1">
      <c r="B177" s="630"/>
      <c r="C177" s="630"/>
      <c r="D177" s="630"/>
      <c r="E177" s="630"/>
      <c r="F177" s="631"/>
      <c r="G177" s="553"/>
      <c r="H177" s="553"/>
      <c r="I177" s="630"/>
    </row>
    <row r="178" ht="15.75" customHeight="1">
      <c r="B178" s="630"/>
      <c r="C178" s="630"/>
      <c r="D178" s="630"/>
      <c r="E178" s="630"/>
      <c r="F178" s="631"/>
      <c r="G178" s="553"/>
      <c r="H178" s="553"/>
      <c r="I178" s="630"/>
    </row>
    <row r="179" ht="15.75" customHeight="1">
      <c r="B179" s="630"/>
      <c r="C179" s="630"/>
      <c r="D179" s="630"/>
      <c r="E179" s="630"/>
      <c r="F179" s="631"/>
      <c r="G179" s="553"/>
      <c r="H179" s="553"/>
      <c r="I179" s="630"/>
    </row>
    <row r="180" ht="15.75" customHeight="1">
      <c r="B180" s="630"/>
      <c r="C180" s="630"/>
      <c r="D180" s="630"/>
      <c r="E180" s="630"/>
      <c r="F180" s="631"/>
      <c r="G180" s="553"/>
      <c r="H180" s="553"/>
      <c r="I180" s="630"/>
    </row>
    <row r="181" ht="15.75" customHeight="1">
      <c r="B181" s="630"/>
      <c r="C181" s="630"/>
      <c r="D181" s="630"/>
      <c r="E181" s="630"/>
      <c r="F181" s="631"/>
      <c r="G181" s="553"/>
      <c r="H181" s="553"/>
      <c r="I181" s="630"/>
    </row>
    <row r="182" ht="15.75" customHeight="1">
      <c r="B182" s="630"/>
      <c r="C182" s="630"/>
      <c r="D182" s="630"/>
      <c r="E182" s="630"/>
      <c r="F182" s="631"/>
      <c r="G182" s="553"/>
      <c r="H182" s="553"/>
      <c r="I182" s="630"/>
    </row>
    <row r="183" ht="15.75" customHeight="1">
      <c r="B183" s="630"/>
      <c r="C183" s="630"/>
      <c r="D183" s="630"/>
      <c r="E183" s="630"/>
      <c r="F183" s="631"/>
      <c r="G183" s="553"/>
      <c r="H183" s="553"/>
      <c r="I183" s="630"/>
    </row>
    <row r="184" ht="15.75" customHeight="1">
      <c r="B184" s="630"/>
      <c r="C184" s="630"/>
      <c r="D184" s="630"/>
      <c r="E184" s="630"/>
      <c r="F184" s="631"/>
      <c r="G184" s="553"/>
      <c r="H184" s="553"/>
      <c r="I184" s="630"/>
    </row>
    <row r="185" ht="15.75" customHeight="1">
      <c r="B185" s="630"/>
      <c r="C185" s="630"/>
      <c r="D185" s="630"/>
      <c r="E185" s="630"/>
      <c r="F185" s="631"/>
      <c r="G185" s="553"/>
      <c r="H185" s="553"/>
      <c r="I185" s="630"/>
    </row>
    <row r="186" ht="15.75" customHeight="1">
      <c r="B186" s="630"/>
      <c r="C186" s="630"/>
      <c r="D186" s="630"/>
      <c r="E186" s="630"/>
      <c r="F186" s="631"/>
      <c r="G186" s="553"/>
      <c r="H186" s="553"/>
      <c r="I186" s="630"/>
    </row>
    <row r="187" ht="15.75" customHeight="1">
      <c r="B187" s="630"/>
      <c r="C187" s="630"/>
      <c r="D187" s="630"/>
      <c r="E187" s="630"/>
      <c r="F187" s="631"/>
      <c r="G187" s="553"/>
      <c r="H187" s="553"/>
      <c r="I187" s="630"/>
    </row>
    <row r="188" ht="15.75" customHeight="1">
      <c r="B188" s="630"/>
      <c r="C188" s="630"/>
      <c r="D188" s="630"/>
      <c r="E188" s="630"/>
      <c r="F188" s="631"/>
      <c r="G188" s="553"/>
      <c r="H188" s="553"/>
      <c r="I188" s="630"/>
    </row>
    <row r="189" ht="15.75" customHeight="1">
      <c r="B189" s="630"/>
      <c r="C189" s="630"/>
      <c r="D189" s="630"/>
      <c r="E189" s="630"/>
      <c r="F189" s="631"/>
      <c r="G189" s="553"/>
      <c r="H189" s="553"/>
      <c r="I189" s="630"/>
    </row>
    <row r="190" ht="15.75" customHeight="1">
      <c r="B190" s="630"/>
      <c r="C190" s="630"/>
      <c r="D190" s="630"/>
      <c r="E190" s="630"/>
      <c r="F190" s="631"/>
      <c r="G190" s="553"/>
      <c r="H190" s="553"/>
      <c r="I190" s="630"/>
    </row>
    <row r="191" ht="15.75" customHeight="1">
      <c r="B191" s="630"/>
      <c r="C191" s="630"/>
      <c r="D191" s="630"/>
      <c r="E191" s="630"/>
      <c r="F191" s="631"/>
      <c r="G191" s="553"/>
      <c r="H191" s="553"/>
      <c r="I191" s="630"/>
    </row>
    <row r="192" ht="15.75" customHeight="1">
      <c r="B192" s="630"/>
      <c r="C192" s="630"/>
      <c r="D192" s="630"/>
      <c r="E192" s="630"/>
      <c r="F192" s="631"/>
      <c r="G192" s="553"/>
      <c r="H192" s="553"/>
      <c r="I192" s="630"/>
    </row>
    <row r="193" ht="15.75" customHeight="1">
      <c r="B193" s="630"/>
      <c r="C193" s="630"/>
      <c r="D193" s="630"/>
      <c r="E193" s="630"/>
      <c r="F193" s="631"/>
      <c r="G193" s="553"/>
      <c r="H193" s="553"/>
      <c r="I193" s="630"/>
    </row>
    <row r="194" ht="15.75" customHeight="1">
      <c r="B194" s="630"/>
      <c r="C194" s="630"/>
      <c r="D194" s="630"/>
      <c r="E194" s="630"/>
      <c r="F194" s="631"/>
      <c r="G194" s="553"/>
      <c r="H194" s="553"/>
      <c r="I194" s="630"/>
    </row>
    <row r="195" ht="15.75" customHeight="1">
      <c r="B195" s="630"/>
      <c r="C195" s="630"/>
      <c r="D195" s="630"/>
      <c r="E195" s="630"/>
      <c r="F195" s="631"/>
      <c r="G195" s="553"/>
      <c r="H195" s="553"/>
      <c r="I195" s="630"/>
    </row>
    <row r="196" ht="15.75" customHeight="1">
      <c r="B196" s="630"/>
      <c r="C196" s="630"/>
      <c r="D196" s="630"/>
      <c r="E196" s="630"/>
      <c r="F196" s="631"/>
      <c r="G196" s="553"/>
      <c r="H196" s="553"/>
      <c r="I196" s="630"/>
    </row>
    <row r="197" ht="15.75" customHeight="1">
      <c r="B197" s="630"/>
      <c r="C197" s="630"/>
      <c r="D197" s="630"/>
      <c r="E197" s="630"/>
      <c r="F197" s="631"/>
      <c r="G197" s="553"/>
      <c r="H197" s="553"/>
      <c r="I197" s="630"/>
    </row>
    <row r="198" ht="15.75" customHeight="1">
      <c r="B198" s="630"/>
      <c r="C198" s="630"/>
      <c r="D198" s="630"/>
      <c r="E198" s="630"/>
      <c r="F198" s="631"/>
      <c r="G198" s="553"/>
      <c r="H198" s="553"/>
      <c r="I198" s="630"/>
    </row>
    <row r="199" ht="15.75" customHeight="1">
      <c r="B199" s="630"/>
      <c r="C199" s="630"/>
      <c r="D199" s="630"/>
      <c r="E199" s="630"/>
      <c r="F199" s="631"/>
      <c r="G199" s="553"/>
      <c r="H199" s="553"/>
      <c r="I199" s="630"/>
    </row>
    <row r="200" ht="15.75" customHeight="1">
      <c r="B200" s="630"/>
      <c r="C200" s="630"/>
      <c r="D200" s="630"/>
      <c r="E200" s="630"/>
      <c r="F200" s="631"/>
      <c r="G200" s="553"/>
      <c r="H200" s="553"/>
      <c r="I200" s="630"/>
    </row>
    <row r="201" ht="15.75" customHeight="1">
      <c r="B201" s="630"/>
      <c r="C201" s="630"/>
      <c r="D201" s="630"/>
      <c r="E201" s="630"/>
      <c r="F201" s="631"/>
      <c r="G201" s="553"/>
      <c r="H201" s="553"/>
      <c r="I201" s="630"/>
    </row>
    <row r="202" ht="15.75" customHeight="1">
      <c r="B202" s="630"/>
      <c r="C202" s="630"/>
      <c r="D202" s="630"/>
      <c r="E202" s="630"/>
      <c r="F202" s="631"/>
      <c r="G202" s="553"/>
      <c r="H202" s="553"/>
      <c r="I202" s="630"/>
    </row>
    <row r="203" ht="15.75" customHeight="1">
      <c r="B203" s="630"/>
      <c r="C203" s="630"/>
      <c r="D203" s="630"/>
      <c r="E203" s="630"/>
      <c r="F203" s="631"/>
      <c r="G203" s="553"/>
      <c r="H203" s="553"/>
      <c r="I203" s="630"/>
    </row>
    <row r="204" ht="15.75" customHeight="1">
      <c r="B204" s="630"/>
      <c r="C204" s="630"/>
      <c r="D204" s="630"/>
      <c r="E204" s="630"/>
      <c r="F204" s="631"/>
      <c r="G204" s="553"/>
      <c r="H204" s="553"/>
      <c r="I204" s="630"/>
    </row>
    <row r="205" ht="15.75" customHeight="1">
      <c r="B205" s="630"/>
      <c r="C205" s="630"/>
      <c r="D205" s="630"/>
      <c r="E205" s="630"/>
      <c r="F205" s="631"/>
      <c r="G205" s="553"/>
      <c r="H205" s="553"/>
      <c r="I205" s="630"/>
    </row>
    <row r="206" ht="15.75" customHeight="1">
      <c r="B206" s="630"/>
      <c r="C206" s="630"/>
      <c r="D206" s="630"/>
      <c r="E206" s="630"/>
      <c r="F206" s="631"/>
      <c r="G206" s="553"/>
      <c r="H206" s="553"/>
      <c r="I206" s="630"/>
    </row>
    <row r="207" ht="15.75" customHeight="1">
      <c r="B207" s="630"/>
      <c r="C207" s="630"/>
      <c r="D207" s="630"/>
      <c r="E207" s="630"/>
      <c r="F207" s="631"/>
      <c r="G207" s="553"/>
      <c r="H207" s="553"/>
      <c r="I207" s="630"/>
    </row>
    <row r="208" ht="15.75" customHeight="1">
      <c r="B208" s="630"/>
      <c r="C208" s="630"/>
      <c r="D208" s="630"/>
      <c r="E208" s="630"/>
      <c r="F208" s="631"/>
      <c r="G208" s="553"/>
      <c r="H208" s="553"/>
      <c r="I208" s="630"/>
    </row>
    <row r="209" ht="15.75" customHeight="1">
      <c r="B209" s="630"/>
      <c r="C209" s="630"/>
      <c r="D209" s="630"/>
      <c r="E209" s="630"/>
      <c r="F209" s="631"/>
      <c r="G209" s="553"/>
      <c r="H209" s="553"/>
      <c r="I209" s="630"/>
    </row>
    <row r="210" ht="15.75" customHeight="1">
      <c r="B210" s="630"/>
      <c r="C210" s="630"/>
      <c r="D210" s="630"/>
      <c r="E210" s="630"/>
      <c r="F210" s="631"/>
      <c r="G210" s="553"/>
      <c r="H210" s="553"/>
      <c r="I210" s="630"/>
    </row>
    <row r="211" ht="15.75" customHeight="1">
      <c r="B211" s="630"/>
      <c r="C211" s="630"/>
      <c r="D211" s="630"/>
      <c r="E211" s="630"/>
      <c r="F211" s="631"/>
      <c r="G211" s="553"/>
      <c r="H211" s="553"/>
      <c r="I211" s="630"/>
    </row>
    <row r="212" ht="15.75" customHeight="1">
      <c r="B212" s="630"/>
      <c r="C212" s="630"/>
      <c r="D212" s="630"/>
      <c r="E212" s="630"/>
      <c r="F212" s="631"/>
      <c r="G212" s="553"/>
      <c r="H212" s="553"/>
      <c r="I212" s="630"/>
    </row>
    <row r="213" ht="15.75" customHeight="1">
      <c r="B213" s="630"/>
      <c r="C213" s="630"/>
      <c r="D213" s="630"/>
      <c r="E213" s="630"/>
      <c r="F213" s="631"/>
      <c r="G213" s="553"/>
      <c r="H213" s="553"/>
      <c r="I213" s="630"/>
    </row>
    <row r="214" ht="15.75" customHeight="1">
      <c r="B214" s="630"/>
      <c r="C214" s="630"/>
      <c r="D214" s="630"/>
      <c r="E214" s="630"/>
      <c r="F214" s="631"/>
      <c r="G214" s="553"/>
      <c r="H214" s="553"/>
      <c r="I214" s="630"/>
    </row>
    <row r="215" ht="15.75" customHeight="1">
      <c r="B215" s="630"/>
      <c r="C215" s="630"/>
      <c r="D215" s="630"/>
      <c r="E215" s="630"/>
      <c r="F215" s="631"/>
      <c r="G215" s="553"/>
      <c r="H215" s="553"/>
      <c r="I215" s="630"/>
    </row>
    <row r="216" ht="15.75" customHeight="1">
      <c r="B216" s="630"/>
      <c r="C216" s="630"/>
      <c r="D216" s="630"/>
      <c r="E216" s="630"/>
      <c r="F216" s="631"/>
      <c r="G216" s="553"/>
      <c r="H216" s="553"/>
      <c r="I216" s="630"/>
    </row>
    <row r="217" ht="15.75" customHeight="1">
      <c r="B217" s="630"/>
      <c r="C217" s="630"/>
      <c r="D217" s="630"/>
      <c r="E217" s="630"/>
      <c r="F217" s="631"/>
      <c r="G217" s="553"/>
      <c r="H217" s="553"/>
      <c r="I217" s="630"/>
    </row>
    <row r="218" ht="15.75" customHeight="1">
      <c r="B218" s="630"/>
      <c r="C218" s="630"/>
      <c r="D218" s="630"/>
      <c r="E218" s="630"/>
      <c r="F218" s="631"/>
      <c r="G218" s="553"/>
      <c r="H218" s="553"/>
      <c r="I218" s="630"/>
    </row>
    <row r="219" ht="15.75" customHeight="1">
      <c r="B219" s="630"/>
      <c r="C219" s="630"/>
      <c r="D219" s="630"/>
      <c r="E219" s="630"/>
      <c r="F219" s="631"/>
      <c r="G219" s="553"/>
      <c r="H219" s="553"/>
      <c r="I219" s="630"/>
    </row>
    <row r="220" ht="15.75" customHeight="1">
      <c r="B220" s="630"/>
      <c r="C220" s="630"/>
      <c r="D220" s="630"/>
      <c r="E220" s="630"/>
      <c r="F220" s="631"/>
      <c r="G220" s="553"/>
      <c r="H220" s="553"/>
      <c r="I220" s="630"/>
    </row>
    <row r="221" ht="15.75" customHeight="1">
      <c r="B221" s="630"/>
      <c r="C221" s="630"/>
      <c r="D221" s="630"/>
      <c r="E221" s="630"/>
      <c r="F221" s="631"/>
      <c r="G221" s="553"/>
      <c r="H221" s="553"/>
      <c r="I221" s="630"/>
    </row>
    <row r="222" ht="15.75" customHeight="1">
      <c r="B222" s="630"/>
      <c r="C222" s="630"/>
      <c r="D222" s="630"/>
      <c r="E222" s="630"/>
      <c r="F222" s="631"/>
      <c r="G222" s="553"/>
      <c r="H222" s="553"/>
      <c r="I222" s="630"/>
    </row>
    <row r="223" ht="15.75" customHeight="1">
      <c r="B223" s="630"/>
      <c r="C223" s="630"/>
      <c r="D223" s="630"/>
      <c r="E223" s="630"/>
      <c r="F223" s="631"/>
      <c r="G223" s="553"/>
      <c r="H223" s="553"/>
      <c r="I223" s="630"/>
    </row>
    <row r="224" ht="15.75" customHeight="1">
      <c r="B224" s="630"/>
      <c r="C224" s="630"/>
      <c r="D224" s="630"/>
      <c r="E224" s="630"/>
      <c r="F224" s="631"/>
      <c r="G224" s="553"/>
      <c r="H224" s="553"/>
      <c r="I224" s="630"/>
    </row>
    <row r="225" ht="15.75" customHeight="1">
      <c r="B225" s="630"/>
      <c r="C225" s="630"/>
      <c r="D225" s="630"/>
      <c r="E225" s="630"/>
      <c r="F225" s="631"/>
      <c r="G225" s="553"/>
      <c r="H225" s="553"/>
      <c r="I225" s="630"/>
    </row>
    <row r="226" ht="15.75" customHeight="1">
      <c r="B226" s="630"/>
      <c r="C226" s="630"/>
      <c r="D226" s="630"/>
      <c r="E226" s="630"/>
      <c r="F226" s="631"/>
      <c r="G226" s="553"/>
      <c r="H226" s="553"/>
      <c r="I226" s="630"/>
    </row>
    <row r="227" ht="15.75" customHeight="1">
      <c r="B227" s="630"/>
      <c r="C227" s="630"/>
      <c r="D227" s="630"/>
      <c r="E227" s="630"/>
      <c r="F227" s="631"/>
      <c r="G227" s="553"/>
      <c r="H227" s="553"/>
      <c r="I227" s="630"/>
    </row>
    <row r="228" ht="15.75" customHeight="1">
      <c r="B228" s="630"/>
      <c r="C228" s="630"/>
      <c r="D228" s="630"/>
      <c r="E228" s="630"/>
      <c r="F228" s="631"/>
      <c r="G228" s="553"/>
      <c r="H228" s="553"/>
      <c r="I228" s="630"/>
    </row>
    <row r="229" ht="15.75" customHeight="1">
      <c r="B229" s="630"/>
      <c r="C229" s="630"/>
      <c r="D229" s="630"/>
      <c r="E229" s="630"/>
      <c r="F229" s="631"/>
      <c r="G229" s="553"/>
      <c r="H229" s="553"/>
      <c r="I229" s="630"/>
    </row>
    <row r="230" ht="15.75" customHeight="1">
      <c r="B230" s="630"/>
      <c r="C230" s="630"/>
      <c r="D230" s="630"/>
      <c r="E230" s="630"/>
      <c r="F230" s="631"/>
      <c r="G230" s="553"/>
      <c r="H230" s="553"/>
      <c r="I230" s="630"/>
    </row>
    <row r="231" ht="15.75" customHeight="1">
      <c r="B231" s="630"/>
      <c r="C231" s="630"/>
      <c r="D231" s="630"/>
      <c r="E231" s="630"/>
      <c r="F231" s="631"/>
      <c r="G231" s="553"/>
      <c r="H231" s="553"/>
      <c r="I231" s="630"/>
    </row>
    <row r="232" ht="15.75" customHeight="1">
      <c r="B232" s="630"/>
      <c r="C232" s="630"/>
      <c r="D232" s="630"/>
      <c r="E232" s="630"/>
      <c r="F232" s="631"/>
      <c r="G232" s="553"/>
      <c r="H232" s="553"/>
      <c r="I232" s="630"/>
    </row>
    <row r="233" ht="15.75" customHeight="1">
      <c r="B233" s="630"/>
      <c r="C233" s="630"/>
      <c r="D233" s="630"/>
      <c r="E233" s="630"/>
      <c r="F233" s="631"/>
      <c r="G233" s="553"/>
      <c r="H233" s="553"/>
      <c r="I233" s="630"/>
    </row>
    <row r="234" ht="15.75" customHeight="1">
      <c r="B234" s="630"/>
      <c r="C234" s="630"/>
      <c r="D234" s="630"/>
      <c r="E234" s="630"/>
      <c r="F234" s="631"/>
      <c r="G234" s="553"/>
      <c r="H234" s="553"/>
      <c r="I234" s="630"/>
    </row>
    <row r="235" ht="15.75" customHeight="1">
      <c r="B235" s="630"/>
      <c r="C235" s="630"/>
      <c r="D235" s="630"/>
      <c r="E235" s="630"/>
      <c r="F235" s="631"/>
      <c r="G235" s="553"/>
      <c r="H235" s="553"/>
      <c r="I235" s="630"/>
    </row>
    <row r="236" ht="15.75" customHeight="1">
      <c r="B236" s="630"/>
      <c r="C236" s="630"/>
      <c r="D236" s="630"/>
      <c r="E236" s="630"/>
      <c r="F236" s="631"/>
      <c r="G236" s="553"/>
      <c r="H236" s="553"/>
      <c r="I236" s="630"/>
    </row>
    <row r="237" ht="15.75" customHeight="1">
      <c r="B237" s="630"/>
      <c r="C237" s="630"/>
      <c r="D237" s="630"/>
      <c r="E237" s="630"/>
      <c r="F237" s="631"/>
      <c r="G237" s="553"/>
      <c r="H237" s="553"/>
      <c r="I237" s="630"/>
    </row>
    <row r="238" ht="15.75" customHeight="1">
      <c r="B238" s="630"/>
      <c r="C238" s="630"/>
      <c r="D238" s="630"/>
      <c r="E238" s="630"/>
      <c r="F238" s="631"/>
      <c r="G238" s="553"/>
      <c r="H238" s="553"/>
      <c r="I238" s="630"/>
    </row>
    <row r="239" ht="15.75" customHeight="1">
      <c r="B239" s="630"/>
      <c r="C239" s="630"/>
      <c r="D239" s="630"/>
      <c r="E239" s="630"/>
      <c r="F239" s="631"/>
      <c r="G239" s="553"/>
      <c r="H239" s="553"/>
      <c r="I239" s="630"/>
    </row>
    <row r="240" ht="15.75" customHeight="1">
      <c r="B240" s="630"/>
      <c r="C240" s="630"/>
      <c r="D240" s="630"/>
      <c r="E240" s="630"/>
      <c r="F240" s="631"/>
      <c r="G240" s="553"/>
      <c r="H240" s="553"/>
      <c r="I240" s="630"/>
    </row>
    <row r="241" ht="15.75" customHeight="1">
      <c r="B241" s="630"/>
      <c r="C241" s="630"/>
      <c r="D241" s="630"/>
      <c r="E241" s="630"/>
      <c r="F241" s="631"/>
      <c r="G241" s="553"/>
      <c r="H241" s="553"/>
      <c r="I241" s="630"/>
    </row>
    <row r="242" ht="15.75" customHeight="1">
      <c r="B242" s="630"/>
      <c r="C242" s="630"/>
      <c r="D242" s="630"/>
      <c r="E242" s="630"/>
      <c r="F242" s="631"/>
      <c r="G242" s="553"/>
      <c r="H242" s="553"/>
      <c r="I242" s="630"/>
    </row>
    <row r="243" ht="15.75" customHeight="1">
      <c r="B243" s="630"/>
      <c r="C243" s="630"/>
      <c r="D243" s="630"/>
      <c r="E243" s="630"/>
      <c r="F243" s="631"/>
      <c r="G243" s="553"/>
      <c r="H243" s="553"/>
      <c r="I243" s="630"/>
    </row>
    <row r="244" ht="15.75" customHeight="1">
      <c r="B244" s="630"/>
      <c r="C244" s="630"/>
      <c r="D244" s="630"/>
      <c r="E244" s="630"/>
      <c r="F244" s="631"/>
      <c r="G244" s="553"/>
      <c r="H244" s="553"/>
      <c r="I244" s="630"/>
    </row>
    <row r="245" ht="15.75" customHeight="1">
      <c r="B245" s="630"/>
      <c r="C245" s="630"/>
      <c r="D245" s="630"/>
      <c r="E245" s="630"/>
      <c r="F245" s="631"/>
      <c r="G245" s="553"/>
      <c r="H245" s="553"/>
      <c r="I245" s="630"/>
    </row>
    <row r="246" ht="15.75" customHeight="1">
      <c r="B246" s="630"/>
      <c r="C246" s="630"/>
      <c r="D246" s="630"/>
      <c r="E246" s="630"/>
      <c r="F246" s="631"/>
      <c r="G246" s="553"/>
      <c r="H246" s="553"/>
      <c r="I246" s="630"/>
    </row>
    <row r="247" ht="15.75" customHeight="1">
      <c r="B247" s="630"/>
      <c r="C247" s="630"/>
      <c r="D247" s="630"/>
      <c r="E247" s="630"/>
      <c r="F247" s="631"/>
      <c r="G247" s="553"/>
      <c r="H247" s="553"/>
      <c r="I247" s="630"/>
    </row>
    <row r="248" ht="15.75" customHeight="1">
      <c r="B248" s="630"/>
      <c r="C248" s="630"/>
      <c r="D248" s="630"/>
      <c r="E248" s="630"/>
      <c r="F248" s="631"/>
      <c r="G248" s="553"/>
      <c r="H248" s="553"/>
      <c r="I248" s="630"/>
    </row>
    <row r="249" ht="15.75" customHeight="1">
      <c r="B249" s="630"/>
      <c r="C249" s="630"/>
      <c r="D249" s="630"/>
      <c r="E249" s="630"/>
      <c r="F249" s="631"/>
      <c r="G249" s="553"/>
      <c r="H249" s="553"/>
      <c r="I249" s="630"/>
    </row>
    <row r="250" ht="15.75" customHeight="1">
      <c r="B250" s="630"/>
      <c r="C250" s="630"/>
      <c r="D250" s="630"/>
      <c r="E250" s="630"/>
      <c r="F250" s="631"/>
      <c r="G250" s="553"/>
      <c r="H250" s="553"/>
      <c r="I250" s="630"/>
    </row>
    <row r="251" ht="15.75" customHeight="1">
      <c r="B251" s="630"/>
      <c r="C251" s="630"/>
      <c r="D251" s="630"/>
      <c r="E251" s="630"/>
      <c r="F251" s="631"/>
      <c r="G251" s="553"/>
      <c r="H251" s="553"/>
      <c r="I251" s="630"/>
    </row>
    <row r="252" ht="15.75" customHeight="1">
      <c r="B252" s="630"/>
      <c r="C252" s="630"/>
      <c r="D252" s="630"/>
      <c r="E252" s="630"/>
      <c r="F252" s="631"/>
      <c r="G252" s="553"/>
      <c r="H252" s="553"/>
      <c r="I252" s="630"/>
    </row>
    <row r="253" ht="15.75" customHeight="1">
      <c r="B253" s="630"/>
      <c r="C253" s="630"/>
      <c r="D253" s="630"/>
      <c r="E253" s="630"/>
      <c r="F253" s="631"/>
      <c r="G253" s="553"/>
      <c r="H253" s="553"/>
      <c r="I253" s="630"/>
    </row>
    <row r="254" ht="15.75" customHeight="1">
      <c r="B254" s="630"/>
      <c r="C254" s="630"/>
      <c r="D254" s="630"/>
      <c r="E254" s="630"/>
      <c r="F254" s="631"/>
      <c r="G254" s="553"/>
      <c r="H254" s="553"/>
      <c r="I254" s="630"/>
    </row>
    <row r="255" ht="15.75" customHeight="1">
      <c r="B255" s="630"/>
      <c r="C255" s="630"/>
      <c r="D255" s="630"/>
      <c r="E255" s="630"/>
      <c r="F255" s="631"/>
      <c r="G255" s="553"/>
      <c r="H255" s="553"/>
      <c r="I255" s="630"/>
    </row>
    <row r="256" ht="15.75" customHeight="1">
      <c r="B256" s="630"/>
      <c r="C256" s="630"/>
      <c r="D256" s="630"/>
      <c r="E256" s="630"/>
      <c r="F256" s="631"/>
      <c r="G256" s="553"/>
      <c r="H256" s="553"/>
      <c r="I256" s="630"/>
    </row>
    <row r="257" ht="15.75" customHeight="1">
      <c r="B257" s="630"/>
      <c r="C257" s="630"/>
      <c r="D257" s="630"/>
      <c r="E257" s="630"/>
      <c r="F257" s="631"/>
      <c r="G257" s="553"/>
      <c r="H257" s="553"/>
      <c r="I257" s="630"/>
    </row>
    <row r="258" ht="15.75" customHeight="1">
      <c r="B258" s="630"/>
      <c r="C258" s="630"/>
      <c r="D258" s="630"/>
      <c r="E258" s="630"/>
      <c r="F258" s="631"/>
      <c r="G258" s="553"/>
      <c r="H258" s="553"/>
      <c r="I258" s="630"/>
    </row>
    <row r="259" ht="15.75" customHeight="1">
      <c r="B259" s="630"/>
      <c r="C259" s="630"/>
      <c r="D259" s="630"/>
      <c r="E259" s="630"/>
      <c r="F259" s="631"/>
      <c r="G259" s="553"/>
      <c r="H259" s="553"/>
      <c r="I259" s="630"/>
    </row>
    <row r="260" ht="15.75" customHeight="1">
      <c r="B260" s="630"/>
      <c r="C260" s="630"/>
      <c r="D260" s="630"/>
      <c r="E260" s="630"/>
      <c r="F260" s="631"/>
      <c r="G260" s="553"/>
      <c r="H260" s="553"/>
      <c r="I260" s="630"/>
    </row>
    <row r="261" ht="15.75" customHeight="1">
      <c r="B261" s="630"/>
      <c r="C261" s="630"/>
      <c r="D261" s="630"/>
      <c r="E261" s="630"/>
      <c r="F261" s="631"/>
      <c r="G261" s="553"/>
      <c r="H261" s="553"/>
      <c r="I261" s="630"/>
    </row>
    <row r="262" ht="15.75" customHeight="1">
      <c r="B262" s="630"/>
      <c r="C262" s="630"/>
      <c r="D262" s="630"/>
      <c r="E262" s="630"/>
      <c r="F262" s="631"/>
      <c r="G262" s="553"/>
      <c r="H262" s="553"/>
      <c r="I262" s="630"/>
    </row>
    <row r="263" ht="15.75" customHeight="1">
      <c r="B263" s="630"/>
      <c r="C263" s="630"/>
      <c r="D263" s="630"/>
      <c r="E263" s="630"/>
      <c r="F263" s="631"/>
      <c r="G263" s="553"/>
      <c r="H263" s="553"/>
      <c r="I263" s="630"/>
    </row>
    <row r="264" ht="15.75" customHeight="1">
      <c r="B264" s="630"/>
      <c r="C264" s="630"/>
      <c r="D264" s="630"/>
      <c r="E264" s="630"/>
      <c r="F264" s="631"/>
      <c r="G264" s="553"/>
      <c r="H264" s="553"/>
      <c r="I264" s="630"/>
    </row>
    <row r="265" ht="15.75" customHeight="1">
      <c r="B265" s="630"/>
      <c r="C265" s="630"/>
      <c r="D265" s="630"/>
      <c r="E265" s="630"/>
      <c r="F265" s="631"/>
      <c r="G265" s="553"/>
      <c r="H265" s="553"/>
      <c r="I265" s="630"/>
    </row>
    <row r="266" ht="15.75" customHeight="1">
      <c r="B266" s="630"/>
      <c r="C266" s="630"/>
      <c r="D266" s="630"/>
      <c r="E266" s="630"/>
      <c r="F266" s="631"/>
      <c r="G266" s="553"/>
      <c r="H266" s="553"/>
      <c r="I266" s="630"/>
    </row>
    <row r="267" ht="15.75" customHeight="1">
      <c r="B267" s="630"/>
      <c r="C267" s="630"/>
      <c r="D267" s="630"/>
      <c r="E267" s="630"/>
      <c r="F267" s="631"/>
      <c r="G267" s="553"/>
      <c r="H267" s="553"/>
      <c r="I267" s="630"/>
    </row>
    <row r="268" ht="15.75" customHeight="1">
      <c r="B268" s="630"/>
      <c r="C268" s="630"/>
      <c r="D268" s="630"/>
      <c r="E268" s="630"/>
      <c r="F268" s="631"/>
      <c r="G268" s="553"/>
      <c r="H268" s="553"/>
      <c r="I268" s="630"/>
    </row>
    <row r="269" ht="15.75" customHeight="1">
      <c r="B269" s="630"/>
      <c r="C269" s="630"/>
      <c r="D269" s="630"/>
      <c r="E269" s="630"/>
      <c r="F269" s="631"/>
      <c r="G269" s="553"/>
      <c r="H269" s="553"/>
      <c r="I269" s="630"/>
    </row>
    <row r="270" ht="15.75" customHeight="1">
      <c r="B270" s="630"/>
      <c r="C270" s="630"/>
      <c r="D270" s="630"/>
      <c r="E270" s="630"/>
      <c r="F270" s="631"/>
      <c r="G270" s="553"/>
      <c r="H270" s="553"/>
      <c r="I270" s="630"/>
    </row>
    <row r="271" ht="15.75" customHeight="1">
      <c r="B271" s="630"/>
      <c r="C271" s="630"/>
      <c r="D271" s="630"/>
      <c r="E271" s="630"/>
      <c r="F271" s="631"/>
      <c r="G271" s="553"/>
      <c r="H271" s="553"/>
      <c r="I271" s="630"/>
    </row>
    <row r="272" ht="15.75" customHeight="1">
      <c r="B272" s="630"/>
      <c r="C272" s="630"/>
      <c r="D272" s="630"/>
      <c r="E272" s="630"/>
      <c r="F272" s="631"/>
      <c r="G272" s="553"/>
      <c r="H272" s="553"/>
      <c r="I272" s="630"/>
    </row>
    <row r="273" ht="15.75" customHeight="1">
      <c r="B273" s="630"/>
      <c r="C273" s="630"/>
      <c r="D273" s="630"/>
      <c r="E273" s="630"/>
      <c r="F273" s="631"/>
      <c r="G273" s="553"/>
      <c r="H273" s="553"/>
      <c r="I273" s="630"/>
    </row>
    <row r="274" ht="15.75" customHeight="1">
      <c r="B274" s="630"/>
      <c r="C274" s="630"/>
      <c r="D274" s="630"/>
      <c r="E274" s="630"/>
      <c r="F274" s="631"/>
      <c r="G274" s="553"/>
      <c r="H274" s="553"/>
      <c r="I274" s="630"/>
    </row>
    <row r="275" ht="15.75" customHeight="1">
      <c r="B275" s="630"/>
      <c r="C275" s="630"/>
      <c r="D275" s="630"/>
      <c r="E275" s="630"/>
      <c r="F275" s="631"/>
      <c r="G275" s="553"/>
      <c r="H275" s="553"/>
      <c r="I275" s="630"/>
    </row>
    <row r="276" ht="15.75" customHeight="1">
      <c r="B276" s="630"/>
      <c r="C276" s="630"/>
      <c r="D276" s="630"/>
      <c r="E276" s="630"/>
      <c r="F276" s="631"/>
      <c r="G276" s="553"/>
      <c r="H276" s="553"/>
      <c r="I276" s="630"/>
    </row>
    <row r="277" ht="15.75" customHeight="1">
      <c r="B277" s="630"/>
      <c r="C277" s="630"/>
      <c r="D277" s="630"/>
      <c r="E277" s="630"/>
      <c r="F277" s="631"/>
      <c r="G277" s="553"/>
      <c r="H277" s="553"/>
      <c r="I277" s="630"/>
    </row>
    <row r="278" ht="15.75" customHeight="1">
      <c r="B278" s="630"/>
      <c r="C278" s="630"/>
      <c r="D278" s="630"/>
      <c r="E278" s="630"/>
      <c r="F278" s="631"/>
      <c r="G278" s="553"/>
      <c r="H278" s="553"/>
      <c r="I278" s="630"/>
    </row>
    <row r="279" ht="15.75" customHeight="1">
      <c r="B279" s="630"/>
      <c r="C279" s="630"/>
      <c r="D279" s="630"/>
      <c r="E279" s="630"/>
      <c r="F279" s="631"/>
      <c r="G279" s="553"/>
      <c r="H279" s="553"/>
      <c r="I279" s="630"/>
    </row>
    <row r="280" ht="15.75" customHeight="1">
      <c r="B280" s="630"/>
      <c r="C280" s="630"/>
      <c r="D280" s="630"/>
      <c r="E280" s="630"/>
      <c r="F280" s="631"/>
      <c r="G280" s="553"/>
      <c r="H280" s="553"/>
      <c r="I280" s="630"/>
    </row>
    <row r="281" ht="15.75" customHeight="1">
      <c r="B281" s="630"/>
      <c r="C281" s="630"/>
      <c r="D281" s="630"/>
      <c r="E281" s="630"/>
      <c r="F281" s="631"/>
      <c r="G281" s="553"/>
      <c r="H281" s="553"/>
      <c r="I281" s="630"/>
    </row>
    <row r="282" ht="15.75" customHeight="1">
      <c r="B282" s="630"/>
      <c r="C282" s="630"/>
      <c r="D282" s="630"/>
      <c r="E282" s="630"/>
      <c r="F282" s="631"/>
      <c r="G282" s="553"/>
      <c r="H282" s="553"/>
      <c r="I282" s="630"/>
    </row>
    <row r="283" ht="15.75" customHeight="1">
      <c r="B283" s="630"/>
      <c r="C283" s="630"/>
      <c r="D283" s="630"/>
      <c r="E283" s="630"/>
      <c r="F283" s="631"/>
      <c r="G283" s="553"/>
      <c r="H283" s="553"/>
      <c r="I283" s="630"/>
    </row>
    <row r="284" ht="15.75" customHeight="1">
      <c r="B284" s="630"/>
      <c r="C284" s="630"/>
      <c r="D284" s="630"/>
      <c r="E284" s="630"/>
      <c r="F284" s="631"/>
      <c r="G284" s="553"/>
      <c r="H284" s="553"/>
      <c r="I284" s="630"/>
    </row>
    <row r="285" ht="15.75" customHeight="1">
      <c r="B285" s="630"/>
      <c r="C285" s="630"/>
      <c r="D285" s="630"/>
      <c r="E285" s="630"/>
      <c r="F285" s="631"/>
      <c r="G285" s="553"/>
      <c r="H285" s="553"/>
      <c r="I285" s="630"/>
    </row>
    <row r="286" ht="15.75" customHeight="1">
      <c r="B286" s="630"/>
      <c r="C286" s="630"/>
      <c r="D286" s="630"/>
      <c r="E286" s="630"/>
      <c r="F286" s="631"/>
      <c r="G286" s="553"/>
      <c r="H286" s="553"/>
      <c r="I286" s="630"/>
    </row>
    <row r="287" ht="15.75" customHeight="1">
      <c r="B287" s="630"/>
      <c r="C287" s="630"/>
      <c r="D287" s="630"/>
      <c r="E287" s="630"/>
      <c r="F287" s="631"/>
      <c r="G287" s="553"/>
      <c r="H287" s="553"/>
      <c r="I287" s="630"/>
    </row>
    <row r="288" ht="15.75" customHeight="1">
      <c r="B288" s="630"/>
      <c r="C288" s="630"/>
      <c r="D288" s="630"/>
      <c r="E288" s="630"/>
      <c r="F288" s="631"/>
      <c r="G288" s="553"/>
      <c r="H288" s="553"/>
      <c r="I288" s="630"/>
    </row>
    <row r="289" ht="15.75" customHeight="1">
      <c r="B289" s="630"/>
      <c r="C289" s="630"/>
      <c r="D289" s="630"/>
      <c r="E289" s="630"/>
      <c r="F289" s="631"/>
      <c r="G289" s="553"/>
      <c r="H289" s="553"/>
      <c r="I289" s="630"/>
    </row>
    <row r="290" ht="15.75" customHeight="1">
      <c r="B290" s="630"/>
      <c r="C290" s="630"/>
      <c r="D290" s="630"/>
      <c r="E290" s="630"/>
      <c r="F290" s="631"/>
      <c r="G290" s="553"/>
      <c r="H290" s="553"/>
      <c r="I290" s="630"/>
    </row>
    <row r="291" ht="15.75" customHeight="1">
      <c r="B291" s="630"/>
      <c r="C291" s="630"/>
      <c r="D291" s="630"/>
      <c r="E291" s="630"/>
      <c r="F291" s="631"/>
      <c r="G291" s="553"/>
      <c r="H291" s="553"/>
      <c r="I291" s="630"/>
    </row>
    <row r="292" ht="15.75" customHeight="1">
      <c r="B292" s="630"/>
      <c r="C292" s="630"/>
      <c r="D292" s="630"/>
      <c r="E292" s="630"/>
      <c r="F292" s="631"/>
      <c r="G292" s="553"/>
      <c r="H292" s="553"/>
      <c r="I292" s="630"/>
    </row>
    <row r="293" ht="15.75" customHeight="1">
      <c r="B293" s="630"/>
      <c r="C293" s="630"/>
      <c r="D293" s="630"/>
      <c r="E293" s="630"/>
      <c r="F293" s="631"/>
      <c r="G293" s="553"/>
      <c r="H293" s="553"/>
      <c r="I293" s="630"/>
    </row>
    <row r="294" ht="15.75" customHeight="1">
      <c r="B294" s="630"/>
      <c r="C294" s="630"/>
      <c r="D294" s="630"/>
      <c r="E294" s="630"/>
      <c r="F294" s="631"/>
      <c r="G294" s="553"/>
      <c r="H294" s="553"/>
      <c r="I294" s="630"/>
    </row>
    <row r="295" ht="15.75" customHeight="1">
      <c r="B295" s="630"/>
      <c r="C295" s="630"/>
      <c r="D295" s="630"/>
      <c r="E295" s="630"/>
      <c r="F295" s="631"/>
      <c r="G295" s="553"/>
      <c r="H295" s="553"/>
      <c r="I295" s="630"/>
    </row>
    <row r="296" ht="15.75" customHeight="1">
      <c r="B296" s="630"/>
      <c r="C296" s="630"/>
      <c r="D296" s="630"/>
      <c r="E296" s="630"/>
      <c r="F296" s="631"/>
      <c r="G296" s="553"/>
      <c r="H296" s="553"/>
      <c r="I296" s="630"/>
    </row>
    <row r="297" ht="15.75" customHeight="1">
      <c r="B297" s="630"/>
      <c r="C297" s="630"/>
      <c r="D297" s="630"/>
      <c r="E297" s="630"/>
      <c r="F297" s="631"/>
      <c r="G297" s="553"/>
      <c r="H297" s="553"/>
      <c r="I297" s="630"/>
    </row>
    <row r="298" ht="15.75" customHeight="1">
      <c r="B298" s="630"/>
      <c r="C298" s="630"/>
      <c r="D298" s="630"/>
      <c r="E298" s="630"/>
      <c r="F298" s="631"/>
      <c r="G298" s="553"/>
      <c r="H298" s="553"/>
      <c r="I298" s="630"/>
    </row>
    <row r="299" ht="15.75" customHeight="1">
      <c r="B299" s="630"/>
      <c r="C299" s="630"/>
      <c r="D299" s="630"/>
      <c r="E299" s="630"/>
      <c r="F299" s="631"/>
      <c r="G299" s="553"/>
      <c r="H299" s="553"/>
      <c r="I299" s="630"/>
    </row>
    <row r="300" ht="15.75" customHeight="1">
      <c r="B300" s="630"/>
      <c r="C300" s="630"/>
      <c r="D300" s="630"/>
      <c r="E300" s="630"/>
      <c r="F300" s="631"/>
      <c r="G300" s="553"/>
      <c r="H300" s="553"/>
      <c r="I300" s="630"/>
    </row>
    <row r="301" ht="15.75" customHeight="1">
      <c r="B301" s="630"/>
      <c r="C301" s="630"/>
      <c r="D301" s="630"/>
      <c r="E301" s="630"/>
      <c r="F301" s="631"/>
      <c r="G301" s="553"/>
      <c r="H301" s="553"/>
      <c r="I301" s="630"/>
    </row>
    <row r="302" ht="15.75" customHeight="1">
      <c r="B302" s="630"/>
      <c r="C302" s="630"/>
      <c r="D302" s="630"/>
      <c r="E302" s="630"/>
      <c r="F302" s="631"/>
      <c r="G302" s="553"/>
      <c r="H302" s="553"/>
      <c r="I302" s="630"/>
    </row>
    <row r="303" ht="15.75" customHeight="1">
      <c r="B303" s="630"/>
      <c r="C303" s="630"/>
      <c r="D303" s="630"/>
      <c r="E303" s="630"/>
      <c r="F303" s="631"/>
      <c r="G303" s="553"/>
      <c r="H303" s="553"/>
      <c r="I303" s="630"/>
    </row>
    <row r="304" ht="15.75" customHeight="1">
      <c r="B304" s="630"/>
      <c r="C304" s="630"/>
      <c r="D304" s="630"/>
      <c r="E304" s="630"/>
      <c r="F304" s="631"/>
      <c r="G304" s="553"/>
      <c r="H304" s="553"/>
      <c r="I304" s="630"/>
    </row>
    <row r="305" ht="15.75" customHeight="1">
      <c r="B305" s="630"/>
      <c r="C305" s="630"/>
      <c r="D305" s="630"/>
      <c r="E305" s="630"/>
      <c r="F305" s="631"/>
      <c r="G305" s="553"/>
      <c r="H305" s="553"/>
      <c r="I305" s="630"/>
    </row>
    <row r="306" ht="15.75" customHeight="1">
      <c r="B306" s="630"/>
      <c r="C306" s="630"/>
      <c r="D306" s="630"/>
      <c r="E306" s="630"/>
      <c r="F306" s="631"/>
      <c r="G306" s="553"/>
      <c r="H306" s="553"/>
      <c r="I306" s="630"/>
    </row>
    <row r="307" ht="15.75" customHeight="1">
      <c r="B307" s="630"/>
      <c r="C307" s="630"/>
      <c r="D307" s="630"/>
      <c r="E307" s="630"/>
      <c r="F307" s="631"/>
      <c r="G307" s="553"/>
      <c r="H307" s="553"/>
      <c r="I307" s="630"/>
    </row>
    <row r="308" ht="15.75" customHeight="1">
      <c r="B308" s="630"/>
      <c r="C308" s="630"/>
      <c r="D308" s="630"/>
      <c r="E308" s="630"/>
      <c r="F308" s="631"/>
      <c r="G308" s="553"/>
      <c r="H308" s="553"/>
      <c r="I308" s="630"/>
    </row>
    <row r="309" ht="15.75" customHeight="1">
      <c r="B309" s="630"/>
      <c r="C309" s="630"/>
      <c r="D309" s="630"/>
      <c r="E309" s="630"/>
      <c r="F309" s="631"/>
      <c r="G309" s="553"/>
      <c r="H309" s="553"/>
      <c r="I309" s="630"/>
    </row>
    <row r="310" ht="15.75" customHeight="1">
      <c r="B310" s="630"/>
      <c r="C310" s="630"/>
      <c r="D310" s="630"/>
      <c r="E310" s="630"/>
      <c r="F310" s="631"/>
      <c r="G310" s="553"/>
      <c r="H310" s="553"/>
      <c r="I310" s="630"/>
    </row>
    <row r="311" ht="15.75" customHeight="1">
      <c r="B311" s="630"/>
      <c r="C311" s="630"/>
      <c r="D311" s="630"/>
      <c r="E311" s="630"/>
      <c r="F311" s="631"/>
      <c r="G311" s="553"/>
      <c r="H311" s="553"/>
      <c r="I311" s="630"/>
    </row>
    <row r="312" ht="15.75" customHeight="1">
      <c r="B312" s="630"/>
      <c r="C312" s="630"/>
      <c r="D312" s="630"/>
      <c r="E312" s="630"/>
      <c r="F312" s="631"/>
      <c r="G312" s="553"/>
      <c r="H312" s="553"/>
      <c r="I312" s="630"/>
    </row>
    <row r="313" ht="15.75" customHeight="1">
      <c r="B313" s="630"/>
      <c r="C313" s="630"/>
      <c r="D313" s="630"/>
      <c r="E313" s="630"/>
      <c r="F313" s="631"/>
      <c r="G313" s="553"/>
      <c r="H313" s="553"/>
      <c r="I313" s="630"/>
    </row>
    <row r="314" ht="15.75" customHeight="1">
      <c r="B314" s="630"/>
      <c r="C314" s="630"/>
      <c r="D314" s="630"/>
      <c r="E314" s="630"/>
      <c r="F314" s="631"/>
      <c r="G314" s="553"/>
      <c r="H314" s="553"/>
      <c r="I314" s="630"/>
    </row>
    <row r="315" ht="15.75" customHeight="1">
      <c r="B315" s="630"/>
      <c r="C315" s="630"/>
      <c r="D315" s="630"/>
      <c r="E315" s="630"/>
      <c r="F315" s="631"/>
      <c r="G315" s="553"/>
      <c r="H315" s="553"/>
      <c r="I315" s="630"/>
    </row>
    <row r="316" ht="15.75" customHeight="1">
      <c r="B316" s="630"/>
      <c r="C316" s="630"/>
      <c r="D316" s="630"/>
      <c r="E316" s="630"/>
      <c r="F316" s="631"/>
      <c r="G316" s="553"/>
      <c r="H316" s="553"/>
      <c r="I316" s="630"/>
    </row>
    <row r="317" ht="15.75" customHeight="1">
      <c r="B317" s="630"/>
      <c r="C317" s="630"/>
      <c r="D317" s="630"/>
      <c r="E317" s="630"/>
      <c r="F317" s="631"/>
      <c r="G317" s="553"/>
      <c r="H317" s="553"/>
      <c r="I317" s="630"/>
    </row>
    <row r="318" ht="15.75" customHeight="1">
      <c r="B318" s="630"/>
      <c r="C318" s="630"/>
      <c r="D318" s="630"/>
      <c r="E318" s="630"/>
      <c r="F318" s="631"/>
      <c r="G318" s="553"/>
      <c r="H318" s="553"/>
      <c r="I318" s="630"/>
    </row>
    <row r="319" ht="15.75" customHeight="1">
      <c r="B319" s="630"/>
      <c r="C319" s="630"/>
      <c r="D319" s="630"/>
      <c r="E319" s="630"/>
      <c r="F319" s="631"/>
      <c r="G319" s="553"/>
      <c r="H319" s="553"/>
      <c r="I319" s="630"/>
    </row>
    <row r="320" ht="15.75" customHeight="1">
      <c r="B320" s="630"/>
      <c r="C320" s="630"/>
      <c r="D320" s="630"/>
      <c r="E320" s="630"/>
      <c r="F320" s="631"/>
      <c r="G320" s="553"/>
      <c r="H320" s="553"/>
      <c r="I320" s="630"/>
    </row>
    <row r="321" ht="15.75" customHeight="1">
      <c r="B321" s="630"/>
      <c r="C321" s="630"/>
      <c r="D321" s="630"/>
      <c r="E321" s="630"/>
      <c r="F321" s="631"/>
      <c r="G321" s="553"/>
      <c r="H321" s="553"/>
      <c r="I321" s="630"/>
    </row>
    <row r="322" ht="15.75" customHeight="1">
      <c r="B322" s="630"/>
      <c r="C322" s="630"/>
      <c r="D322" s="630"/>
      <c r="E322" s="630"/>
      <c r="F322" s="631"/>
      <c r="G322" s="553"/>
      <c r="H322" s="553"/>
      <c r="I322" s="630"/>
    </row>
    <row r="323" ht="15.75" customHeight="1">
      <c r="B323" s="630"/>
      <c r="C323" s="630"/>
      <c r="D323" s="630"/>
      <c r="E323" s="630"/>
      <c r="F323" s="631"/>
      <c r="G323" s="553"/>
      <c r="H323" s="553"/>
      <c r="I323" s="630"/>
    </row>
    <row r="324" ht="15.75" customHeight="1">
      <c r="B324" s="630"/>
      <c r="C324" s="630"/>
      <c r="D324" s="630"/>
      <c r="E324" s="630"/>
      <c r="F324" s="631"/>
      <c r="G324" s="553"/>
      <c r="H324" s="553"/>
      <c r="I324" s="630"/>
    </row>
    <row r="325" ht="15.75" customHeight="1">
      <c r="B325" s="630"/>
      <c r="C325" s="630"/>
      <c r="D325" s="630"/>
      <c r="E325" s="630"/>
      <c r="F325" s="631"/>
      <c r="G325" s="553"/>
      <c r="H325" s="553"/>
      <c r="I325" s="630"/>
    </row>
    <row r="326" ht="15.75" customHeight="1">
      <c r="B326" s="630"/>
      <c r="C326" s="630"/>
      <c r="D326" s="630"/>
      <c r="E326" s="630"/>
      <c r="F326" s="631"/>
      <c r="G326" s="553"/>
      <c r="H326" s="553"/>
      <c r="I326" s="630"/>
    </row>
    <row r="327" ht="15.75" customHeight="1">
      <c r="B327" s="630"/>
      <c r="C327" s="630"/>
      <c r="D327" s="630"/>
      <c r="E327" s="630"/>
      <c r="F327" s="631"/>
      <c r="G327" s="553"/>
      <c r="H327" s="553"/>
      <c r="I327" s="630"/>
    </row>
    <row r="328" ht="15.75" customHeight="1">
      <c r="B328" s="630"/>
      <c r="C328" s="630"/>
      <c r="D328" s="630"/>
      <c r="E328" s="630"/>
      <c r="F328" s="631"/>
      <c r="G328" s="553"/>
      <c r="H328" s="553"/>
      <c r="I328" s="630"/>
    </row>
    <row r="329" ht="15.75" customHeight="1">
      <c r="B329" s="630"/>
      <c r="C329" s="630"/>
      <c r="D329" s="630"/>
      <c r="E329" s="630"/>
      <c r="F329" s="631"/>
      <c r="G329" s="553"/>
      <c r="H329" s="553"/>
      <c r="I329" s="630"/>
    </row>
    <row r="330" ht="15.75" customHeight="1">
      <c r="B330" s="630"/>
      <c r="C330" s="630"/>
      <c r="D330" s="630"/>
      <c r="E330" s="630"/>
      <c r="F330" s="631"/>
      <c r="G330" s="553"/>
      <c r="H330" s="553"/>
      <c r="I330" s="630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32"/>
      <c r="B1" s="633" t="s">
        <v>303</v>
      </c>
      <c r="C1" s="634"/>
      <c r="D1" s="635"/>
      <c r="E1" s="633" t="s">
        <v>202</v>
      </c>
      <c r="F1" s="634"/>
      <c r="G1" s="635"/>
      <c r="H1" s="633" t="s">
        <v>200</v>
      </c>
      <c r="I1" s="634"/>
      <c r="J1" s="635"/>
      <c r="K1" s="633" t="s">
        <v>304</v>
      </c>
      <c r="L1" s="634"/>
      <c r="M1" s="635"/>
    </row>
    <row r="2">
      <c r="A2" s="632"/>
      <c r="B2" s="636" t="s">
        <v>305</v>
      </c>
      <c r="C2" s="628" t="s">
        <v>306</v>
      </c>
      <c r="D2" s="637" t="s">
        <v>307</v>
      </c>
      <c r="E2" s="636" t="s">
        <v>305</v>
      </c>
      <c r="F2" s="628" t="s">
        <v>306</v>
      </c>
      <c r="G2" s="638" t="s">
        <v>307</v>
      </c>
      <c r="H2" s="636" t="s">
        <v>305</v>
      </c>
      <c r="I2" s="628" t="s">
        <v>306</v>
      </c>
      <c r="J2" s="639" t="s">
        <v>307</v>
      </c>
      <c r="K2" s="636" t="s">
        <v>305</v>
      </c>
      <c r="L2" s="628" t="s">
        <v>306</v>
      </c>
      <c r="M2" s="640"/>
    </row>
    <row r="3">
      <c r="A3" s="641">
        <v>43718.0</v>
      </c>
      <c r="B3" s="636"/>
      <c r="C3" s="628" t="s">
        <v>308</v>
      </c>
      <c r="D3" s="637" t="str">
        <f>+C3</f>
        <v> $  14.000.00 </v>
      </c>
      <c r="E3" s="636"/>
      <c r="F3" s="628">
        <v>494.0</v>
      </c>
      <c r="G3" s="638">
        <f>+F3</f>
        <v>494</v>
      </c>
      <c r="H3" s="636"/>
      <c r="I3" s="628">
        <v>150.0</v>
      </c>
      <c r="J3" s="639">
        <f>+I3</f>
        <v>150</v>
      </c>
      <c r="K3" s="636"/>
      <c r="L3" s="628" t="s">
        <v>309</v>
      </c>
      <c r="M3" s="640" t="str">
        <f>+L3</f>
        <v> $  1.785.00 </v>
      </c>
    </row>
    <row r="4">
      <c r="A4" s="641">
        <v>43719.0</v>
      </c>
      <c r="B4" s="636" t="s">
        <v>310</v>
      </c>
      <c r="C4" s="628"/>
      <c r="D4" s="637" t="str">
        <f t="shared" ref="D4:D32" si="1">+D3+B4+C4</f>
        <v>#VALUE!</v>
      </c>
      <c r="E4" s="636">
        <v>-374.0</v>
      </c>
      <c r="F4" s="628"/>
      <c r="G4" s="638">
        <f t="shared" ref="G4:G32" si="2">+G3+E4+F4</f>
        <v>120</v>
      </c>
      <c r="H4" s="636"/>
      <c r="I4" s="628"/>
      <c r="J4" s="639">
        <f t="shared" ref="J4:J32" si="3">+J3+H4+I4</f>
        <v>150</v>
      </c>
      <c r="K4" s="636"/>
      <c r="L4" s="628"/>
      <c r="M4" s="640" t="str">
        <f t="shared" ref="M4:M32" si="4">+M3+K4+L4</f>
        <v>#VALUE!</v>
      </c>
    </row>
    <row r="5">
      <c r="A5" s="641">
        <v>43721.0</v>
      </c>
      <c r="B5" s="636"/>
      <c r="C5" s="628"/>
      <c r="D5" s="637" t="str">
        <f t="shared" si="1"/>
        <v>#VALUE!</v>
      </c>
      <c r="E5" s="636"/>
      <c r="F5" s="628">
        <v>296.0</v>
      </c>
      <c r="G5" s="638">
        <f t="shared" si="2"/>
        <v>416</v>
      </c>
      <c r="H5" s="636"/>
      <c r="I5" s="628"/>
      <c r="J5" s="639">
        <f t="shared" si="3"/>
        <v>150</v>
      </c>
      <c r="K5" s="636"/>
      <c r="L5" s="628">
        <v>540.0</v>
      </c>
      <c r="M5" s="640" t="str">
        <f t="shared" si="4"/>
        <v>#VALUE!</v>
      </c>
      <c r="O5" s="631"/>
    </row>
    <row r="6">
      <c r="A6" s="641">
        <v>43725.0</v>
      </c>
      <c r="B6" s="636"/>
      <c r="C6" s="628" t="s">
        <v>311</v>
      </c>
      <c r="D6" s="637" t="str">
        <f t="shared" si="1"/>
        <v>#VALUE!</v>
      </c>
      <c r="E6" s="636"/>
      <c r="F6" s="628">
        <v>770.0</v>
      </c>
      <c r="G6" s="638">
        <f t="shared" si="2"/>
        <v>1186</v>
      </c>
      <c r="H6" s="636"/>
      <c r="I6" s="628"/>
      <c r="J6" s="639">
        <f t="shared" si="3"/>
        <v>150</v>
      </c>
      <c r="K6" s="636"/>
      <c r="L6" s="628" t="s">
        <v>312</v>
      </c>
      <c r="M6" s="640" t="str">
        <f t="shared" si="4"/>
        <v>#VALUE!</v>
      </c>
    </row>
    <row r="7">
      <c r="A7" s="641">
        <v>43726.0</v>
      </c>
      <c r="B7" s="636" t="s">
        <v>313</v>
      </c>
      <c r="C7" s="628"/>
      <c r="D7" s="637" t="str">
        <f t="shared" si="1"/>
        <v>#VALUE!</v>
      </c>
      <c r="E7" s="636" t="s">
        <v>314</v>
      </c>
      <c r="F7" s="628"/>
      <c r="G7" s="638" t="str">
        <f t="shared" si="2"/>
        <v>#VALUE!</v>
      </c>
      <c r="H7" s="636"/>
      <c r="I7" s="628"/>
      <c r="J7" s="639">
        <f t="shared" si="3"/>
        <v>150</v>
      </c>
      <c r="K7" s="636"/>
      <c r="L7" s="628"/>
      <c r="M7" s="640" t="str">
        <f t="shared" si="4"/>
        <v>#VALUE!</v>
      </c>
    </row>
    <row r="8">
      <c r="A8" s="641">
        <v>43727.0</v>
      </c>
      <c r="B8" s="636"/>
      <c r="C8" s="628">
        <f>43400+9450</f>
        <v>52850</v>
      </c>
      <c r="D8" s="637" t="str">
        <f t="shared" si="1"/>
        <v>#VALUE!</v>
      </c>
      <c r="E8" s="636"/>
      <c r="F8" s="628"/>
      <c r="G8" s="638" t="str">
        <f t="shared" si="2"/>
        <v>#VALUE!</v>
      </c>
      <c r="H8" s="636">
        <v>-150.0</v>
      </c>
      <c r="I8" s="628"/>
      <c r="J8" s="639">
        <f t="shared" si="3"/>
        <v>0</v>
      </c>
      <c r="K8" s="636" t="s">
        <v>315</v>
      </c>
      <c r="L8" s="628"/>
      <c r="M8" s="640" t="str">
        <f t="shared" si="4"/>
        <v>#VALUE!</v>
      </c>
    </row>
    <row r="9">
      <c r="A9" s="641">
        <v>43731.0</v>
      </c>
      <c r="B9" s="636"/>
      <c r="C9" s="628" t="s">
        <v>316</v>
      </c>
      <c r="D9" s="637" t="str">
        <f t="shared" si="1"/>
        <v>#VALUE!</v>
      </c>
      <c r="E9" s="636"/>
      <c r="F9" s="628">
        <f>300+200+180+40+7</f>
        <v>727</v>
      </c>
      <c r="G9" s="638" t="str">
        <f t="shared" si="2"/>
        <v>#VALUE!</v>
      </c>
      <c r="H9" s="636"/>
      <c r="I9" s="628">
        <v>170.0</v>
      </c>
      <c r="J9" s="639">
        <f t="shared" si="3"/>
        <v>170</v>
      </c>
      <c r="K9" s="636"/>
      <c r="L9" s="628">
        <v>910.0</v>
      </c>
      <c r="M9" s="640" t="str">
        <f t="shared" si="4"/>
        <v>#VALUE!</v>
      </c>
    </row>
    <row r="10">
      <c r="A10" s="641">
        <v>43735.0</v>
      </c>
      <c r="B10" s="636" t="s">
        <v>317</v>
      </c>
      <c r="C10" s="628"/>
      <c r="D10" s="637" t="str">
        <f t="shared" si="1"/>
        <v>#VALUE!</v>
      </c>
      <c r="E10" s="636"/>
      <c r="F10" s="628"/>
      <c r="G10" s="638" t="str">
        <f t="shared" si="2"/>
        <v>#VALUE!</v>
      </c>
      <c r="H10" s="636"/>
      <c r="I10" s="628"/>
      <c r="J10" s="639">
        <f t="shared" si="3"/>
        <v>170</v>
      </c>
      <c r="K10" s="636"/>
      <c r="L10" s="628"/>
      <c r="M10" s="640" t="str">
        <f t="shared" si="4"/>
        <v>#VALUE!</v>
      </c>
    </row>
    <row r="11">
      <c r="A11" s="641">
        <v>43735.0</v>
      </c>
      <c r="B11" s="636"/>
      <c r="C11" s="628" t="s">
        <v>318</v>
      </c>
      <c r="D11" s="637" t="str">
        <f t="shared" si="1"/>
        <v>#VALUE!</v>
      </c>
      <c r="E11" s="636"/>
      <c r="F11" s="628">
        <f>100+50+160+90+4</f>
        <v>404</v>
      </c>
      <c r="G11" s="638" t="str">
        <f t="shared" si="2"/>
        <v>#VALUE!</v>
      </c>
      <c r="H11" s="636"/>
      <c r="I11" s="628"/>
      <c r="J11" s="639">
        <f t="shared" si="3"/>
        <v>170</v>
      </c>
      <c r="K11" s="636"/>
      <c r="L11" s="628">
        <v>25.0</v>
      </c>
      <c r="M11" s="640" t="str">
        <f t="shared" si="4"/>
        <v>#VALUE!</v>
      </c>
    </row>
    <row r="12">
      <c r="A12" s="641">
        <v>43738.0</v>
      </c>
      <c r="B12" s="636"/>
      <c r="C12" s="628" t="s">
        <v>319</v>
      </c>
      <c r="D12" s="637" t="str">
        <f t="shared" si="1"/>
        <v>#VALUE!</v>
      </c>
      <c r="E12" s="636"/>
      <c r="F12" s="628">
        <v>120.0</v>
      </c>
      <c r="G12" s="638" t="str">
        <f t="shared" si="2"/>
        <v>#VALUE!</v>
      </c>
      <c r="H12" s="636"/>
      <c r="I12" s="628"/>
      <c r="J12" s="639">
        <f t="shared" si="3"/>
        <v>170</v>
      </c>
      <c r="K12" s="636"/>
      <c r="L12" s="628">
        <v>250.0</v>
      </c>
      <c r="M12" s="640" t="str">
        <f t="shared" si="4"/>
        <v>#VALUE!</v>
      </c>
    </row>
    <row r="13">
      <c r="A13" s="641">
        <v>43740.0</v>
      </c>
      <c r="B13" s="636" t="s">
        <v>320</v>
      </c>
      <c r="C13" s="628"/>
      <c r="D13" s="637" t="str">
        <f t="shared" si="1"/>
        <v>#VALUE!</v>
      </c>
      <c r="E13" s="636"/>
      <c r="F13" s="628"/>
      <c r="G13" s="638" t="str">
        <f t="shared" si="2"/>
        <v>#VALUE!</v>
      </c>
      <c r="H13" s="636"/>
      <c r="I13" s="628"/>
      <c r="J13" s="639">
        <f t="shared" si="3"/>
        <v>170</v>
      </c>
      <c r="K13" s="636"/>
      <c r="L13" s="628"/>
      <c r="M13" s="640" t="str">
        <f t="shared" si="4"/>
        <v>#VALUE!</v>
      </c>
      <c r="O13" s="642"/>
    </row>
    <row r="14">
      <c r="A14" s="641">
        <v>43741.0</v>
      </c>
      <c r="B14" s="636"/>
      <c r="C14" s="628" t="s">
        <v>260</v>
      </c>
      <c r="D14" s="637" t="str">
        <f t="shared" si="1"/>
        <v>#VALUE!</v>
      </c>
      <c r="E14" s="636"/>
      <c r="F14" s="628">
        <v>70.0</v>
      </c>
      <c r="G14" s="638" t="str">
        <f t="shared" si="2"/>
        <v>#VALUE!</v>
      </c>
      <c r="H14" s="636"/>
      <c r="I14" s="628"/>
      <c r="J14" s="639">
        <f t="shared" si="3"/>
        <v>170</v>
      </c>
      <c r="K14" s="636" t="s">
        <v>321</v>
      </c>
      <c r="L14" s="628">
        <v>250.0</v>
      </c>
      <c r="M14" s="640" t="str">
        <f t="shared" si="4"/>
        <v>#VALUE!</v>
      </c>
    </row>
    <row r="15">
      <c r="A15" s="641">
        <v>43742.0</v>
      </c>
      <c r="B15" s="636"/>
      <c r="C15" s="628"/>
      <c r="D15" s="637" t="str">
        <f t="shared" si="1"/>
        <v>#VALUE!</v>
      </c>
      <c r="E15" s="636" t="s">
        <v>322</v>
      </c>
      <c r="F15" s="628"/>
      <c r="G15" s="638" t="str">
        <f t="shared" si="2"/>
        <v>#VALUE!</v>
      </c>
      <c r="H15" s="636"/>
      <c r="I15" s="628"/>
      <c r="J15" s="639">
        <f t="shared" si="3"/>
        <v>170</v>
      </c>
      <c r="K15" s="636"/>
      <c r="L15" s="628"/>
      <c r="M15" s="640" t="str">
        <f t="shared" si="4"/>
        <v>#VALUE!</v>
      </c>
    </row>
    <row r="16">
      <c r="A16" s="641">
        <v>43747.0</v>
      </c>
      <c r="B16" s="636"/>
      <c r="C16" s="628">
        <f>2000+2500+2500+2500+5000+10000+1400</f>
        <v>25900</v>
      </c>
      <c r="D16" s="637" t="str">
        <f t="shared" si="1"/>
        <v>#VALUE!</v>
      </c>
      <c r="E16" s="636"/>
      <c r="F16" s="628">
        <f>200+80+100+60+220+70</f>
        <v>730</v>
      </c>
      <c r="G16" s="638" t="str">
        <f t="shared" si="2"/>
        <v>#VALUE!</v>
      </c>
      <c r="H16" s="636"/>
      <c r="I16" s="628"/>
      <c r="J16" s="639">
        <f t="shared" si="3"/>
        <v>170</v>
      </c>
      <c r="K16" s="636"/>
      <c r="L16" s="628">
        <f>200+300+300+50+200</f>
        <v>1050</v>
      </c>
      <c r="M16" s="640" t="str">
        <f t="shared" si="4"/>
        <v>#VALUE!</v>
      </c>
    </row>
    <row r="17">
      <c r="A17" s="641">
        <v>43748.0</v>
      </c>
      <c r="B17" s="636" t="s">
        <v>323</v>
      </c>
      <c r="C17" s="628"/>
      <c r="D17" s="637" t="str">
        <f t="shared" si="1"/>
        <v>#VALUE!</v>
      </c>
      <c r="E17" s="636"/>
      <c r="F17" s="628"/>
      <c r="G17" s="638" t="str">
        <f t="shared" si="2"/>
        <v>#VALUE!</v>
      </c>
      <c r="H17" s="636"/>
      <c r="I17" s="628"/>
      <c r="J17" s="639">
        <f t="shared" si="3"/>
        <v>170</v>
      </c>
      <c r="K17" s="636"/>
      <c r="L17" s="628"/>
      <c r="M17" s="640" t="str">
        <f t="shared" si="4"/>
        <v>#VALUE!</v>
      </c>
    </row>
    <row r="18">
      <c r="A18" s="641">
        <v>43749.0</v>
      </c>
      <c r="B18" s="636" t="s">
        <v>324</v>
      </c>
      <c r="C18" s="628"/>
      <c r="D18" s="637" t="str">
        <f t="shared" si="1"/>
        <v>#VALUE!</v>
      </c>
      <c r="E18" s="636"/>
      <c r="F18" s="628"/>
      <c r="G18" s="638" t="str">
        <f t="shared" si="2"/>
        <v>#VALUE!</v>
      </c>
      <c r="H18" s="636"/>
      <c r="I18" s="628"/>
      <c r="J18" s="639">
        <f t="shared" si="3"/>
        <v>170</v>
      </c>
      <c r="K18" s="636"/>
      <c r="L18" s="628"/>
      <c r="M18" s="640" t="str">
        <f t="shared" si="4"/>
        <v>#VALUE!</v>
      </c>
    </row>
    <row r="19">
      <c r="A19" s="641">
        <v>43753.0</v>
      </c>
      <c r="B19" s="636"/>
      <c r="C19" s="628">
        <f>4000+2000+2500+5000+2000+2000+2500+700+2500</f>
        <v>23200</v>
      </c>
      <c r="D19" s="637" t="str">
        <f t="shared" si="1"/>
        <v>#VALUE!</v>
      </c>
      <c r="E19" s="636"/>
      <c r="F19" s="628">
        <f>200+80+20+50+200+20+70+116+170+100+20+100</f>
        <v>1146</v>
      </c>
      <c r="G19" s="638" t="str">
        <f t="shared" si="2"/>
        <v>#VALUE!</v>
      </c>
      <c r="H19" s="636"/>
      <c r="I19" s="628">
        <f>100+100+30</f>
        <v>230</v>
      </c>
      <c r="J19" s="639">
        <f t="shared" si="3"/>
        <v>400</v>
      </c>
      <c r="K19" s="636"/>
      <c r="L19" s="628">
        <f>120+320+100+150+100+350+150+350+350+200+250+50</f>
        <v>2490</v>
      </c>
      <c r="M19" s="640" t="str">
        <f t="shared" si="4"/>
        <v>#VALUE!</v>
      </c>
    </row>
    <row r="20">
      <c r="A20" s="641">
        <v>43754.0</v>
      </c>
      <c r="B20" s="636" t="s">
        <v>325</v>
      </c>
      <c r="C20" s="628"/>
      <c r="D20" s="637" t="str">
        <f t="shared" si="1"/>
        <v>#VALUE!</v>
      </c>
      <c r="E20" s="636"/>
      <c r="F20" s="628"/>
      <c r="G20" s="638" t="str">
        <f t="shared" si="2"/>
        <v>#VALUE!</v>
      </c>
      <c r="H20" s="636"/>
      <c r="I20" s="628"/>
      <c r="J20" s="639">
        <f t="shared" si="3"/>
        <v>400</v>
      </c>
      <c r="K20" s="636"/>
      <c r="L20" s="628"/>
      <c r="M20" s="640" t="str">
        <f t="shared" si="4"/>
        <v>#VALUE!</v>
      </c>
    </row>
    <row r="21" ht="15.75" customHeight="1">
      <c r="A21" s="641">
        <v>43755.0</v>
      </c>
      <c r="B21" s="636"/>
      <c r="C21" s="628"/>
      <c r="D21" s="637" t="str">
        <f t="shared" si="1"/>
        <v>#VALUE!</v>
      </c>
      <c r="E21" s="631" t="s">
        <v>326</v>
      </c>
      <c r="F21" s="628"/>
      <c r="G21" s="638" t="str">
        <f t="shared" si="2"/>
        <v>#VALUE!</v>
      </c>
      <c r="H21" s="636">
        <v>-400.0</v>
      </c>
      <c r="I21" s="628"/>
      <c r="J21" s="639">
        <f t="shared" si="3"/>
        <v>0</v>
      </c>
      <c r="K21" s="636" t="s">
        <v>327</v>
      </c>
      <c r="L21" s="628"/>
      <c r="M21" s="640" t="str">
        <f t="shared" si="4"/>
        <v>#VALUE!</v>
      </c>
    </row>
    <row r="22" ht="15.75" customHeight="1">
      <c r="A22" s="632"/>
      <c r="B22" s="636"/>
      <c r="C22" s="628"/>
      <c r="D22" s="637" t="str">
        <f t="shared" si="1"/>
        <v>#VALUE!</v>
      </c>
      <c r="E22" s="636"/>
      <c r="F22" s="628"/>
      <c r="G22" s="638" t="str">
        <f t="shared" si="2"/>
        <v>#VALUE!</v>
      </c>
      <c r="H22" s="636"/>
      <c r="I22" s="628"/>
      <c r="J22" s="639">
        <f t="shared" si="3"/>
        <v>0</v>
      </c>
      <c r="K22" s="636"/>
      <c r="L22" s="628"/>
      <c r="M22" s="640" t="str">
        <f t="shared" si="4"/>
        <v>#VALUE!</v>
      </c>
    </row>
    <row r="23" ht="15.75" customHeight="1">
      <c r="A23" s="632"/>
      <c r="B23" s="636"/>
      <c r="C23" s="628"/>
      <c r="D23" s="637" t="str">
        <f t="shared" si="1"/>
        <v>#VALUE!</v>
      </c>
      <c r="E23" s="636"/>
      <c r="F23" s="628"/>
      <c r="G23" s="638" t="str">
        <f t="shared" si="2"/>
        <v>#VALUE!</v>
      </c>
      <c r="H23" s="636"/>
      <c r="I23" s="628"/>
      <c r="J23" s="639">
        <f t="shared" si="3"/>
        <v>0</v>
      </c>
      <c r="K23" s="636"/>
      <c r="L23" s="628"/>
      <c r="M23" s="640" t="str">
        <f t="shared" si="4"/>
        <v>#VALUE!</v>
      </c>
    </row>
    <row r="24" ht="15.75" customHeight="1">
      <c r="A24" s="632"/>
      <c r="B24" s="636"/>
      <c r="C24" s="628"/>
      <c r="D24" s="637" t="str">
        <f t="shared" si="1"/>
        <v>#VALUE!</v>
      </c>
      <c r="E24" s="636"/>
      <c r="F24" s="628"/>
      <c r="G24" s="638" t="str">
        <f t="shared" si="2"/>
        <v>#VALUE!</v>
      </c>
      <c r="H24" s="636"/>
      <c r="I24" s="628"/>
      <c r="J24" s="639">
        <f t="shared" si="3"/>
        <v>0</v>
      </c>
      <c r="K24" s="636"/>
      <c r="L24" s="628"/>
      <c r="M24" s="640" t="str">
        <f t="shared" si="4"/>
        <v>#VALUE!</v>
      </c>
    </row>
    <row r="25" ht="15.75" customHeight="1">
      <c r="A25" s="632"/>
      <c r="B25" s="636"/>
      <c r="C25" s="628"/>
      <c r="D25" s="637" t="str">
        <f t="shared" si="1"/>
        <v>#VALUE!</v>
      </c>
      <c r="E25" s="636"/>
      <c r="F25" s="628"/>
      <c r="G25" s="638" t="str">
        <f t="shared" si="2"/>
        <v>#VALUE!</v>
      </c>
      <c r="H25" s="636"/>
      <c r="I25" s="628"/>
      <c r="J25" s="639">
        <f t="shared" si="3"/>
        <v>0</v>
      </c>
      <c r="K25" s="636"/>
      <c r="L25" s="628"/>
      <c r="M25" s="640" t="str">
        <f t="shared" si="4"/>
        <v>#VALUE!</v>
      </c>
    </row>
    <row r="26" ht="15.75" customHeight="1">
      <c r="A26" s="632"/>
      <c r="B26" s="636"/>
      <c r="C26" s="628"/>
      <c r="D26" s="637" t="str">
        <f t="shared" si="1"/>
        <v>#VALUE!</v>
      </c>
      <c r="E26" s="636"/>
      <c r="F26" s="628"/>
      <c r="G26" s="638" t="str">
        <f t="shared" si="2"/>
        <v>#VALUE!</v>
      </c>
      <c r="H26" s="636"/>
      <c r="I26" s="628"/>
      <c r="J26" s="639">
        <f t="shared" si="3"/>
        <v>0</v>
      </c>
      <c r="K26" s="636"/>
      <c r="L26" s="628"/>
      <c r="M26" s="640" t="str">
        <f t="shared" si="4"/>
        <v>#VALUE!</v>
      </c>
    </row>
    <row r="27" ht="15.75" customHeight="1">
      <c r="A27" s="632"/>
      <c r="B27" s="636"/>
      <c r="C27" s="628"/>
      <c r="D27" s="637" t="str">
        <f t="shared" si="1"/>
        <v>#VALUE!</v>
      </c>
      <c r="E27" s="636"/>
      <c r="F27" s="628"/>
      <c r="G27" s="638" t="str">
        <f t="shared" si="2"/>
        <v>#VALUE!</v>
      </c>
      <c r="H27" s="636"/>
      <c r="I27" s="628"/>
      <c r="J27" s="639">
        <f t="shared" si="3"/>
        <v>0</v>
      </c>
      <c r="K27" s="636"/>
      <c r="L27" s="628"/>
      <c r="M27" s="640" t="str">
        <f t="shared" si="4"/>
        <v>#VALUE!</v>
      </c>
    </row>
    <row r="28" ht="15.75" customHeight="1">
      <c r="A28" s="632"/>
      <c r="B28" s="636"/>
      <c r="C28" s="628"/>
      <c r="D28" s="637" t="str">
        <f t="shared" si="1"/>
        <v>#VALUE!</v>
      </c>
      <c r="E28" s="636"/>
      <c r="F28" s="628"/>
      <c r="G28" s="638" t="str">
        <f t="shared" si="2"/>
        <v>#VALUE!</v>
      </c>
      <c r="H28" s="636"/>
      <c r="I28" s="628"/>
      <c r="J28" s="639">
        <f t="shared" si="3"/>
        <v>0</v>
      </c>
      <c r="K28" s="636"/>
      <c r="L28" s="628"/>
      <c r="M28" s="640" t="str">
        <f t="shared" si="4"/>
        <v>#VALUE!</v>
      </c>
    </row>
    <row r="29" ht="15.75" customHeight="1">
      <c r="A29" s="632"/>
      <c r="B29" s="636"/>
      <c r="C29" s="628"/>
      <c r="D29" s="637" t="str">
        <f t="shared" si="1"/>
        <v>#VALUE!</v>
      </c>
      <c r="E29" s="636"/>
      <c r="F29" s="628"/>
      <c r="G29" s="638" t="str">
        <f t="shared" si="2"/>
        <v>#VALUE!</v>
      </c>
      <c r="H29" s="636"/>
      <c r="I29" s="628"/>
      <c r="J29" s="639">
        <f t="shared" si="3"/>
        <v>0</v>
      </c>
      <c r="K29" s="636"/>
      <c r="L29" s="628"/>
      <c r="M29" s="640" t="str">
        <f t="shared" si="4"/>
        <v>#VALUE!</v>
      </c>
    </row>
    <row r="30" ht="15.75" customHeight="1">
      <c r="A30" s="632"/>
      <c r="B30" s="636"/>
      <c r="C30" s="628"/>
      <c r="D30" s="637" t="str">
        <f t="shared" si="1"/>
        <v>#VALUE!</v>
      </c>
      <c r="E30" s="636"/>
      <c r="F30" s="628"/>
      <c r="G30" s="638" t="str">
        <f t="shared" si="2"/>
        <v>#VALUE!</v>
      </c>
      <c r="H30" s="636"/>
      <c r="I30" s="628"/>
      <c r="J30" s="639">
        <f t="shared" si="3"/>
        <v>0</v>
      </c>
      <c r="K30" s="636"/>
      <c r="L30" s="628"/>
      <c r="M30" s="640" t="str">
        <f t="shared" si="4"/>
        <v>#VALUE!</v>
      </c>
    </row>
    <row r="31" ht="15.75" customHeight="1">
      <c r="A31" s="632"/>
      <c r="B31" s="636"/>
      <c r="C31" s="628"/>
      <c r="D31" s="637" t="str">
        <f t="shared" si="1"/>
        <v>#VALUE!</v>
      </c>
      <c r="E31" s="636"/>
      <c r="F31" s="628"/>
      <c r="G31" s="638" t="str">
        <f t="shared" si="2"/>
        <v>#VALUE!</v>
      </c>
      <c r="H31" s="636"/>
      <c r="I31" s="628"/>
      <c r="J31" s="639">
        <f t="shared" si="3"/>
        <v>0</v>
      </c>
      <c r="K31" s="636"/>
      <c r="L31" s="628"/>
      <c r="M31" s="640" t="str">
        <f t="shared" si="4"/>
        <v>#VALUE!</v>
      </c>
    </row>
    <row r="32" ht="15.75" customHeight="1">
      <c r="A32" s="632"/>
      <c r="B32" s="636"/>
      <c r="C32" s="628"/>
      <c r="D32" s="637" t="str">
        <f t="shared" si="1"/>
        <v>#VALUE!</v>
      </c>
      <c r="E32" s="636"/>
      <c r="F32" s="628"/>
      <c r="G32" s="638" t="str">
        <f t="shared" si="2"/>
        <v>#VALUE!</v>
      </c>
      <c r="H32" s="636"/>
      <c r="I32" s="628"/>
      <c r="J32" s="639">
        <f t="shared" si="3"/>
        <v>0</v>
      </c>
      <c r="K32" s="636"/>
      <c r="L32" s="628"/>
      <c r="M32" s="640" t="str">
        <f t="shared" si="4"/>
        <v>#VALUE!</v>
      </c>
    </row>
    <row r="33" ht="15.75" customHeight="1">
      <c r="A33" s="632"/>
      <c r="B33" s="636"/>
      <c r="C33" s="628"/>
      <c r="D33" s="637"/>
      <c r="E33" s="636"/>
      <c r="F33" s="628"/>
      <c r="G33" s="638"/>
      <c r="H33" s="636"/>
      <c r="I33" s="628"/>
      <c r="J33" s="639"/>
      <c r="K33" s="636"/>
      <c r="L33" s="628"/>
      <c r="M33" s="640"/>
    </row>
    <row r="34" ht="15.75" customHeight="1">
      <c r="A34" s="632"/>
      <c r="B34" s="636"/>
      <c r="C34" s="628"/>
      <c r="D34" s="637"/>
      <c r="E34" s="636"/>
      <c r="F34" s="628"/>
      <c r="G34" s="638"/>
      <c r="H34" s="636"/>
      <c r="I34" s="628"/>
      <c r="J34" s="639"/>
      <c r="K34" s="636"/>
      <c r="L34" s="628"/>
      <c r="M34" s="640"/>
    </row>
    <row r="35" ht="15.75" customHeight="1">
      <c r="A35" s="632"/>
      <c r="B35" s="636"/>
      <c r="C35" s="628"/>
      <c r="D35" s="637"/>
      <c r="E35" s="636"/>
      <c r="F35" s="628"/>
      <c r="G35" s="638"/>
      <c r="H35" s="636"/>
      <c r="I35" s="628"/>
      <c r="J35" s="639"/>
      <c r="K35" s="636"/>
      <c r="L35" s="628"/>
      <c r="M35" s="640"/>
    </row>
    <row r="36" ht="15.75" customHeight="1">
      <c r="A36" s="632"/>
      <c r="B36" s="636"/>
      <c r="C36" s="628"/>
      <c r="D36" s="637"/>
      <c r="E36" s="636"/>
      <c r="F36" s="628"/>
      <c r="G36" s="638"/>
      <c r="H36" s="636"/>
      <c r="I36" s="628"/>
      <c r="J36" s="639"/>
      <c r="K36" s="636"/>
      <c r="L36" s="628"/>
      <c r="M36" s="640"/>
    </row>
    <row r="37" ht="15.75" customHeight="1">
      <c r="B37" s="643"/>
      <c r="C37" s="631"/>
      <c r="D37" s="644"/>
      <c r="E37" s="631"/>
      <c r="F37" s="631"/>
      <c r="G37" s="645"/>
      <c r="H37" s="631"/>
      <c r="I37" s="631"/>
      <c r="J37" s="646"/>
      <c r="K37" s="631"/>
      <c r="L37" s="631"/>
      <c r="M37" s="647"/>
    </row>
    <row r="38" ht="15.75" customHeight="1">
      <c r="B38" s="643"/>
      <c r="C38" s="631"/>
      <c r="D38" s="644"/>
      <c r="E38" s="631"/>
      <c r="F38" s="631"/>
      <c r="G38" s="645"/>
      <c r="H38" s="631"/>
      <c r="I38" s="631"/>
      <c r="J38" s="646"/>
      <c r="K38" s="631"/>
      <c r="L38" s="631"/>
      <c r="M38" s="647"/>
    </row>
    <row r="39" ht="15.75" customHeight="1">
      <c r="B39" s="643"/>
      <c r="C39" s="631"/>
      <c r="D39" s="644"/>
      <c r="E39" s="631"/>
      <c r="F39" s="631"/>
      <c r="G39" s="645"/>
      <c r="H39" s="631"/>
      <c r="I39" s="631"/>
      <c r="J39" s="646"/>
      <c r="K39" s="631"/>
      <c r="L39" s="631"/>
      <c r="M39" s="647"/>
    </row>
    <row r="40" ht="15.75" customHeight="1">
      <c r="B40" s="643"/>
      <c r="C40" s="631"/>
      <c r="D40" s="644"/>
      <c r="E40" s="631"/>
      <c r="F40" s="631"/>
      <c r="G40" s="645"/>
      <c r="H40" s="631"/>
      <c r="I40" s="631"/>
      <c r="J40" s="646"/>
      <c r="K40" s="631"/>
      <c r="L40" s="631"/>
      <c r="M40" s="647"/>
    </row>
    <row r="41" ht="15.75" customHeight="1">
      <c r="B41" s="643"/>
      <c r="C41" s="631"/>
      <c r="D41" s="644"/>
      <c r="E41" s="631"/>
      <c r="F41" s="631"/>
      <c r="G41" s="645"/>
      <c r="H41" s="631"/>
      <c r="I41" s="631"/>
      <c r="J41" s="646"/>
      <c r="K41" s="631"/>
      <c r="L41" s="631"/>
      <c r="M41" s="647"/>
    </row>
    <row r="42" ht="15.75" customHeight="1">
      <c r="B42" s="643"/>
      <c r="C42" s="631"/>
      <c r="D42" s="644"/>
      <c r="E42" s="631"/>
      <c r="F42" s="631"/>
      <c r="G42" s="645"/>
      <c r="H42" s="631"/>
      <c r="I42" s="631"/>
      <c r="J42" s="646"/>
      <c r="K42" s="631"/>
      <c r="L42" s="631"/>
      <c r="M42" s="647"/>
    </row>
    <row r="43" ht="15.75" customHeight="1">
      <c r="B43" s="643"/>
      <c r="C43" s="631"/>
      <c r="D43" s="644"/>
      <c r="E43" s="631"/>
      <c r="F43" s="631"/>
      <c r="G43" s="645"/>
      <c r="H43" s="631"/>
      <c r="I43" s="631"/>
      <c r="J43" s="646"/>
      <c r="K43" s="631"/>
      <c r="L43" s="631"/>
      <c r="M43" s="647"/>
    </row>
    <row r="44" ht="15.75" customHeight="1">
      <c r="B44" s="643"/>
      <c r="C44" s="631"/>
      <c r="D44" s="644"/>
      <c r="E44" s="631"/>
      <c r="F44" s="631"/>
      <c r="G44" s="645"/>
      <c r="H44" s="631"/>
      <c r="I44" s="631"/>
      <c r="J44" s="646"/>
      <c r="K44" s="631"/>
      <c r="L44" s="631"/>
      <c r="M44" s="647"/>
    </row>
    <row r="45" ht="15.75" customHeight="1">
      <c r="B45" s="643"/>
      <c r="C45" s="631"/>
      <c r="D45" s="644"/>
      <c r="E45" s="631"/>
      <c r="F45" s="631"/>
      <c r="G45" s="645"/>
      <c r="H45" s="631"/>
      <c r="I45" s="631"/>
      <c r="J45" s="646"/>
      <c r="K45" s="631"/>
      <c r="L45" s="631"/>
      <c r="M45" s="647"/>
    </row>
    <row r="46" ht="15.75" customHeight="1">
      <c r="B46" s="643"/>
      <c r="C46" s="631"/>
      <c r="D46" s="644"/>
      <c r="E46" s="631"/>
      <c r="F46" s="631"/>
      <c r="G46" s="645"/>
      <c r="H46" s="631"/>
      <c r="I46" s="631"/>
      <c r="J46" s="646"/>
      <c r="K46" s="631"/>
      <c r="L46" s="631"/>
      <c r="M46" s="647"/>
    </row>
    <row r="47" ht="15.75" customHeight="1">
      <c r="B47" s="643"/>
      <c r="C47" s="631"/>
      <c r="D47" s="644"/>
      <c r="E47" s="631"/>
      <c r="F47" s="631"/>
      <c r="G47" s="645"/>
      <c r="H47" s="631"/>
      <c r="I47" s="631"/>
      <c r="J47" s="646"/>
      <c r="K47" s="631"/>
      <c r="L47" s="631"/>
      <c r="M47" s="647"/>
    </row>
    <row r="48" ht="15.75" customHeight="1">
      <c r="B48" s="643"/>
      <c r="C48" s="631"/>
      <c r="D48" s="644"/>
      <c r="E48" s="631"/>
      <c r="F48" s="631"/>
      <c r="G48" s="645"/>
      <c r="H48" s="631"/>
      <c r="I48" s="631"/>
      <c r="J48" s="646"/>
      <c r="K48" s="631"/>
      <c r="L48" s="631"/>
      <c r="M48" s="647"/>
    </row>
    <row r="49" ht="15.75" customHeight="1">
      <c r="B49" s="643"/>
      <c r="C49" s="631"/>
      <c r="D49" s="644"/>
      <c r="E49" s="631"/>
      <c r="F49" s="631"/>
      <c r="G49" s="645"/>
      <c r="H49" s="631"/>
      <c r="I49" s="631"/>
      <c r="J49" s="646"/>
      <c r="K49" s="631"/>
      <c r="L49" s="631"/>
      <c r="M49" s="647"/>
    </row>
    <row r="50" ht="15.75" customHeight="1">
      <c r="B50" s="643"/>
      <c r="C50" s="631"/>
      <c r="D50" s="644"/>
      <c r="E50" s="631"/>
      <c r="F50" s="631"/>
      <c r="G50" s="645"/>
      <c r="H50" s="631"/>
      <c r="I50" s="631"/>
      <c r="J50" s="646"/>
      <c r="K50" s="631"/>
      <c r="L50" s="631"/>
      <c r="M50" s="647"/>
    </row>
    <row r="51" ht="15.75" customHeight="1">
      <c r="B51" s="643"/>
      <c r="C51" s="631"/>
      <c r="D51" s="644"/>
      <c r="E51" s="631"/>
      <c r="F51" s="631"/>
      <c r="G51" s="645"/>
      <c r="H51" s="631"/>
      <c r="I51" s="631"/>
      <c r="J51" s="646"/>
      <c r="K51" s="631"/>
      <c r="L51" s="631"/>
      <c r="M51" s="647"/>
    </row>
    <row r="52" ht="15.75" customHeight="1">
      <c r="B52" s="643"/>
      <c r="C52" s="631"/>
      <c r="D52" s="644"/>
      <c r="E52" s="631"/>
      <c r="F52" s="631"/>
      <c r="G52" s="645"/>
      <c r="H52" s="631"/>
      <c r="I52" s="631"/>
      <c r="J52" s="646"/>
      <c r="K52" s="631"/>
      <c r="L52" s="631"/>
      <c r="M52" s="647"/>
    </row>
    <row r="53" ht="15.75" customHeight="1">
      <c r="B53" s="643"/>
      <c r="C53" s="631"/>
      <c r="D53" s="644"/>
      <c r="E53" s="631"/>
      <c r="F53" s="631"/>
      <c r="G53" s="645"/>
      <c r="H53" s="631"/>
      <c r="I53" s="631"/>
      <c r="J53" s="646"/>
      <c r="K53" s="631"/>
      <c r="L53" s="631"/>
      <c r="M53" s="647"/>
    </row>
    <row r="54" ht="15.75" customHeight="1">
      <c r="B54" s="643"/>
      <c r="C54" s="631"/>
      <c r="D54" s="644"/>
      <c r="E54" s="631"/>
      <c r="F54" s="631"/>
      <c r="G54" s="645"/>
      <c r="H54" s="631"/>
      <c r="I54" s="631"/>
      <c r="J54" s="646"/>
      <c r="K54" s="631"/>
      <c r="L54" s="631"/>
      <c r="M54" s="647"/>
    </row>
    <row r="55" ht="15.75" customHeight="1">
      <c r="B55" s="643"/>
      <c r="C55" s="631"/>
      <c r="D55" s="644"/>
      <c r="E55" s="631"/>
      <c r="F55" s="631"/>
      <c r="G55" s="645"/>
      <c r="H55" s="631"/>
      <c r="I55" s="631"/>
      <c r="J55" s="646"/>
      <c r="K55" s="631"/>
      <c r="L55" s="631"/>
      <c r="M55" s="647"/>
    </row>
    <row r="56" ht="15.75" customHeight="1">
      <c r="B56" s="643"/>
      <c r="C56" s="631"/>
      <c r="D56" s="644"/>
      <c r="E56" s="631"/>
      <c r="F56" s="631"/>
      <c r="G56" s="645"/>
      <c r="H56" s="631"/>
      <c r="I56" s="631"/>
      <c r="J56" s="646"/>
      <c r="K56" s="631"/>
      <c r="L56" s="631"/>
      <c r="M56" s="647"/>
    </row>
    <row r="57" ht="15.75" customHeight="1">
      <c r="B57" s="643"/>
      <c r="C57" s="631"/>
      <c r="D57" s="644"/>
      <c r="E57" s="631"/>
      <c r="F57" s="631"/>
      <c r="G57" s="645"/>
      <c r="H57" s="631"/>
      <c r="I57" s="631"/>
      <c r="J57" s="646"/>
      <c r="K57" s="631"/>
      <c r="L57" s="631"/>
      <c r="M57" s="647"/>
    </row>
    <row r="58" ht="15.75" customHeight="1">
      <c r="B58" s="643"/>
      <c r="C58" s="631"/>
      <c r="D58" s="644"/>
      <c r="E58" s="631"/>
      <c r="F58" s="631"/>
      <c r="G58" s="645"/>
      <c r="H58" s="631"/>
      <c r="I58" s="631"/>
      <c r="J58" s="646"/>
      <c r="K58" s="631"/>
      <c r="L58" s="631"/>
      <c r="M58" s="647"/>
    </row>
    <row r="59" ht="15.75" customHeight="1">
      <c r="B59" s="643"/>
      <c r="C59" s="631"/>
      <c r="D59" s="644"/>
      <c r="E59" s="631"/>
      <c r="F59" s="631"/>
      <c r="G59" s="645"/>
      <c r="H59" s="631"/>
      <c r="I59" s="631"/>
      <c r="J59" s="646"/>
      <c r="K59" s="631"/>
      <c r="L59" s="631"/>
      <c r="M59" s="647"/>
    </row>
    <row r="60" ht="15.75" customHeight="1">
      <c r="B60" s="643"/>
      <c r="C60" s="631"/>
      <c r="D60" s="644"/>
      <c r="E60" s="631"/>
      <c r="F60" s="631"/>
      <c r="G60" s="645"/>
      <c r="H60" s="631"/>
      <c r="I60" s="631"/>
      <c r="J60" s="646"/>
      <c r="K60" s="631"/>
      <c r="L60" s="631"/>
      <c r="M60" s="647"/>
    </row>
    <row r="61" ht="15.75" customHeight="1">
      <c r="B61" s="643"/>
      <c r="C61" s="631"/>
      <c r="D61" s="644"/>
      <c r="E61" s="631"/>
      <c r="F61" s="631"/>
      <c r="G61" s="645"/>
      <c r="H61" s="631"/>
      <c r="I61" s="631"/>
      <c r="J61" s="646"/>
      <c r="K61" s="631"/>
      <c r="L61" s="631"/>
      <c r="M61" s="647"/>
    </row>
    <row r="62" ht="15.75" customHeight="1">
      <c r="B62" s="643"/>
      <c r="C62" s="631"/>
      <c r="D62" s="644"/>
      <c r="E62" s="631"/>
      <c r="F62" s="631"/>
      <c r="G62" s="645"/>
      <c r="H62" s="631"/>
      <c r="I62" s="631"/>
      <c r="J62" s="646"/>
      <c r="K62" s="631"/>
      <c r="L62" s="631"/>
      <c r="M62" s="647"/>
    </row>
    <row r="63" ht="15.75" customHeight="1">
      <c r="B63" s="643"/>
      <c r="C63" s="631"/>
      <c r="D63" s="644"/>
      <c r="E63" s="631"/>
      <c r="F63" s="631"/>
      <c r="G63" s="645"/>
      <c r="H63" s="631"/>
      <c r="I63" s="631"/>
      <c r="J63" s="646"/>
      <c r="K63" s="631"/>
      <c r="L63" s="631"/>
      <c r="M63" s="647"/>
    </row>
    <row r="64" ht="15.75" customHeight="1">
      <c r="B64" s="643"/>
      <c r="C64" s="631"/>
      <c r="D64" s="644"/>
      <c r="E64" s="631"/>
      <c r="F64" s="631"/>
      <c r="G64" s="645"/>
      <c r="H64" s="631"/>
      <c r="I64" s="631"/>
      <c r="J64" s="646"/>
      <c r="K64" s="631"/>
      <c r="L64" s="631"/>
      <c r="M64" s="647"/>
    </row>
    <row r="65" ht="15.75" customHeight="1">
      <c r="B65" s="643"/>
      <c r="C65" s="631"/>
      <c r="D65" s="644"/>
      <c r="E65" s="631"/>
      <c r="F65" s="631"/>
      <c r="G65" s="645"/>
      <c r="H65" s="631"/>
      <c r="I65" s="631"/>
      <c r="J65" s="646"/>
      <c r="K65" s="631"/>
      <c r="L65" s="631"/>
      <c r="M65" s="647"/>
    </row>
    <row r="66" ht="15.75" customHeight="1">
      <c r="B66" s="643"/>
      <c r="C66" s="631"/>
      <c r="D66" s="644"/>
      <c r="E66" s="631"/>
      <c r="F66" s="631"/>
      <c r="G66" s="645"/>
      <c r="H66" s="631"/>
      <c r="I66" s="631"/>
      <c r="J66" s="646"/>
      <c r="K66" s="631"/>
      <c r="L66" s="631"/>
      <c r="M66" s="647"/>
    </row>
    <row r="67" ht="15.75" customHeight="1">
      <c r="B67" s="643"/>
      <c r="C67" s="631"/>
      <c r="D67" s="644"/>
      <c r="E67" s="631"/>
      <c r="F67" s="631"/>
      <c r="G67" s="645"/>
      <c r="H67" s="631"/>
      <c r="I67" s="631"/>
      <c r="J67" s="646"/>
      <c r="K67" s="631"/>
      <c r="L67" s="631"/>
      <c r="M67" s="647"/>
    </row>
    <row r="68" ht="15.75" customHeight="1">
      <c r="B68" s="643"/>
      <c r="C68" s="631"/>
      <c r="D68" s="644"/>
      <c r="E68" s="631"/>
      <c r="F68" s="631"/>
      <c r="G68" s="645"/>
      <c r="H68" s="631"/>
      <c r="I68" s="631"/>
      <c r="J68" s="646"/>
      <c r="K68" s="631"/>
      <c r="L68" s="631"/>
      <c r="M68" s="647"/>
    </row>
    <row r="69" ht="15.75" customHeight="1">
      <c r="B69" s="643"/>
      <c r="C69" s="631"/>
      <c r="D69" s="644"/>
      <c r="E69" s="631"/>
      <c r="F69" s="631"/>
      <c r="G69" s="645"/>
      <c r="H69" s="631"/>
      <c r="I69" s="631"/>
      <c r="J69" s="646"/>
      <c r="K69" s="631"/>
      <c r="L69" s="631"/>
      <c r="M69" s="647"/>
    </row>
    <row r="70" ht="15.75" customHeight="1">
      <c r="B70" s="643"/>
      <c r="C70" s="631"/>
      <c r="D70" s="644"/>
      <c r="E70" s="631"/>
      <c r="F70" s="631"/>
      <c r="G70" s="645"/>
      <c r="H70" s="631"/>
      <c r="I70" s="631"/>
      <c r="J70" s="646"/>
      <c r="K70" s="631"/>
      <c r="L70" s="631"/>
      <c r="M70" s="647"/>
    </row>
    <row r="71" ht="15.75" customHeight="1">
      <c r="B71" s="643"/>
      <c r="C71" s="631"/>
      <c r="D71" s="644"/>
      <c r="E71" s="631"/>
      <c r="F71" s="631"/>
      <c r="G71" s="645"/>
      <c r="H71" s="631"/>
      <c r="I71" s="631"/>
      <c r="J71" s="646"/>
      <c r="K71" s="631"/>
      <c r="L71" s="631"/>
      <c r="M71" s="647"/>
    </row>
    <row r="72" ht="15.75" customHeight="1">
      <c r="B72" s="643"/>
      <c r="C72" s="631"/>
      <c r="D72" s="644"/>
      <c r="E72" s="631"/>
      <c r="F72" s="631"/>
      <c r="G72" s="645"/>
      <c r="H72" s="631"/>
      <c r="I72" s="631"/>
      <c r="J72" s="646"/>
      <c r="K72" s="631"/>
      <c r="L72" s="631"/>
      <c r="M72" s="647"/>
    </row>
    <row r="73" ht="15.75" customHeight="1">
      <c r="B73" s="643"/>
      <c r="C73" s="631"/>
      <c r="D73" s="644"/>
      <c r="E73" s="631"/>
      <c r="F73" s="631"/>
      <c r="G73" s="645"/>
      <c r="H73" s="631"/>
      <c r="I73" s="631"/>
      <c r="J73" s="646"/>
      <c r="K73" s="631"/>
      <c r="L73" s="631"/>
      <c r="M73" s="647"/>
    </row>
    <row r="74" ht="15.75" customHeight="1">
      <c r="B74" s="643"/>
      <c r="C74" s="631"/>
      <c r="D74" s="644"/>
      <c r="E74" s="631"/>
      <c r="F74" s="631"/>
      <c r="G74" s="645"/>
      <c r="H74" s="631"/>
      <c r="I74" s="631"/>
      <c r="J74" s="646"/>
      <c r="K74" s="631"/>
      <c r="L74" s="631"/>
      <c r="M74" s="647"/>
    </row>
    <row r="75" ht="15.75" customHeight="1">
      <c r="B75" s="643"/>
      <c r="C75" s="631"/>
      <c r="D75" s="644"/>
      <c r="E75" s="631"/>
      <c r="F75" s="631"/>
      <c r="G75" s="645"/>
      <c r="H75" s="631"/>
      <c r="I75" s="631"/>
      <c r="J75" s="646"/>
      <c r="K75" s="631"/>
      <c r="L75" s="631"/>
      <c r="M75" s="647"/>
    </row>
    <row r="76" ht="15.75" customHeight="1">
      <c r="B76" s="643"/>
      <c r="C76" s="631"/>
      <c r="D76" s="644"/>
      <c r="E76" s="631"/>
      <c r="F76" s="631"/>
      <c r="G76" s="645"/>
      <c r="H76" s="631"/>
      <c r="I76" s="631"/>
      <c r="J76" s="646"/>
      <c r="K76" s="631"/>
      <c r="L76" s="631"/>
      <c r="M76" s="647"/>
    </row>
    <row r="77" ht="15.75" customHeight="1">
      <c r="B77" s="643"/>
      <c r="C77" s="631"/>
      <c r="D77" s="644"/>
      <c r="E77" s="631"/>
      <c r="F77" s="631"/>
      <c r="G77" s="645"/>
      <c r="H77" s="631"/>
      <c r="I77" s="631"/>
      <c r="J77" s="646"/>
      <c r="K77" s="631"/>
      <c r="L77" s="631"/>
      <c r="M77" s="647"/>
    </row>
    <row r="78" ht="15.75" customHeight="1">
      <c r="B78" s="643"/>
      <c r="C78" s="631"/>
      <c r="D78" s="644"/>
      <c r="E78" s="631"/>
      <c r="F78" s="631"/>
      <c r="G78" s="645"/>
      <c r="H78" s="631"/>
      <c r="I78" s="631"/>
      <c r="J78" s="646"/>
      <c r="K78" s="631"/>
      <c r="L78" s="631"/>
      <c r="M78" s="647"/>
    </row>
    <row r="79" ht="15.75" customHeight="1">
      <c r="B79" s="643"/>
      <c r="C79" s="631"/>
      <c r="D79" s="644"/>
      <c r="E79" s="631"/>
      <c r="F79" s="631"/>
      <c r="G79" s="645"/>
      <c r="H79" s="631"/>
      <c r="I79" s="631"/>
      <c r="J79" s="646"/>
      <c r="K79" s="631"/>
      <c r="L79" s="631"/>
      <c r="M79" s="647"/>
    </row>
    <row r="80" ht="15.75" customHeight="1">
      <c r="B80" s="643"/>
      <c r="C80" s="631"/>
      <c r="D80" s="644"/>
      <c r="E80" s="631"/>
      <c r="F80" s="631"/>
      <c r="G80" s="645"/>
      <c r="H80" s="631"/>
      <c r="I80" s="631"/>
      <c r="J80" s="646"/>
      <c r="K80" s="631"/>
      <c r="L80" s="631"/>
      <c r="M80" s="647"/>
    </row>
    <row r="81" ht="15.75" customHeight="1">
      <c r="B81" s="643"/>
      <c r="C81" s="631"/>
      <c r="D81" s="644"/>
      <c r="E81" s="631"/>
      <c r="F81" s="631"/>
      <c r="G81" s="645"/>
      <c r="H81" s="631"/>
      <c r="I81" s="631"/>
      <c r="J81" s="646"/>
      <c r="K81" s="631"/>
      <c r="L81" s="631"/>
      <c r="M81" s="647"/>
    </row>
    <row r="82" ht="15.75" customHeight="1">
      <c r="B82" s="643"/>
      <c r="C82" s="631"/>
      <c r="D82" s="644"/>
      <c r="E82" s="631"/>
      <c r="F82" s="631"/>
      <c r="G82" s="645"/>
      <c r="H82" s="631"/>
      <c r="I82" s="631"/>
      <c r="J82" s="646"/>
      <c r="K82" s="631"/>
      <c r="L82" s="631"/>
      <c r="M82" s="647"/>
    </row>
    <row r="83" ht="15.75" customHeight="1">
      <c r="B83" s="643"/>
      <c r="C83" s="631"/>
      <c r="D83" s="644"/>
      <c r="E83" s="631"/>
      <c r="F83" s="631"/>
      <c r="G83" s="645"/>
      <c r="H83" s="631"/>
      <c r="I83" s="631"/>
      <c r="J83" s="646"/>
      <c r="K83" s="631"/>
      <c r="L83" s="631"/>
      <c r="M83" s="647"/>
    </row>
    <row r="84" ht="15.75" customHeight="1">
      <c r="B84" s="643"/>
      <c r="C84" s="631"/>
      <c r="D84" s="644"/>
      <c r="E84" s="631"/>
      <c r="F84" s="631"/>
      <c r="G84" s="645"/>
      <c r="H84" s="631"/>
      <c r="I84" s="631"/>
      <c r="J84" s="646"/>
      <c r="K84" s="631"/>
      <c r="L84" s="631"/>
      <c r="M84" s="647"/>
    </row>
    <row r="85" ht="15.75" customHeight="1">
      <c r="B85" s="643"/>
      <c r="C85" s="631"/>
      <c r="D85" s="644"/>
      <c r="E85" s="631"/>
      <c r="F85" s="631"/>
      <c r="G85" s="645"/>
      <c r="H85" s="631"/>
      <c r="I85" s="631"/>
      <c r="J85" s="646"/>
      <c r="K85" s="631"/>
      <c r="L85" s="631"/>
      <c r="M85" s="647"/>
    </row>
    <row r="86" ht="15.75" customHeight="1">
      <c r="B86" s="643"/>
      <c r="C86" s="631"/>
      <c r="D86" s="644"/>
      <c r="E86" s="631"/>
      <c r="F86" s="631"/>
      <c r="G86" s="645"/>
      <c r="H86" s="631"/>
      <c r="I86" s="631"/>
      <c r="J86" s="646"/>
      <c r="K86" s="631"/>
      <c r="L86" s="631"/>
      <c r="M86" s="647"/>
    </row>
    <row r="87" ht="15.75" customHeight="1">
      <c r="B87" s="643"/>
      <c r="C87" s="631"/>
      <c r="D87" s="644"/>
      <c r="E87" s="631"/>
      <c r="F87" s="631"/>
      <c r="G87" s="645"/>
      <c r="H87" s="631"/>
      <c r="I87" s="631"/>
      <c r="J87" s="646"/>
      <c r="K87" s="631"/>
      <c r="L87" s="631"/>
      <c r="M87" s="647"/>
    </row>
    <row r="88" ht="15.75" customHeight="1">
      <c r="B88" s="643"/>
      <c r="C88" s="631"/>
      <c r="D88" s="644"/>
      <c r="E88" s="631"/>
      <c r="F88" s="631"/>
      <c r="G88" s="645"/>
      <c r="H88" s="631"/>
      <c r="I88" s="631"/>
      <c r="J88" s="646"/>
      <c r="K88" s="631"/>
      <c r="L88" s="631"/>
      <c r="M88" s="647"/>
    </row>
    <row r="89" ht="15.75" customHeight="1">
      <c r="B89" s="643"/>
      <c r="C89" s="631"/>
      <c r="D89" s="644"/>
      <c r="E89" s="631"/>
      <c r="F89" s="631"/>
      <c r="G89" s="645"/>
      <c r="H89" s="631"/>
      <c r="I89" s="631"/>
      <c r="J89" s="646"/>
      <c r="K89" s="631"/>
      <c r="L89" s="631"/>
      <c r="M89" s="647"/>
    </row>
    <row r="90" ht="15.75" customHeight="1">
      <c r="B90" s="643"/>
      <c r="C90" s="631"/>
      <c r="D90" s="644"/>
      <c r="E90" s="631"/>
      <c r="F90" s="631"/>
      <c r="G90" s="645"/>
      <c r="H90" s="631"/>
      <c r="I90" s="631"/>
      <c r="J90" s="646"/>
      <c r="K90" s="631"/>
      <c r="L90" s="631"/>
      <c r="M90" s="647"/>
    </row>
    <row r="91" ht="15.75" customHeight="1">
      <c r="B91" s="643"/>
      <c r="C91" s="631"/>
      <c r="D91" s="644"/>
      <c r="E91" s="631"/>
      <c r="F91" s="631"/>
      <c r="G91" s="645"/>
      <c r="H91" s="631"/>
      <c r="I91" s="631"/>
      <c r="J91" s="646"/>
      <c r="K91" s="631"/>
      <c r="L91" s="631"/>
      <c r="M91" s="647"/>
    </row>
    <row r="92" ht="15.75" customHeight="1">
      <c r="B92" s="643"/>
      <c r="C92" s="631"/>
      <c r="D92" s="644"/>
      <c r="E92" s="631"/>
      <c r="F92" s="631"/>
      <c r="G92" s="645"/>
      <c r="H92" s="631"/>
      <c r="I92" s="631"/>
      <c r="J92" s="646"/>
      <c r="K92" s="631"/>
      <c r="L92" s="631"/>
      <c r="M92" s="647"/>
    </row>
    <row r="93" ht="15.75" customHeight="1">
      <c r="B93" s="643"/>
      <c r="C93" s="631"/>
      <c r="D93" s="644"/>
      <c r="E93" s="631"/>
      <c r="F93" s="631"/>
      <c r="G93" s="645"/>
      <c r="H93" s="631"/>
      <c r="I93" s="631"/>
      <c r="J93" s="646"/>
      <c r="K93" s="631"/>
      <c r="L93" s="631"/>
      <c r="M93" s="647"/>
    </row>
    <row r="94" ht="15.75" customHeight="1">
      <c r="B94" s="643"/>
      <c r="C94" s="631"/>
      <c r="D94" s="644"/>
      <c r="E94" s="631"/>
      <c r="F94" s="631"/>
      <c r="G94" s="645"/>
      <c r="H94" s="631"/>
      <c r="I94" s="631"/>
      <c r="J94" s="646"/>
      <c r="K94" s="631"/>
      <c r="L94" s="631"/>
      <c r="M94" s="647"/>
    </row>
    <row r="95" ht="15.75" customHeight="1">
      <c r="B95" s="643"/>
      <c r="C95" s="631"/>
      <c r="D95" s="644"/>
      <c r="E95" s="631"/>
      <c r="F95" s="631"/>
      <c r="G95" s="645"/>
      <c r="H95" s="631"/>
      <c r="I95" s="631"/>
      <c r="J95" s="646"/>
      <c r="K95" s="631"/>
      <c r="L95" s="631"/>
      <c r="M95" s="647"/>
    </row>
    <row r="96" ht="15.75" customHeight="1">
      <c r="B96" s="643"/>
      <c r="C96" s="631"/>
      <c r="D96" s="644"/>
      <c r="E96" s="631"/>
      <c r="F96" s="631"/>
      <c r="G96" s="645"/>
      <c r="H96" s="631"/>
      <c r="I96" s="631"/>
      <c r="J96" s="646"/>
      <c r="K96" s="631"/>
      <c r="L96" s="631"/>
      <c r="M96" s="647"/>
    </row>
    <row r="97" ht="15.75" customHeight="1">
      <c r="B97" s="643"/>
      <c r="C97" s="631"/>
      <c r="D97" s="644"/>
      <c r="E97" s="631"/>
      <c r="F97" s="631"/>
      <c r="G97" s="645"/>
      <c r="H97" s="631"/>
      <c r="I97" s="631"/>
      <c r="J97" s="646"/>
      <c r="K97" s="631"/>
      <c r="L97" s="631"/>
      <c r="M97" s="647"/>
    </row>
    <row r="98" ht="15.75" customHeight="1">
      <c r="B98" s="643"/>
      <c r="C98" s="631"/>
      <c r="D98" s="644"/>
      <c r="E98" s="631"/>
      <c r="F98" s="631"/>
      <c r="G98" s="645"/>
      <c r="H98" s="631"/>
      <c r="I98" s="631"/>
      <c r="J98" s="646"/>
      <c r="K98" s="631"/>
      <c r="L98" s="631"/>
      <c r="M98" s="647"/>
    </row>
    <row r="99" ht="15.75" customHeight="1">
      <c r="B99" s="643"/>
      <c r="C99" s="631"/>
      <c r="D99" s="644"/>
      <c r="E99" s="631"/>
      <c r="F99" s="631"/>
      <c r="G99" s="645"/>
      <c r="H99" s="631"/>
      <c r="I99" s="631"/>
      <c r="J99" s="646"/>
      <c r="K99" s="631"/>
      <c r="L99" s="631"/>
      <c r="M99" s="647"/>
    </row>
    <row r="100" ht="15.75" customHeight="1">
      <c r="B100" s="643"/>
      <c r="C100" s="631"/>
      <c r="D100" s="644"/>
      <c r="E100" s="631"/>
      <c r="F100" s="631"/>
      <c r="G100" s="645"/>
      <c r="H100" s="631"/>
      <c r="I100" s="631"/>
      <c r="J100" s="646"/>
      <c r="K100" s="631"/>
      <c r="L100" s="631"/>
      <c r="M100" s="647"/>
    </row>
    <row r="101" ht="15.75" customHeight="1">
      <c r="B101" s="643"/>
      <c r="C101" s="631"/>
      <c r="D101" s="644"/>
      <c r="E101" s="631"/>
      <c r="F101" s="631"/>
      <c r="G101" s="645"/>
      <c r="H101" s="631"/>
      <c r="I101" s="631"/>
      <c r="J101" s="646"/>
      <c r="K101" s="631"/>
      <c r="L101" s="631"/>
      <c r="M101" s="647"/>
    </row>
    <row r="102" ht="15.75" customHeight="1">
      <c r="B102" s="643"/>
      <c r="C102" s="631"/>
      <c r="D102" s="644"/>
      <c r="E102" s="631"/>
      <c r="F102" s="631"/>
      <c r="G102" s="645"/>
      <c r="H102" s="631"/>
      <c r="I102" s="631"/>
      <c r="J102" s="646"/>
      <c r="K102" s="631"/>
      <c r="L102" s="631"/>
      <c r="M102" s="647"/>
    </row>
    <row r="103" ht="15.75" customHeight="1">
      <c r="B103" s="643"/>
      <c r="C103" s="631"/>
      <c r="D103" s="644"/>
      <c r="E103" s="631"/>
      <c r="F103" s="631"/>
      <c r="G103" s="645"/>
      <c r="H103" s="631"/>
      <c r="I103" s="631"/>
      <c r="J103" s="646"/>
      <c r="K103" s="631"/>
      <c r="L103" s="631"/>
      <c r="M103" s="647"/>
    </row>
    <row r="104" ht="15.75" customHeight="1">
      <c r="B104" s="643"/>
      <c r="C104" s="631"/>
      <c r="D104" s="644"/>
      <c r="E104" s="631"/>
      <c r="F104" s="631"/>
      <c r="G104" s="645"/>
      <c r="H104" s="631"/>
      <c r="I104" s="631"/>
      <c r="J104" s="646"/>
      <c r="K104" s="631"/>
      <c r="L104" s="631"/>
      <c r="M104" s="647"/>
    </row>
    <row r="105" ht="15.75" customHeight="1">
      <c r="B105" s="643"/>
      <c r="C105" s="631"/>
      <c r="D105" s="644"/>
      <c r="E105" s="631"/>
      <c r="F105" s="631"/>
      <c r="G105" s="645"/>
      <c r="H105" s="631"/>
      <c r="I105" s="631"/>
      <c r="J105" s="646"/>
      <c r="K105" s="631"/>
      <c r="L105" s="631"/>
      <c r="M105" s="647"/>
    </row>
    <row r="106" ht="15.75" customHeight="1">
      <c r="B106" s="643"/>
      <c r="C106" s="631"/>
      <c r="D106" s="644"/>
      <c r="E106" s="631"/>
      <c r="F106" s="631"/>
      <c r="G106" s="645"/>
      <c r="H106" s="631"/>
      <c r="I106" s="631"/>
      <c r="J106" s="646"/>
      <c r="K106" s="631"/>
      <c r="L106" s="631"/>
      <c r="M106" s="647"/>
    </row>
    <row r="107" ht="15.75" customHeight="1">
      <c r="B107" s="643"/>
      <c r="C107" s="631"/>
      <c r="D107" s="644"/>
      <c r="E107" s="631"/>
      <c r="F107" s="631"/>
      <c r="G107" s="645"/>
      <c r="H107" s="631"/>
      <c r="I107" s="631"/>
      <c r="J107" s="646"/>
      <c r="K107" s="631"/>
      <c r="L107" s="631"/>
      <c r="M107" s="647"/>
    </row>
    <row r="108" ht="15.75" customHeight="1">
      <c r="B108" s="643"/>
      <c r="C108" s="631"/>
      <c r="D108" s="644"/>
      <c r="E108" s="631"/>
      <c r="F108" s="631"/>
      <c r="G108" s="645"/>
      <c r="H108" s="631"/>
      <c r="I108" s="631"/>
      <c r="J108" s="646"/>
      <c r="K108" s="631"/>
      <c r="L108" s="631"/>
      <c r="M108" s="647"/>
    </row>
    <row r="109" ht="15.75" customHeight="1">
      <c r="B109" s="643"/>
      <c r="C109" s="631"/>
      <c r="D109" s="644"/>
      <c r="E109" s="631"/>
      <c r="F109" s="631"/>
      <c r="G109" s="645"/>
      <c r="H109" s="631"/>
      <c r="I109" s="631"/>
      <c r="J109" s="646"/>
      <c r="K109" s="631"/>
      <c r="L109" s="631"/>
      <c r="M109" s="647"/>
    </row>
    <row r="110" ht="15.75" customHeight="1">
      <c r="B110" s="643"/>
      <c r="C110" s="631"/>
      <c r="D110" s="644"/>
      <c r="E110" s="631"/>
      <c r="F110" s="631"/>
      <c r="G110" s="645"/>
      <c r="H110" s="631"/>
      <c r="I110" s="631"/>
      <c r="J110" s="646"/>
      <c r="K110" s="631"/>
      <c r="L110" s="631"/>
      <c r="M110" s="647"/>
    </row>
    <row r="111" ht="15.75" customHeight="1">
      <c r="B111" s="643"/>
      <c r="C111" s="631"/>
      <c r="D111" s="644"/>
      <c r="E111" s="631"/>
      <c r="F111" s="631"/>
      <c r="G111" s="645"/>
      <c r="H111" s="631"/>
      <c r="I111" s="631"/>
      <c r="J111" s="646"/>
      <c r="K111" s="631"/>
      <c r="L111" s="631"/>
      <c r="M111" s="647"/>
    </row>
    <row r="112" ht="15.75" customHeight="1">
      <c r="B112" s="643"/>
      <c r="C112" s="631"/>
      <c r="D112" s="644"/>
      <c r="E112" s="631"/>
      <c r="F112" s="631"/>
      <c r="G112" s="645"/>
      <c r="H112" s="631"/>
      <c r="I112" s="631"/>
      <c r="J112" s="646"/>
      <c r="K112" s="631"/>
      <c r="L112" s="631"/>
      <c r="M112" s="647"/>
    </row>
    <row r="113" ht="15.75" customHeight="1">
      <c r="B113" s="643"/>
      <c r="C113" s="631"/>
      <c r="D113" s="644"/>
      <c r="E113" s="631"/>
      <c r="F113" s="631"/>
      <c r="G113" s="645"/>
      <c r="H113" s="631"/>
      <c r="I113" s="631"/>
      <c r="J113" s="646"/>
      <c r="K113" s="631"/>
      <c r="L113" s="631"/>
      <c r="M113" s="647"/>
    </row>
    <row r="114" ht="15.75" customHeight="1">
      <c r="B114" s="643"/>
      <c r="C114" s="631"/>
      <c r="D114" s="644"/>
      <c r="E114" s="631"/>
      <c r="F114" s="631"/>
      <c r="G114" s="645"/>
      <c r="H114" s="631"/>
      <c r="I114" s="631"/>
      <c r="J114" s="646"/>
      <c r="K114" s="631"/>
      <c r="L114" s="631"/>
      <c r="M114" s="647"/>
    </row>
    <row r="115" ht="15.75" customHeight="1">
      <c r="B115" s="643"/>
      <c r="C115" s="631"/>
      <c r="D115" s="644"/>
      <c r="E115" s="631"/>
      <c r="F115" s="631"/>
      <c r="G115" s="645"/>
      <c r="H115" s="631"/>
      <c r="I115" s="631"/>
      <c r="J115" s="646"/>
      <c r="K115" s="631"/>
      <c r="L115" s="631"/>
      <c r="M115" s="647"/>
    </row>
    <row r="116" ht="15.75" customHeight="1">
      <c r="B116" s="643"/>
      <c r="C116" s="631"/>
      <c r="D116" s="644"/>
      <c r="E116" s="631"/>
      <c r="F116" s="631"/>
      <c r="G116" s="645"/>
      <c r="H116" s="631"/>
      <c r="I116" s="631"/>
      <c r="J116" s="646"/>
      <c r="K116" s="631"/>
      <c r="L116" s="631"/>
      <c r="M116" s="647"/>
    </row>
    <row r="117" ht="15.75" customHeight="1">
      <c r="B117" s="643"/>
      <c r="C117" s="631"/>
      <c r="D117" s="644"/>
      <c r="E117" s="631"/>
      <c r="F117" s="631"/>
      <c r="G117" s="645"/>
      <c r="H117" s="631"/>
      <c r="I117" s="631"/>
      <c r="J117" s="646"/>
      <c r="K117" s="631"/>
      <c r="L117" s="631"/>
      <c r="M117" s="647"/>
    </row>
    <row r="118" ht="15.75" customHeight="1">
      <c r="B118" s="643"/>
      <c r="C118" s="631"/>
      <c r="D118" s="644"/>
      <c r="E118" s="631"/>
      <c r="F118" s="631"/>
      <c r="G118" s="645"/>
      <c r="H118" s="631"/>
      <c r="I118" s="631"/>
      <c r="J118" s="646"/>
      <c r="K118" s="631"/>
      <c r="L118" s="631"/>
      <c r="M118" s="647"/>
    </row>
    <row r="119" ht="15.75" customHeight="1">
      <c r="B119" s="643"/>
      <c r="C119" s="631"/>
      <c r="D119" s="644"/>
      <c r="E119" s="631"/>
      <c r="F119" s="631"/>
      <c r="G119" s="645"/>
      <c r="H119" s="631"/>
      <c r="I119" s="631"/>
      <c r="J119" s="646"/>
      <c r="K119" s="631"/>
      <c r="L119" s="631"/>
      <c r="M119" s="647"/>
    </row>
    <row r="120" ht="15.75" customHeight="1">
      <c r="B120" s="643"/>
      <c r="C120" s="631"/>
      <c r="D120" s="644"/>
      <c r="E120" s="631"/>
      <c r="F120" s="631"/>
      <c r="G120" s="645"/>
      <c r="H120" s="631"/>
      <c r="I120" s="631"/>
      <c r="J120" s="646"/>
      <c r="K120" s="631"/>
      <c r="L120" s="631"/>
      <c r="M120" s="647"/>
    </row>
    <row r="121" ht="15.75" customHeight="1">
      <c r="B121" s="643"/>
      <c r="C121" s="631"/>
      <c r="D121" s="644"/>
      <c r="E121" s="631"/>
      <c r="F121" s="631"/>
      <c r="G121" s="645"/>
      <c r="H121" s="631"/>
      <c r="I121" s="631"/>
      <c r="J121" s="646"/>
      <c r="K121" s="631"/>
      <c r="L121" s="631"/>
      <c r="M121" s="647"/>
    </row>
    <row r="122" ht="15.75" customHeight="1">
      <c r="B122" s="643"/>
      <c r="C122" s="631"/>
      <c r="D122" s="644"/>
      <c r="E122" s="631"/>
      <c r="F122" s="631"/>
      <c r="G122" s="645"/>
      <c r="H122" s="631"/>
      <c r="I122" s="631"/>
      <c r="J122" s="646"/>
      <c r="K122" s="631"/>
      <c r="L122" s="631"/>
      <c r="M122" s="647"/>
    </row>
    <row r="123" ht="15.75" customHeight="1">
      <c r="B123" s="643"/>
      <c r="C123" s="631"/>
      <c r="D123" s="644"/>
      <c r="E123" s="631"/>
      <c r="F123" s="631"/>
      <c r="G123" s="645"/>
      <c r="H123" s="631"/>
      <c r="I123" s="631"/>
      <c r="J123" s="646"/>
      <c r="K123" s="631"/>
      <c r="L123" s="631"/>
      <c r="M123" s="647"/>
    </row>
    <row r="124" ht="15.75" customHeight="1">
      <c r="B124" s="643"/>
      <c r="C124" s="631"/>
      <c r="D124" s="644"/>
      <c r="E124" s="631"/>
      <c r="F124" s="631"/>
      <c r="G124" s="645"/>
      <c r="H124" s="631"/>
      <c r="I124" s="631"/>
      <c r="J124" s="646"/>
      <c r="K124" s="631"/>
      <c r="L124" s="631"/>
      <c r="M124" s="647"/>
    </row>
    <row r="125" ht="15.75" customHeight="1">
      <c r="B125" s="643"/>
      <c r="C125" s="631"/>
      <c r="D125" s="644"/>
      <c r="E125" s="631"/>
      <c r="F125" s="631"/>
      <c r="G125" s="645"/>
      <c r="H125" s="631"/>
      <c r="I125" s="631"/>
      <c r="J125" s="646"/>
      <c r="K125" s="631"/>
      <c r="L125" s="631"/>
      <c r="M125" s="647"/>
    </row>
    <row r="126" ht="15.75" customHeight="1">
      <c r="B126" s="643"/>
      <c r="C126" s="631"/>
      <c r="D126" s="644"/>
      <c r="E126" s="631"/>
      <c r="F126" s="631"/>
      <c r="G126" s="645"/>
      <c r="H126" s="631"/>
      <c r="I126" s="631"/>
      <c r="J126" s="646"/>
      <c r="K126" s="631"/>
      <c r="L126" s="631"/>
      <c r="M126" s="647"/>
    </row>
    <row r="127" ht="15.75" customHeight="1">
      <c r="B127" s="643"/>
      <c r="C127" s="631"/>
      <c r="D127" s="644"/>
      <c r="E127" s="631"/>
      <c r="F127" s="631"/>
      <c r="G127" s="645"/>
      <c r="H127" s="631"/>
      <c r="I127" s="631"/>
      <c r="J127" s="646"/>
      <c r="K127" s="631"/>
      <c r="L127" s="631"/>
      <c r="M127" s="647"/>
    </row>
    <row r="128" ht="15.75" customHeight="1">
      <c r="B128" s="643"/>
      <c r="C128" s="631"/>
      <c r="D128" s="644"/>
      <c r="E128" s="631"/>
      <c r="F128" s="631"/>
      <c r="G128" s="645"/>
      <c r="H128" s="631"/>
      <c r="I128" s="631"/>
      <c r="J128" s="646"/>
      <c r="K128" s="631"/>
      <c r="L128" s="631"/>
      <c r="M128" s="647"/>
    </row>
    <row r="129" ht="15.75" customHeight="1">
      <c r="B129" s="643"/>
      <c r="C129" s="631"/>
      <c r="D129" s="644"/>
      <c r="E129" s="631"/>
      <c r="F129" s="631"/>
      <c r="G129" s="645"/>
      <c r="H129" s="631"/>
      <c r="I129" s="631"/>
      <c r="J129" s="646"/>
      <c r="K129" s="631"/>
      <c r="L129" s="631"/>
      <c r="M129" s="647"/>
    </row>
    <row r="130" ht="15.75" customHeight="1">
      <c r="B130" s="643"/>
      <c r="C130" s="631"/>
      <c r="D130" s="644"/>
      <c r="E130" s="631"/>
      <c r="F130" s="631"/>
      <c r="G130" s="645"/>
      <c r="H130" s="631"/>
      <c r="I130" s="631"/>
      <c r="J130" s="646"/>
      <c r="K130" s="631"/>
      <c r="L130" s="631"/>
      <c r="M130" s="647"/>
    </row>
    <row r="131" ht="15.75" customHeight="1">
      <c r="B131" s="643"/>
      <c r="C131" s="631"/>
      <c r="D131" s="644"/>
      <c r="E131" s="631"/>
      <c r="F131" s="631"/>
      <c r="G131" s="645"/>
      <c r="H131" s="631"/>
      <c r="I131" s="631"/>
      <c r="J131" s="646"/>
      <c r="K131" s="631"/>
      <c r="L131" s="631"/>
      <c r="M131" s="647"/>
    </row>
    <row r="132" ht="15.75" customHeight="1">
      <c r="B132" s="643"/>
      <c r="C132" s="631"/>
      <c r="D132" s="644"/>
      <c r="E132" s="631"/>
      <c r="F132" s="631"/>
      <c r="G132" s="645"/>
      <c r="H132" s="631"/>
      <c r="I132" s="631"/>
      <c r="J132" s="646"/>
      <c r="K132" s="631"/>
      <c r="L132" s="631"/>
      <c r="M132" s="647"/>
    </row>
    <row r="133" ht="15.75" customHeight="1">
      <c r="B133" s="643"/>
      <c r="C133" s="631"/>
      <c r="D133" s="644"/>
      <c r="E133" s="631"/>
      <c r="F133" s="631"/>
      <c r="G133" s="645"/>
      <c r="H133" s="631"/>
      <c r="I133" s="631"/>
      <c r="J133" s="646"/>
      <c r="K133" s="631"/>
      <c r="L133" s="631"/>
      <c r="M133" s="647"/>
    </row>
    <row r="134" ht="15.75" customHeight="1">
      <c r="B134" s="643"/>
      <c r="C134" s="631"/>
      <c r="D134" s="644"/>
      <c r="E134" s="631"/>
      <c r="F134" s="631"/>
      <c r="G134" s="645"/>
      <c r="H134" s="631"/>
      <c r="I134" s="631"/>
      <c r="J134" s="646"/>
      <c r="K134" s="631"/>
      <c r="L134" s="631"/>
      <c r="M134" s="647"/>
    </row>
    <row r="135" ht="15.75" customHeight="1">
      <c r="B135" s="643"/>
      <c r="C135" s="631"/>
      <c r="D135" s="644"/>
      <c r="E135" s="631"/>
      <c r="F135" s="631"/>
      <c r="G135" s="645"/>
      <c r="H135" s="631"/>
      <c r="I135" s="631"/>
      <c r="J135" s="646"/>
      <c r="K135" s="631"/>
      <c r="L135" s="631"/>
      <c r="M135" s="647"/>
    </row>
    <row r="136" ht="15.75" customHeight="1">
      <c r="B136" s="643"/>
      <c r="C136" s="631"/>
      <c r="D136" s="644"/>
      <c r="E136" s="631"/>
      <c r="F136" s="631"/>
      <c r="G136" s="645"/>
      <c r="H136" s="631"/>
      <c r="I136" s="631"/>
      <c r="J136" s="646"/>
      <c r="K136" s="631"/>
      <c r="L136" s="631"/>
      <c r="M136" s="647"/>
    </row>
    <row r="137" ht="15.75" customHeight="1">
      <c r="B137" s="643"/>
      <c r="C137" s="631"/>
      <c r="D137" s="644"/>
      <c r="E137" s="631"/>
      <c r="F137" s="631"/>
      <c r="G137" s="645"/>
      <c r="H137" s="631"/>
      <c r="I137" s="631"/>
      <c r="J137" s="646"/>
      <c r="K137" s="631"/>
      <c r="L137" s="631"/>
      <c r="M137" s="647"/>
    </row>
    <row r="138" ht="15.75" customHeight="1">
      <c r="B138" s="643"/>
      <c r="C138" s="631"/>
      <c r="D138" s="644"/>
      <c r="E138" s="631"/>
      <c r="F138" s="631"/>
      <c r="G138" s="645"/>
      <c r="H138" s="631"/>
      <c r="I138" s="631"/>
      <c r="J138" s="646"/>
      <c r="K138" s="631"/>
      <c r="L138" s="631"/>
      <c r="M138" s="647"/>
    </row>
    <row r="139" ht="15.75" customHeight="1">
      <c r="B139" s="643"/>
      <c r="C139" s="631"/>
      <c r="D139" s="644"/>
      <c r="E139" s="631"/>
      <c r="F139" s="631"/>
      <c r="G139" s="645"/>
      <c r="H139" s="631"/>
      <c r="I139" s="631"/>
      <c r="J139" s="646"/>
      <c r="K139" s="631"/>
      <c r="L139" s="631"/>
      <c r="M139" s="647"/>
    </row>
    <row r="140" ht="15.75" customHeight="1">
      <c r="B140" s="643"/>
      <c r="C140" s="631"/>
      <c r="D140" s="644"/>
      <c r="E140" s="631"/>
      <c r="F140" s="631"/>
      <c r="G140" s="645"/>
      <c r="H140" s="631"/>
      <c r="I140" s="631"/>
      <c r="J140" s="646"/>
      <c r="K140" s="631"/>
      <c r="L140" s="631"/>
      <c r="M140" s="647"/>
    </row>
    <row r="141" ht="15.75" customHeight="1">
      <c r="B141" s="643"/>
      <c r="C141" s="631"/>
      <c r="D141" s="644"/>
      <c r="E141" s="631"/>
      <c r="F141" s="631"/>
      <c r="G141" s="645"/>
      <c r="H141" s="631"/>
      <c r="I141" s="631"/>
      <c r="J141" s="646"/>
      <c r="K141" s="631"/>
      <c r="L141" s="631"/>
      <c r="M141" s="647"/>
    </row>
    <row r="142" ht="15.75" customHeight="1">
      <c r="B142" s="643"/>
      <c r="C142" s="631"/>
      <c r="D142" s="644"/>
      <c r="E142" s="631"/>
      <c r="F142" s="631"/>
      <c r="G142" s="645"/>
      <c r="H142" s="631"/>
      <c r="I142" s="631"/>
      <c r="J142" s="646"/>
      <c r="K142" s="631"/>
      <c r="L142" s="631"/>
      <c r="M142" s="647"/>
    </row>
    <row r="143" ht="15.75" customHeight="1">
      <c r="B143" s="643"/>
      <c r="C143" s="631"/>
      <c r="D143" s="644"/>
      <c r="E143" s="631"/>
      <c r="F143" s="631"/>
      <c r="G143" s="645"/>
      <c r="H143" s="631"/>
      <c r="I143" s="631"/>
      <c r="J143" s="646"/>
      <c r="K143" s="631"/>
      <c r="L143" s="631"/>
      <c r="M143" s="647"/>
    </row>
    <row r="144" ht="15.75" customHeight="1">
      <c r="B144" s="643"/>
      <c r="C144" s="631"/>
      <c r="D144" s="644"/>
      <c r="E144" s="631"/>
      <c r="F144" s="631"/>
      <c r="G144" s="645"/>
      <c r="H144" s="631"/>
      <c r="I144" s="631"/>
      <c r="J144" s="646"/>
      <c r="K144" s="631"/>
      <c r="L144" s="631"/>
      <c r="M144" s="647"/>
    </row>
    <row r="145" ht="15.75" customHeight="1">
      <c r="B145" s="643"/>
      <c r="C145" s="631"/>
      <c r="D145" s="644"/>
      <c r="E145" s="631"/>
      <c r="F145" s="631"/>
      <c r="G145" s="645"/>
      <c r="H145" s="631"/>
      <c r="I145" s="631"/>
      <c r="J145" s="646"/>
      <c r="K145" s="631"/>
      <c r="L145" s="631"/>
      <c r="M145" s="647"/>
    </row>
    <row r="146" ht="15.75" customHeight="1">
      <c r="B146" s="643"/>
      <c r="C146" s="631"/>
      <c r="D146" s="644"/>
      <c r="E146" s="631"/>
      <c r="F146" s="631"/>
      <c r="G146" s="645"/>
      <c r="H146" s="631"/>
      <c r="I146" s="631"/>
      <c r="J146" s="646"/>
      <c r="K146" s="631"/>
      <c r="L146" s="631"/>
      <c r="M146" s="647"/>
    </row>
    <row r="147" ht="15.75" customHeight="1">
      <c r="B147" s="643"/>
      <c r="C147" s="631"/>
      <c r="D147" s="644"/>
      <c r="E147" s="631"/>
      <c r="F147" s="631"/>
      <c r="G147" s="645"/>
      <c r="H147" s="631"/>
      <c r="I147" s="631"/>
      <c r="J147" s="646"/>
      <c r="K147" s="631"/>
      <c r="L147" s="631"/>
      <c r="M147" s="647"/>
    </row>
    <row r="148" ht="15.75" customHeight="1">
      <c r="B148" s="643"/>
      <c r="C148" s="631"/>
      <c r="D148" s="644"/>
      <c r="E148" s="631"/>
      <c r="F148" s="631"/>
      <c r="G148" s="645"/>
      <c r="H148" s="631"/>
      <c r="I148" s="631"/>
      <c r="J148" s="646"/>
      <c r="K148" s="631"/>
      <c r="L148" s="631"/>
      <c r="M148" s="647"/>
    </row>
    <row r="149" ht="15.75" customHeight="1">
      <c r="B149" s="643"/>
      <c r="C149" s="631"/>
      <c r="D149" s="644"/>
      <c r="E149" s="631"/>
      <c r="F149" s="631"/>
      <c r="G149" s="645"/>
      <c r="H149" s="631"/>
      <c r="I149" s="631"/>
      <c r="J149" s="646"/>
      <c r="K149" s="631"/>
      <c r="L149" s="631"/>
      <c r="M149" s="647"/>
    </row>
    <row r="150" ht="15.75" customHeight="1">
      <c r="B150" s="643"/>
      <c r="C150" s="631"/>
      <c r="D150" s="644"/>
      <c r="E150" s="631"/>
      <c r="F150" s="631"/>
      <c r="G150" s="645"/>
      <c r="H150" s="631"/>
      <c r="I150" s="631"/>
      <c r="J150" s="646"/>
      <c r="K150" s="631"/>
      <c r="L150" s="631"/>
      <c r="M150" s="647"/>
    </row>
    <row r="151" ht="15.75" customHeight="1">
      <c r="B151" s="643"/>
      <c r="C151" s="631"/>
      <c r="D151" s="644"/>
      <c r="E151" s="631"/>
      <c r="F151" s="631"/>
      <c r="G151" s="645"/>
      <c r="H151" s="631"/>
      <c r="I151" s="631"/>
      <c r="J151" s="646"/>
      <c r="K151" s="631"/>
      <c r="L151" s="631"/>
      <c r="M151" s="647"/>
    </row>
    <row r="152" ht="15.75" customHeight="1">
      <c r="B152" s="643"/>
      <c r="C152" s="631"/>
      <c r="D152" s="644"/>
      <c r="E152" s="631"/>
      <c r="F152" s="631"/>
      <c r="G152" s="645"/>
      <c r="H152" s="631"/>
      <c r="I152" s="631"/>
      <c r="J152" s="646"/>
      <c r="K152" s="631"/>
      <c r="L152" s="631"/>
      <c r="M152" s="647"/>
    </row>
    <row r="153" ht="15.75" customHeight="1">
      <c r="B153" s="643"/>
      <c r="C153" s="631"/>
      <c r="D153" s="644"/>
      <c r="E153" s="631"/>
      <c r="F153" s="631"/>
      <c r="G153" s="645"/>
      <c r="H153" s="631"/>
      <c r="I153" s="631"/>
      <c r="J153" s="646"/>
      <c r="K153" s="631"/>
      <c r="L153" s="631"/>
      <c r="M153" s="647"/>
    </row>
    <row r="154" ht="15.75" customHeight="1">
      <c r="B154" s="643"/>
      <c r="C154" s="631"/>
      <c r="D154" s="644"/>
      <c r="E154" s="631"/>
      <c r="F154" s="631"/>
      <c r="G154" s="645"/>
      <c r="H154" s="631"/>
      <c r="I154" s="631"/>
      <c r="J154" s="646"/>
      <c r="K154" s="631"/>
      <c r="L154" s="631"/>
      <c r="M154" s="647"/>
    </row>
    <row r="155" ht="15.75" customHeight="1">
      <c r="B155" s="643"/>
      <c r="C155" s="631"/>
      <c r="D155" s="644"/>
      <c r="E155" s="631"/>
      <c r="F155" s="631"/>
      <c r="G155" s="645"/>
      <c r="H155" s="631"/>
      <c r="I155" s="631"/>
      <c r="J155" s="646"/>
      <c r="K155" s="631"/>
      <c r="L155" s="631"/>
      <c r="M155" s="647"/>
    </row>
    <row r="156" ht="15.75" customHeight="1">
      <c r="B156" s="643"/>
      <c r="C156" s="631"/>
      <c r="D156" s="644"/>
      <c r="E156" s="631"/>
      <c r="F156" s="631"/>
      <c r="G156" s="645"/>
      <c r="H156" s="631"/>
      <c r="I156" s="631"/>
      <c r="J156" s="646"/>
      <c r="K156" s="631"/>
      <c r="L156" s="631"/>
      <c r="M156" s="647"/>
    </row>
    <row r="157" ht="15.75" customHeight="1">
      <c r="B157" s="643"/>
      <c r="C157" s="631"/>
      <c r="D157" s="644"/>
      <c r="E157" s="631"/>
      <c r="F157" s="631"/>
      <c r="G157" s="645"/>
      <c r="H157" s="631"/>
      <c r="I157" s="631"/>
      <c r="J157" s="646"/>
      <c r="K157" s="631"/>
      <c r="L157" s="631"/>
      <c r="M157" s="647"/>
    </row>
    <row r="158" ht="15.75" customHeight="1">
      <c r="B158" s="643"/>
      <c r="C158" s="631"/>
      <c r="D158" s="644"/>
      <c r="E158" s="631"/>
      <c r="F158" s="631"/>
      <c r="G158" s="645"/>
      <c r="H158" s="631"/>
      <c r="I158" s="631"/>
      <c r="J158" s="646"/>
      <c r="K158" s="631"/>
      <c r="L158" s="631"/>
      <c r="M158" s="647"/>
    </row>
    <row r="159" ht="15.75" customHeight="1">
      <c r="B159" s="643"/>
      <c r="C159" s="631"/>
      <c r="D159" s="644"/>
      <c r="E159" s="631"/>
      <c r="F159" s="631"/>
      <c r="G159" s="645"/>
      <c r="H159" s="631"/>
      <c r="I159" s="631"/>
      <c r="J159" s="646"/>
      <c r="K159" s="631"/>
      <c r="L159" s="631"/>
      <c r="M159" s="647"/>
    </row>
    <row r="160" ht="15.75" customHeight="1">
      <c r="B160" s="643"/>
      <c r="C160" s="631"/>
      <c r="D160" s="644"/>
      <c r="E160" s="631"/>
      <c r="F160" s="631"/>
      <c r="G160" s="645"/>
      <c r="H160" s="631"/>
      <c r="I160" s="631"/>
      <c r="J160" s="646"/>
      <c r="K160" s="631"/>
      <c r="L160" s="631"/>
      <c r="M160" s="647"/>
    </row>
    <row r="161" ht="15.75" customHeight="1">
      <c r="B161" s="643"/>
      <c r="C161" s="631"/>
      <c r="D161" s="644"/>
      <c r="E161" s="631"/>
      <c r="F161" s="631"/>
      <c r="G161" s="645"/>
      <c r="H161" s="631"/>
      <c r="I161" s="631"/>
      <c r="J161" s="646"/>
      <c r="K161" s="631"/>
      <c r="L161" s="631"/>
      <c r="M161" s="647"/>
    </row>
    <row r="162" ht="15.75" customHeight="1">
      <c r="B162" s="643"/>
      <c r="C162" s="631"/>
      <c r="D162" s="644"/>
      <c r="E162" s="631"/>
      <c r="F162" s="631"/>
      <c r="G162" s="645"/>
      <c r="H162" s="631"/>
      <c r="I162" s="631"/>
      <c r="J162" s="646"/>
      <c r="K162" s="631"/>
      <c r="L162" s="631"/>
      <c r="M162" s="647"/>
    </row>
    <row r="163" ht="15.75" customHeight="1">
      <c r="B163" s="643"/>
      <c r="C163" s="631"/>
      <c r="D163" s="644"/>
      <c r="E163" s="631"/>
      <c r="F163" s="631"/>
      <c r="G163" s="645"/>
      <c r="H163" s="631"/>
      <c r="I163" s="631"/>
      <c r="J163" s="646"/>
      <c r="K163" s="631"/>
      <c r="L163" s="631"/>
      <c r="M163" s="647"/>
    </row>
    <row r="164" ht="15.75" customHeight="1">
      <c r="B164" s="643"/>
      <c r="C164" s="631"/>
      <c r="D164" s="644"/>
      <c r="E164" s="631"/>
      <c r="F164" s="631"/>
      <c r="G164" s="645"/>
      <c r="H164" s="631"/>
      <c r="I164" s="631"/>
      <c r="J164" s="646"/>
      <c r="K164" s="631"/>
      <c r="L164" s="631"/>
      <c r="M164" s="647"/>
    </row>
    <row r="165" ht="15.75" customHeight="1">
      <c r="B165" s="643"/>
      <c r="C165" s="631"/>
      <c r="D165" s="644"/>
      <c r="E165" s="631"/>
      <c r="F165" s="631"/>
      <c r="G165" s="645"/>
      <c r="H165" s="631"/>
      <c r="I165" s="631"/>
      <c r="J165" s="646"/>
      <c r="K165" s="631"/>
      <c r="L165" s="631"/>
      <c r="M165" s="647"/>
    </row>
    <row r="166" ht="15.75" customHeight="1">
      <c r="B166" s="643"/>
      <c r="C166" s="631"/>
      <c r="D166" s="644"/>
      <c r="E166" s="631"/>
      <c r="F166" s="631"/>
      <c r="G166" s="645"/>
      <c r="H166" s="631"/>
      <c r="I166" s="631"/>
      <c r="J166" s="646"/>
      <c r="K166" s="631"/>
      <c r="L166" s="631"/>
      <c r="M166" s="647"/>
    </row>
    <row r="167" ht="15.75" customHeight="1">
      <c r="B167" s="643"/>
      <c r="C167" s="631"/>
      <c r="D167" s="644"/>
      <c r="E167" s="631"/>
      <c r="F167" s="631"/>
      <c r="G167" s="645"/>
      <c r="H167" s="631"/>
      <c r="I167" s="631"/>
      <c r="J167" s="646"/>
      <c r="K167" s="631"/>
      <c r="L167" s="631"/>
      <c r="M167" s="647"/>
    </row>
    <row r="168" ht="15.75" customHeight="1">
      <c r="B168" s="643"/>
      <c r="C168" s="631"/>
      <c r="D168" s="644"/>
      <c r="E168" s="631"/>
      <c r="F168" s="631"/>
      <c r="G168" s="645"/>
      <c r="H168" s="631"/>
      <c r="I168" s="631"/>
      <c r="J168" s="646"/>
      <c r="K168" s="631"/>
      <c r="L168" s="631"/>
      <c r="M168" s="647"/>
    </row>
    <row r="169" ht="15.75" customHeight="1">
      <c r="B169" s="643"/>
      <c r="C169" s="631"/>
      <c r="D169" s="644"/>
      <c r="E169" s="631"/>
      <c r="F169" s="631"/>
      <c r="G169" s="645"/>
      <c r="H169" s="631"/>
      <c r="I169" s="631"/>
      <c r="J169" s="646"/>
      <c r="K169" s="631"/>
      <c r="L169" s="631"/>
      <c r="M169" s="647"/>
    </row>
    <row r="170" ht="15.75" customHeight="1">
      <c r="B170" s="643"/>
      <c r="C170" s="631"/>
      <c r="D170" s="644"/>
      <c r="E170" s="631"/>
      <c r="F170" s="631"/>
      <c r="G170" s="645"/>
      <c r="H170" s="631"/>
      <c r="I170" s="631"/>
      <c r="J170" s="646"/>
      <c r="K170" s="631"/>
      <c r="L170" s="631"/>
      <c r="M170" s="647"/>
    </row>
    <row r="171" ht="15.75" customHeight="1">
      <c r="B171" s="643"/>
      <c r="C171" s="631"/>
      <c r="D171" s="644"/>
      <c r="E171" s="631"/>
      <c r="F171" s="631"/>
      <c r="G171" s="645"/>
      <c r="H171" s="631"/>
      <c r="I171" s="631"/>
      <c r="J171" s="646"/>
      <c r="K171" s="631"/>
      <c r="L171" s="631"/>
      <c r="M171" s="647"/>
    </row>
    <row r="172" ht="15.75" customHeight="1">
      <c r="B172" s="643"/>
      <c r="C172" s="631"/>
      <c r="D172" s="644"/>
      <c r="E172" s="631"/>
      <c r="F172" s="631"/>
      <c r="G172" s="645"/>
      <c r="H172" s="631"/>
      <c r="I172" s="631"/>
      <c r="J172" s="646"/>
      <c r="K172" s="631"/>
      <c r="L172" s="631"/>
      <c r="M172" s="647"/>
    </row>
    <row r="173" ht="15.75" customHeight="1">
      <c r="B173" s="643"/>
      <c r="C173" s="631"/>
      <c r="D173" s="644"/>
      <c r="E173" s="631"/>
      <c r="F173" s="631"/>
      <c r="G173" s="645"/>
      <c r="H173" s="631"/>
      <c r="I173" s="631"/>
      <c r="J173" s="646"/>
      <c r="K173" s="631"/>
      <c r="L173" s="631"/>
      <c r="M173" s="647"/>
    </row>
    <row r="174" ht="15.75" customHeight="1">
      <c r="B174" s="643"/>
      <c r="C174" s="631"/>
      <c r="D174" s="644"/>
      <c r="E174" s="631"/>
      <c r="F174" s="631"/>
      <c r="G174" s="645"/>
      <c r="H174" s="631"/>
      <c r="I174" s="631"/>
      <c r="J174" s="646"/>
      <c r="K174" s="631"/>
      <c r="L174" s="631"/>
      <c r="M174" s="647"/>
    </row>
    <row r="175" ht="15.75" customHeight="1">
      <c r="B175" s="643"/>
      <c r="C175" s="631"/>
      <c r="D175" s="644"/>
      <c r="E175" s="631"/>
      <c r="F175" s="631"/>
      <c r="G175" s="645"/>
      <c r="H175" s="631"/>
      <c r="I175" s="631"/>
      <c r="J175" s="646"/>
      <c r="K175" s="631"/>
      <c r="L175" s="631"/>
      <c r="M175" s="647"/>
    </row>
    <row r="176" ht="15.75" customHeight="1">
      <c r="B176" s="643"/>
      <c r="C176" s="631"/>
      <c r="D176" s="644"/>
      <c r="E176" s="631"/>
      <c r="F176" s="631"/>
      <c r="G176" s="645"/>
      <c r="H176" s="631"/>
      <c r="I176" s="631"/>
      <c r="J176" s="646"/>
      <c r="K176" s="631"/>
      <c r="L176" s="631"/>
      <c r="M176" s="647"/>
    </row>
    <row r="177" ht="15.75" customHeight="1">
      <c r="B177" s="643"/>
      <c r="C177" s="631"/>
      <c r="D177" s="644"/>
      <c r="E177" s="631"/>
      <c r="F177" s="631"/>
      <c r="G177" s="645"/>
      <c r="H177" s="631"/>
      <c r="I177" s="631"/>
      <c r="J177" s="646"/>
      <c r="K177" s="631"/>
      <c r="L177" s="631"/>
      <c r="M177" s="647"/>
    </row>
    <row r="178" ht="15.75" customHeight="1">
      <c r="B178" s="643"/>
      <c r="C178" s="631"/>
      <c r="D178" s="644"/>
      <c r="E178" s="631"/>
      <c r="F178" s="631"/>
      <c r="G178" s="645"/>
      <c r="H178" s="631"/>
      <c r="I178" s="631"/>
      <c r="J178" s="646"/>
      <c r="K178" s="631"/>
      <c r="L178" s="631"/>
      <c r="M178" s="647"/>
    </row>
    <row r="179" ht="15.75" customHeight="1">
      <c r="B179" s="643"/>
      <c r="C179" s="631"/>
      <c r="D179" s="644"/>
      <c r="E179" s="631"/>
      <c r="F179" s="631"/>
      <c r="G179" s="645"/>
      <c r="H179" s="631"/>
      <c r="I179" s="631"/>
      <c r="J179" s="646"/>
      <c r="K179" s="631"/>
      <c r="L179" s="631"/>
      <c r="M179" s="647"/>
    </row>
    <row r="180" ht="15.75" customHeight="1">
      <c r="B180" s="643"/>
      <c r="C180" s="631"/>
      <c r="D180" s="644"/>
      <c r="E180" s="631"/>
      <c r="F180" s="631"/>
      <c r="G180" s="645"/>
      <c r="H180" s="631"/>
      <c r="I180" s="631"/>
      <c r="J180" s="646"/>
      <c r="K180" s="631"/>
      <c r="L180" s="631"/>
      <c r="M180" s="647"/>
    </row>
    <row r="181" ht="15.75" customHeight="1">
      <c r="B181" s="643"/>
      <c r="C181" s="631"/>
      <c r="D181" s="644"/>
      <c r="E181" s="631"/>
      <c r="F181" s="631"/>
      <c r="G181" s="645"/>
      <c r="H181" s="631"/>
      <c r="I181" s="631"/>
      <c r="J181" s="646"/>
      <c r="K181" s="631"/>
      <c r="L181" s="631"/>
      <c r="M181" s="647"/>
    </row>
    <row r="182" ht="15.75" customHeight="1">
      <c r="B182" s="643"/>
      <c r="C182" s="631"/>
      <c r="D182" s="644"/>
      <c r="E182" s="631"/>
      <c r="F182" s="631"/>
      <c r="G182" s="645"/>
      <c r="H182" s="631"/>
      <c r="I182" s="631"/>
      <c r="J182" s="646"/>
      <c r="K182" s="631"/>
      <c r="L182" s="631"/>
      <c r="M182" s="647"/>
    </row>
    <row r="183" ht="15.75" customHeight="1">
      <c r="B183" s="643"/>
      <c r="C183" s="631"/>
      <c r="D183" s="644"/>
      <c r="E183" s="631"/>
      <c r="F183" s="631"/>
      <c r="G183" s="645"/>
      <c r="H183" s="631"/>
      <c r="I183" s="631"/>
      <c r="J183" s="646"/>
      <c r="K183" s="631"/>
      <c r="L183" s="631"/>
      <c r="M183" s="647"/>
    </row>
    <row r="184" ht="15.75" customHeight="1">
      <c r="B184" s="643"/>
      <c r="C184" s="631"/>
      <c r="D184" s="644"/>
      <c r="E184" s="631"/>
      <c r="F184" s="631"/>
      <c r="G184" s="645"/>
      <c r="H184" s="631"/>
      <c r="I184" s="631"/>
      <c r="J184" s="646"/>
      <c r="K184" s="631"/>
      <c r="L184" s="631"/>
      <c r="M184" s="647"/>
    </row>
    <row r="185" ht="15.75" customHeight="1">
      <c r="B185" s="643"/>
      <c r="C185" s="631"/>
      <c r="D185" s="644"/>
      <c r="E185" s="631"/>
      <c r="F185" s="631"/>
      <c r="G185" s="645"/>
      <c r="H185" s="631"/>
      <c r="I185" s="631"/>
      <c r="J185" s="646"/>
      <c r="K185" s="631"/>
      <c r="L185" s="631"/>
      <c r="M185" s="647"/>
    </row>
    <row r="186" ht="15.75" customHeight="1">
      <c r="B186" s="643"/>
      <c r="C186" s="631"/>
      <c r="D186" s="644"/>
      <c r="E186" s="631"/>
      <c r="F186" s="631"/>
      <c r="G186" s="645"/>
      <c r="H186" s="631"/>
      <c r="I186" s="631"/>
      <c r="J186" s="646"/>
      <c r="K186" s="631"/>
      <c r="L186" s="631"/>
      <c r="M186" s="647"/>
    </row>
    <row r="187" ht="15.75" customHeight="1">
      <c r="B187" s="643"/>
      <c r="C187" s="631"/>
      <c r="D187" s="644"/>
      <c r="E187" s="631"/>
      <c r="F187" s="631"/>
      <c r="G187" s="645"/>
      <c r="H187" s="631"/>
      <c r="I187" s="631"/>
      <c r="J187" s="646"/>
      <c r="K187" s="631"/>
      <c r="L187" s="631"/>
      <c r="M187" s="647"/>
    </row>
    <row r="188" ht="15.75" customHeight="1">
      <c r="B188" s="643"/>
      <c r="C188" s="631"/>
      <c r="D188" s="644"/>
      <c r="E188" s="631"/>
      <c r="F188" s="631"/>
      <c r="G188" s="645"/>
      <c r="H188" s="631"/>
      <c r="I188" s="631"/>
      <c r="J188" s="646"/>
      <c r="K188" s="631"/>
      <c r="L188" s="631"/>
      <c r="M188" s="647"/>
    </row>
    <row r="189" ht="15.75" customHeight="1">
      <c r="B189" s="643"/>
      <c r="C189" s="631"/>
      <c r="D189" s="644"/>
      <c r="E189" s="631"/>
      <c r="F189" s="631"/>
      <c r="G189" s="645"/>
      <c r="H189" s="631"/>
      <c r="I189" s="631"/>
      <c r="J189" s="646"/>
      <c r="K189" s="631"/>
      <c r="L189" s="631"/>
      <c r="M189" s="647"/>
    </row>
    <row r="190" ht="15.75" customHeight="1">
      <c r="B190" s="643"/>
      <c r="C190" s="631"/>
      <c r="D190" s="644"/>
      <c r="E190" s="631"/>
      <c r="F190" s="631"/>
      <c r="G190" s="645"/>
      <c r="H190" s="631"/>
      <c r="I190" s="631"/>
      <c r="J190" s="646"/>
      <c r="K190" s="631"/>
      <c r="L190" s="631"/>
      <c r="M190" s="647"/>
    </row>
    <row r="191" ht="15.75" customHeight="1">
      <c r="B191" s="643"/>
      <c r="C191" s="631"/>
      <c r="D191" s="644"/>
      <c r="E191" s="631"/>
      <c r="F191" s="631"/>
      <c r="G191" s="645"/>
      <c r="H191" s="631"/>
      <c r="I191" s="631"/>
      <c r="J191" s="646"/>
      <c r="K191" s="631"/>
      <c r="L191" s="631"/>
      <c r="M191" s="647"/>
    </row>
    <row r="192" ht="15.75" customHeight="1">
      <c r="B192" s="643"/>
      <c r="C192" s="631"/>
      <c r="D192" s="644"/>
      <c r="E192" s="631"/>
      <c r="F192" s="631"/>
      <c r="G192" s="645"/>
      <c r="H192" s="631"/>
      <c r="I192" s="631"/>
      <c r="J192" s="646"/>
      <c r="K192" s="631"/>
      <c r="L192" s="631"/>
      <c r="M192" s="647"/>
    </row>
    <row r="193" ht="15.75" customHeight="1">
      <c r="B193" s="643"/>
      <c r="C193" s="631"/>
      <c r="D193" s="644"/>
      <c r="E193" s="631"/>
      <c r="F193" s="631"/>
      <c r="G193" s="645"/>
      <c r="H193" s="631"/>
      <c r="I193" s="631"/>
      <c r="J193" s="646"/>
      <c r="K193" s="631"/>
      <c r="L193" s="631"/>
      <c r="M193" s="647"/>
    </row>
    <row r="194" ht="15.75" customHeight="1">
      <c r="B194" s="643"/>
      <c r="C194" s="631"/>
      <c r="D194" s="644"/>
      <c r="E194" s="631"/>
      <c r="F194" s="631"/>
      <c r="G194" s="645"/>
      <c r="H194" s="631"/>
      <c r="I194" s="631"/>
      <c r="J194" s="646"/>
      <c r="K194" s="631"/>
      <c r="L194" s="631"/>
      <c r="M194" s="647"/>
    </row>
    <row r="195" ht="15.75" customHeight="1">
      <c r="B195" s="643"/>
      <c r="C195" s="631"/>
      <c r="D195" s="644"/>
      <c r="E195" s="631"/>
      <c r="F195" s="631"/>
      <c r="G195" s="645"/>
      <c r="H195" s="631"/>
      <c r="I195" s="631"/>
      <c r="J195" s="646"/>
      <c r="K195" s="631"/>
      <c r="L195" s="631"/>
      <c r="M195" s="647"/>
    </row>
    <row r="196" ht="15.75" customHeight="1">
      <c r="B196" s="643"/>
      <c r="C196" s="631"/>
      <c r="D196" s="644"/>
      <c r="E196" s="631"/>
      <c r="F196" s="631"/>
      <c r="G196" s="645"/>
      <c r="H196" s="631"/>
      <c r="I196" s="631"/>
      <c r="J196" s="646"/>
      <c r="K196" s="631"/>
      <c r="L196" s="631"/>
      <c r="M196" s="647"/>
    </row>
    <row r="197" ht="15.75" customHeight="1">
      <c r="B197" s="643"/>
      <c r="C197" s="631"/>
      <c r="D197" s="644"/>
      <c r="E197" s="631"/>
      <c r="F197" s="631"/>
      <c r="G197" s="645"/>
      <c r="H197" s="631"/>
      <c r="I197" s="631"/>
      <c r="J197" s="646"/>
      <c r="K197" s="631"/>
      <c r="L197" s="631"/>
      <c r="M197" s="647"/>
    </row>
    <row r="198" ht="15.75" customHeight="1">
      <c r="B198" s="643"/>
      <c r="C198" s="631"/>
      <c r="D198" s="644"/>
      <c r="E198" s="631"/>
      <c r="F198" s="631"/>
      <c r="G198" s="645"/>
      <c r="H198" s="631"/>
      <c r="I198" s="631"/>
      <c r="J198" s="646"/>
      <c r="K198" s="631"/>
      <c r="L198" s="631"/>
      <c r="M198" s="647"/>
    </row>
    <row r="199" ht="15.75" customHeight="1">
      <c r="B199" s="643"/>
      <c r="C199" s="631"/>
      <c r="D199" s="644"/>
      <c r="E199" s="631"/>
      <c r="F199" s="631"/>
      <c r="G199" s="645"/>
      <c r="H199" s="631"/>
      <c r="I199" s="631"/>
      <c r="J199" s="646"/>
      <c r="K199" s="631"/>
      <c r="L199" s="631"/>
      <c r="M199" s="647"/>
    </row>
    <row r="200" ht="15.75" customHeight="1">
      <c r="B200" s="643"/>
      <c r="C200" s="631"/>
      <c r="D200" s="644"/>
      <c r="E200" s="631"/>
      <c r="F200" s="631"/>
      <c r="G200" s="645"/>
      <c r="H200" s="631"/>
      <c r="I200" s="631"/>
      <c r="J200" s="646"/>
      <c r="K200" s="631"/>
      <c r="L200" s="631"/>
      <c r="M200" s="647"/>
    </row>
    <row r="201" ht="15.75" customHeight="1">
      <c r="B201" s="643"/>
      <c r="C201" s="631"/>
      <c r="D201" s="644"/>
      <c r="E201" s="631"/>
      <c r="F201" s="631"/>
      <c r="G201" s="645"/>
      <c r="H201" s="631"/>
      <c r="I201" s="631"/>
      <c r="J201" s="646"/>
      <c r="K201" s="631"/>
      <c r="L201" s="631"/>
      <c r="M201" s="647"/>
    </row>
    <row r="202" ht="15.75" customHeight="1">
      <c r="B202" s="643"/>
      <c r="C202" s="631"/>
      <c r="D202" s="644"/>
      <c r="E202" s="631"/>
      <c r="F202" s="631"/>
      <c r="G202" s="645"/>
      <c r="H202" s="631"/>
      <c r="I202" s="631"/>
      <c r="J202" s="646"/>
      <c r="K202" s="631"/>
      <c r="L202" s="631"/>
      <c r="M202" s="647"/>
    </row>
    <row r="203" ht="15.75" customHeight="1">
      <c r="B203" s="643"/>
      <c r="C203" s="631"/>
      <c r="D203" s="644"/>
      <c r="E203" s="631"/>
      <c r="F203" s="631"/>
      <c r="G203" s="645"/>
      <c r="H203" s="631"/>
      <c r="I203" s="631"/>
      <c r="J203" s="646"/>
      <c r="K203" s="631"/>
      <c r="L203" s="631"/>
      <c r="M203" s="647"/>
    </row>
    <row r="204" ht="15.75" customHeight="1">
      <c r="B204" s="643"/>
      <c r="C204" s="631"/>
      <c r="D204" s="644"/>
      <c r="E204" s="631"/>
      <c r="F204" s="631"/>
      <c r="G204" s="645"/>
      <c r="H204" s="631"/>
      <c r="I204" s="631"/>
      <c r="J204" s="646"/>
      <c r="K204" s="631"/>
      <c r="L204" s="631"/>
      <c r="M204" s="647"/>
    </row>
    <row r="205" ht="15.75" customHeight="1">
      <c r="B205" s="643"/>
      <c r="C205" s="631"/>
      <c r="D205" s="644"/>
      <c r="E205" s="631"/>
      <c r="F205" s="631"/>
      <c r="G205" s="645"/>
      <c r="H205" s="631"/>
      <c r="I205" s="631"/>
      <c r="J205" s="646"/>
      <c r="K205" s="631"/>
      <c r="L205" s="631"/>
      <c r="M205" s="647"/>
    </row>
    <row r="206" ht="15.75" customHeight="1">
      <c r="B206" s="643"/>
      <c r="C206" s="631"/>
      <c r="D206" s="644"/>
      <c r="E206" s="631"/>
      <c r="F206" s="631"/>
      <c r="G206" s="645"/>
      <c r="H206" s="631"/>
      <c r="I206" s="631"/>
      <c r="J206" s="646"/>
      <c r="K206" s="631"/>
      <c r="L206" s="631"/>
      <c r="M206" s="647"/>
    </row>
    <row r="207" ht="15.75" customHeight="1">
      <c r="B207" s="643"/>
      <c r="C207" s="631"/>
      <c r="D207" s="644"/>
      <c r="E207" s="631"/>
      <c r="F207" s="631"/>
      <c r="G207" s="645"/>
      <c r="H207" s="631"/>
      <c r="I207" s="631"/>
      <c r="J207" s="646"/>
      <c r="K207" s="631"/>
      <c r="L207" s="631"/>
      <c r="M207" s="647"/>
    </row>
    <row r="208" ht="15.75" customHeight="1">
      <c r="B208" s="643"/>
      <c r="C208" s="631"/>
      <c r="D208" s="644"/>
      <c r="E208" s="631"/>
      <c r="F208" s="631"/>
      <c r="G208" s="645"/>
      <c r="H208" s="631"/>
      <c r="I208" s="631"/>
      <c r="J208" s="646"/>
      <c r="K208" s="631"/>
      <c r="L208" s="631"/>
      <c r="M208" s="647"/>
    </row>
    <row r="209" ht="15.75" customHeight="1">
      <c r="B209" s="643"/>
      <c r="C209" s="631"/>
      <c r="D209" s="644"/>
      <c r="E209" s="631"/>
      <c r="F209" s="631"/>
      <c r="G209" s="645"/>
      <c r="H209" s="631"/>
      <c r="I209" s="631"/>
      <c r="J209" s="646"/>
      <c r="K209" s="631"/>
      <c r="L209" s="631"/>
      <c r="M209" s="647"/>
    </row>
    <row r="210" ht="15.75" customHeight="1">
      <c r="B210" s="643"/>
      <c r="C210" s="631"/>
      <c r="D210" s="644"/>
      <c r="E210" s="631"/>
      <c r="F210" s="631"/>
      <c r="G210" s="645"/>
      <c r="H210" s="631"/>
      <c r="I210" s="631"/>
      <c r="J210" s="646"/>
      <c r="K210" s="631"/>
      <c r="L210" s="631"/>
      <c r="M210" s="647"/>
    </row>
    <row r="211" ht="15.75" customHeight="1">
      <c r="B211" s="643"/>
      <c r="C211" s="631"/>
      <c r="D211" s="644"/>
      <c r="E211" s="631"/>
      <c r="F211" s="631"/>
      <c r="G211" s="645"/>
      <c r="H211" s="631"/>
      <c r="I211" s="631"/>
      <c r="J211" s="646"/>
      <c r="K211" s="631"/>
      <c r="L211" s="631"/>
      <c r="M211" s="647"/>
    </row>
    <row r="212" ht="15.75" customHeight="1">
      <c r="B212" s="643"/>
      <c r="C212" s="631"/>
      <c r="D212" s="644"/>
      <c r="E212" s="631"/>
      <c r="F212" s="631"/>
      <c r="G212" s="645"/>
      <c r="H212" s="631"/>
      <c r="I212" s="631"/>
      <c r="J212" s="646"/>
      <c r="K212" s="631"/>
      <c r="L212" s="631"/>
      <c r="M212" s="647"/>
    </row>
    <row r="213" ht="15.75" customHeight="1">
      <c r="B213" s="643"/>
      <c r="C213" s="631"/>
      <c r="D213" s="644"/>
      <c r="E213" s="631"/>
      <c r="F213" s="631"/>
      <c r="G213" s="645"/>
      <c r="H213" s="631"/>
      <c r="I213" s="631"/>
      <c r="J213" s="646"/>
      <c r="K213" s="631"/>
      <c r="L213" s="631"/>
      <c r="M213" s="647"/>
    </row>
    <row r="214" ht="15.75" customHeight="1">
      <c r="B214" s="643"/>
      <c r="C214" s="631"/>
      <c r="D214" s="644"/>
      <c r="E214" s="631"/>
      <c r="F214" s="631"/>
      <c r="G214" s="645"/>
      <c r="H214" s="631"/>
      <c r="I214" s="631"/>
      <c r="J214" s="646"/>
      <c r="K214" s="631"/>
      <c r="L214" s="631"/>
      <c r="M214" s="647"/>
    </row>
    <row r="215" ht="15.75" customHeight="1">
      <c r="B215" s="643"/>
      <c r="C215" s="631"/>
      <c r="D215" s="644"/>
      <c r="E215" s="631"/>
      <c r="F215" s="631"/>
      <c r="G215" s="645"/>
      <c r="H215" s="631"/>
      <c r="I215" s="631"/>
      <c r="J215" s="646"/>
      <c r="K215" s="631"/>
      <c r="L215" s="631"/>
      <c r="M215" s="647"/>
    </row>
    <row r="216" ht="15.75" customHeight="1">
      <c r="B216" s="643"/>
      <c r="C216" s="631"/>
      <c r="D216" s="644"/>
      <c r="E216" s="631"/>
      <c r="F216" s="631"/>
      <c r="G216" s="645"/>
      <c r="H216" s="631"/>
      <c r="I216" s="631"/>
      <c r="J216" s="646"/>
      <c r="K216" s="631"/>
      <c r="L216" s="631"/>
      <c r="M216" s="647"/>
    </row>
    <row r="217" ht="15.75" customHeight="1">
      <c r="B217" s="643"/>
      <c r="C217" s="631"/>
      <c r="D217" s="644"/>
      <c r="E217" s="631"/>
      <c r="F217" s="631"/>
      <c r="G217" s="645"/>
      <c r="H217" s="631"/>
      <c r="I217" s="631"/>
      <c r="J217" s="646"/>
      <c r="K217" s="631"/>
      <c r="L217" s="631"/>
      <c r="M217" s="647"/>
    </row>
    <row r="218" ht="15.75" customHeight="1">
      <c r="B218" s="643"/>
      <c r="C218" s="631"/>
      <c r="D218" s="644"/>
      <c r="E218" s="631"/>
      <c r="F218" s="631"/>
      <c r="G218" s="645"/>
      <c r="H218" s="631"/>
      <c r="I218" s="631"/>
      <c r="J218" s="646"/>
      <c r="K218" s="631"/>
      <c r="L218" s="631"/>
      <c r="M218" s="647"/>
    </row>
    <row r="219" ht="15.75" customHeight="1">
      <c r="B219" s="643"/>
      <c r="C219" s="631"/>
      <c r="D219" s="644"/>
      <c r="E219" s="631"/>
      <c r="F219" s="631"/>
      <c r="G219" s="645"/>
      <c r="H219" s="631"/>
      <c r="I219" s="631"/>
      <c r="J219" s="646"/>
      <c r="K219" s="631"/>
      <c r="L219" s="631"/>
      <c r="M219" s="647"/>
    </row>
    <row r="220" ht="15.75" customHeight="1">
      <c r="B220" s="643"/>
      <c r="C220" s="631"/>
      <c r="D220" s="644"/>
      <c r="E220" s="631"/>
      <c r="F220" s="631"/>
      <c r="G220" s="645"/>
      <c r="H220" s="631"/>
      <c r="I220" s="631"/>
      <c r="J220" s="646"/>
      <c r="K220" s="631"/>
      <c r="L220" s="631"/>
      <c r="M220" s="647"/>
    </row>
    <row r="221" ht="15.75" customHeight="1">
      <c r="B221" s="643"/>
      <c r="C221" s="631"/>
      <c r="D221" s="644"/>
      <c r="E221" s="631"/>
      <c r="F221" s="631"/>
      <c r="G221" s="645"/>
      <c r="H221" s="631"/>
      <c r="I221" s="631"/>
      <c r="J221" s="646"/>
      <c r="K221" s="631"/>
      <c r="L221" s="631"/>
      <c r="M221" s="647"/>
    </row>
    <row r="222" ht="15.75" customHeight="1">
      <c r="B222" s="643"/>
      <c r="C222" s="631"/>
      <c r="D222" s="644"/>
      <c r="E222" s="631"/>
      <c r="F222" s="631"/>
      <c r="G222" s="645"/>
      <c r="H222" s="631"/>
      <c r="I222" s="631"/>
      <c r="J222" s="646"/>
      <c r="K222" s="631"/>
      <c r="L222" s="631"/>
      <c r="M222" s="647"/>
    </row>
    <row r="223" ht="15.75" customHeight="1">
      <c r="B223" s="643"/>
      <c r="C223" s="631"/>
      <c r="D223" s="644"/>
      <c r="E223" s="631"/>
      <c r="F223" s="631"/>
      <c r="G223" s="645"/>
      <c r="H223" s="631"/>
      <c r="I223" s="631"/>
      <c r="J223" s="646"/>
      <c r="K223" s="631"/>
      <c r="L223" s="631"/>
      <c r="M223" s="647"/>
    </row>
    <row r="224" ht="15.75" customHeight="1">
      <c r="B224" s="643"/>
      <c r="C224" s="631"/>
      <c r="D224" s="644"/>
      <c r="E224" s="631"/>
      <c r="F224" s="631"/>
      <c r="G224" s="645"/>
      <c r="H224" s="631"/>
      <c r="I224" s="631"/>
      <c r="J224" s="646"/>
      <c r="K224" s="631"/>
      <c r="L224" s="631"/>
      <c r="M224" s="647"/>
    </row>
    <row r="225" ht="15.75" customHeight="1">
      <c r="B225" s="643"/>
      <c r="C225" s="631"/>
      <c r="D225" s="644"/>
      <c r="E225" s="631"/>
      <c r="F225" s="631"/>
      <c r="G225" s="645"/>
      <c r="H225" s="631"/>
      <c r="I225" s="631"/>
      <c r="J225" s="646"/>
      <c r="K225" s="631"/>
      <c r="L225" s="631"/>
      <c r="M225" s="647"/>
    </row>
    <row r="226" ht="15.75" customHeight="1">
      <c r="B226" s="643"/>
      <c r="C226" s="631"/>
      <c r="D226" s="644"/>
      <c r="E226" s="631"/>
      <c r="F226" s="631"/>
      <c r="G226" s="645"/>
      <c r="H226" s="631"/>
      <c r="I226" s="631"/>
      <c r="J226" s="646"/>
      <c r="K226" s="631"/>
      <c r="L226" s="631"/>
      <c r="M226" s="647"/>
    </row>
    <row r="227" ht="15.75" customHeight="1">
      <c r="B227" s="643"/>
      <c r="C227" s="631"/>
      <c r="D227" s="644"/>
      <c r="E227" s="631"/>
      <c r="F227" s="631"/>
      <c r="G227" s="645"/>
      <c r="H227" s="631"/>
      <c r="I227" s="631"/>
      <c r="J227" s="646"/>
      <c r="K227" s="631"/>
      <c r="L227" s="631"/>
      <c r="M227" s="647"/>
    </row>
    <row r="228" ht="15.75" customHeight="1">
      <c r="B228" s="643"/>
      <c r="C228" s="631"/>
      <c r="D228" s="644"/>
      <c r="E228" s="631"/>
      <c r="F228" s="631"/>
      <c r="G228" s="645"/>
      <c r="H228" s="631"/>
      <c r="I228" s="631"/>
      <c r="J228" s="646"/>
      <c r="K228" s="631"/>
      <c r="L228" s="631"/>
      <c r="M228" s="647"/>
    </row>
    <row r="229" ht="15.75" customHeight="1">
      <c r="B229" s="643"/>
      <c r="C229" s="631"/>
      <c r="D229" s="644"/>
      <c r="E229" s="631"/>
      <c r="F229" s="631"/>
      <c r="G229" s="645"/>
      <c r="H229" s="631"/>
      <c r="I229" s="631"/>
      <c r="J229" s="646"/>
      <c r="K229" s="631"/>
      <c r="L229" s="631"/>
      <c r="M229" s="647"/>
    </row>
    <row r="230" ht="15.75" customHeight="1">
      <c r="B230" s="643"/>
      <c r="C230" s="631"/>
      <c r="D230" s="644"/>
      <c r="E230" s="631"/>
      <c r="F230" s="631"/>
      <c r="G230" s="645"/>
      <c r="H230" s="631"/>
      <c r="I230" s="631"/>
      <c r="J230" s="646"/>
      <c r="K230" s="631"/>
      <c r="L230" s="631"/>
      <c r="M230" s="647"/>
    </row>
    <row r="231" ht="15.75" customHeight="1">
      <c r="B231" s="643"/>
      <c r="C231" s="631"/>
      <c r="D231" s="644"/>
      <c r="E231" s="631"/>
      <c r="F231" s="631"/>
      <c r="G231" s="645"/>
      <c r="H231" s="631"/>
      <c r="I231" s="631"/>
      <c r="J231" s="646"/>
      <c r="K231" s="631"/>
      <c r="L231" s="631"/>
      <c r="M231" s="647"/>
    </row>
    <row r="232" ht="15.75" customHeight="1">
      <c r="B232" s="643"/>
      <c r="C232" s="631"/>
      <c r="D232" s="644"/>
      <c r="E232" s="631"/>
      <c r="F232" s="631"/>
      <c r="G232" s="645"/>
      <c r="H232" s="631"/>
      <c r="I232" s="631"/>
      <c r="J232" s="646"/>
      <c r="K232" s="631"/>
      <c r="L232" s="631"/>
      <c r="M232" s="647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48" t="s">
        <v>224</v>
      </c>
      <c r="B1" s="649" t="s">
        <v>328</v>
      </c>
      <c r="C1" s="649" t="s">
        <v>225</v>
      </c>
      <c r="D1" s="649" t="s">
        <v>329</v>
      </c>
      <c r="E1" s="649" t="s">
        <v>35</v>
      </c>
      <c r="F1" s="649" t="s">
        <v>201</v>
      </c>
      <c r="G1" s="650" t="s">
        <v>330</v>
      </c>
      <c r="H1" s="649" t="s">
        <v>56</v>
      </c>
      <c r="I1" s="649" t="s">
        <v>50</v>
      </c>
    </row>
    <row r="2" hidden="1">
      <c r="A2" s="626">
        <v>43718.0</v>
      </c>
      <c r="B2" s="626">
        <v>43714.0</v>
      </c>
      <c r="C2" s="627"/>
      <c r="D2" s="627">
        <f>115*60</f>
        <v>6900</v>
      </c>
      <c r="E2" s="627"/>
      <c r="F2" s="627">
        <f>500*16</f>
        <v>8000</v>
      </c>
      <c r="G2" s="627">
        <f>5539+8174</f>
        <v>13713</v>
      </c>
      <c r="H2" s="627">
        <f t="shared" ref="H2:H157" si="1">SUM(C2:G2)</f>
        <v>28613</v>
      </c>
      <c r="I2" s="552">
        <v>27.313</v>
      </c>
      <c r="J2" s="630">
        <f t="shared" ref="J2:J194" si="2">I2-H2</f>
        <v>-28585.687</v>
      </c>
    </row>
    <row r="3" hidden="1">
      <c r="A3" s="626">
        <v>43718.0</v>
      </c>
      <c r="B3" s="626">
        <v>43715.0</v>
      </c>
      <c r="C3" s="627"/>
      <c r="D3" s="627">
        <f>40*60</f>
        <v>2400</v>
      </c>
      <c r="E3" s="627"/>
      <c r="F3" s="627">
        <f>50*16</f>
        <v>800</v>
      </c>
      <c r="G3" s="627">
        <f>25184+31278.01</f>
        <v>56462.01</v>
      </c>
      <c r="H3" s="627">
        <f t="shared" si="1"/>
        <v>59662.01</v>
      </c>
      <c r="I3" s="552">
        <v>61.314</v>
      </c>
      <c r="J3" s="651">
        <f t="shared" si="2"/>
        <v>-59600.696</v>
      </c>
    </row>
    <row r="4" hidden="1">
      <c r="A4" s="626">
        <v>43718.0</v>
      </c>
      <c r="B4" s="626">
        <v>43716.0</v>
      </c>
      <c r="C4" s="627">
        <f>4000+2500+2500</f>
        <v>9000</v>
      </c>
      <c r="D4" s="627">
        <f>153*60</f>
        <v>9180</v>
      </c>
      <c r="E4" s="627">
        <f>50*70</f>
        <v>3500</v>
      </c>
      <c r="F4" s="627">
        <f>+(300+225+110+200)*16</f>
        <v>13360</v>
      </c>
      <c r="G4" s="627">
        <f>7984+24145</f>
        <v>32129</v>
      </c>
      <c r="H4" s="627">
        <f t="shared" si="1"/>
        <v>67169</v>
      </c>
      <c r="I4" s="552">
        <v>67.165</v>
      </c>
      <c r="J4" s="630">
        <f t="shared" si="2"/>
        <v>-67101.835</v>
      </c>
    </row>
    <row r="5" hidden="1">
      <c r="A5" s="626">
        <v>43718.0</v>
      </c>
      <c r="B5" s="626">
        <v>43717.0</v>
      </c>
      <c r="C5" s="627">
        <v>5.0</v>
      </c>
      <c r="D5" s="627">
        <f>+(120+66)*60</f>
        <v>11160</v>
      </c>
      <c r="E5" s="627">
        <f>100*70</f>
        <v>7000</v>
      </c>
      <c r="F5" s="627">
        <f t="shared" ref="F5:F6" si="3">400*16</f>
        <v>6400</v>
      </c>
      <c r="G5" s="627"/>
      <c r="H5" s="627">
        <f t="shared" si="1"/>
        <v>24565</v>
      </c>
      <c r="I5" s="552">
        <v>28.41</v>
      </c>
      <c r="J5" s="630">
        <f t="shared" si="2"/>
        <v>-24536.59</v>
      </c>
    </row>
    <row r="6" hidden="1">
      <c r="A6" s="626">
        <v>43721.0</v>
      </c>
      <c r="B6" s="626">
        <v>43718.0</v>
      </c>
      <c r="C6" s="330"/>
      <c r="D6" s="627">
        <f>+(200+66)*60</f>
        <v>15960</v>
      </c>
      <c r="E6" s="627"/>
      <c r="F6" s="627">
        <f t="shared" si="3"/>
        <v>6400</v>
      </c>
      <c r="G6" s="627">
        <v>19.02</v>
      </c>
      <c r="H6" s="627">
        <f t="shared" si="1"/>
        <v>22379.02</v>
      </c>
      <c r="I6" s="552">
        <v>40.52</v>
      </c>
      <c r="J6" s="630">
        <f t="shared" si="2"/>
        <v>-22338.5</v>
      </c>
    </row>
    <row r="7" hidden="1">
      <c r="A7" s="626">
        <v>43721.0</v>
      </c>
      <c r="B7" s="626">
        <v>43719.0</v>
      </c>
      <c r="C7" s="330"/>
      <c r="D7" s="330"/>
      <c r="E7" s="330"/>
      <c r="F7" s="330"/>
      <c r="G7" s="627">
        <v>31.816</v>
      </c>
      <c r="H7" s="627">
        <f t="shared" si="1"/>
        <v>31.816</v>
      </c>
      <c r="I7" s="552">
        <v>31.816</v>
      </c>
      <c r="J7" s="630">
        <f t="shared" si="2"/>
        <v>0</v>
      </c>
    </row>
    <row r="8" hidden="1">
      <c r="A8" s="626">
        <v>43721.0</v>
      </c>
      <c r="B8" s="626">
        <v>43720.0</v>
      </c>
      <c r="C8" s="330"/>
      <c r="D8" s="330">
        <f>30*60</f>
        <v>1800</v>
      </c>
      <c r="E8" s="330"/>
      <c r="F8" s="330">
        <f>140*16</f>
        <v>2240</v>
      </c>
      <c r="G8" s="627">
        <v>24.55</v>
      </c>
      <c r="H8" s="627">
        <f t="shared" si="1"/>
        <v>4064.55</v>
      </c>
      <c r="I8" s="552">
        <v>29.762</v>
      </c>
      <c r="J8" s="651">
        <f t="shared" si="2"/>
        <v>-4034.788</v>
      </c>
    </row>
    <row r="9" hidden="1">
      <c r="A9" s="626">
        <v>43724.0</v>
      </c>
      <c r="B9" s="626">
        <v>43721.0</v>
      </c>
      <c r="C9" s="628"/>
      <c r="D9" s="628">
        <f>200*60</f>
        <v>12000</v>
      </c>
      <c r="E9" s="628"/>
      <c r="F9" s="628">
        <f>35*16</f>
        <v>560</v>
      </c>
      <c r="G9" s="627">
        <v>7.792</v>
      </c>
      <c r="H9" s="627">
        <f t="shared" si="1"/>
        <v>12567.792</v>
      </c>
      <c r="I9" s="552">
        <v>20.342</v>
      </c>
      <c r="J9" s="630">
        <f t="shared" si="2"/>
        <v>-12547.45</v>
      </c>
    </row>
    <row r="10" hidden="1">
      <c r="A10" s="626">
        <v>43724.0</v>
      </c>
      <c r="B10" s="626">
        <v>43722.0</v>
      </c>
      <c r="C10" s="628"/>
      <c r="D10" s="628">
        <f>170*60</f>
        <v>10200</v>
      </c>
      <c r="E10" s="628"/>
      <c r="F10" s="628"/>
      <c r="G10" s="627">
        <f>4390+8852</f>
        <v>13242</v>
      </c>
      <c r="H10" s="627">
        <f t="shared" si="1"/>
        <v>23442</v>
      </c>
      <c r="I10" s="552">
        <v>22.812</v>
      </c>
      <c r="J10" s="630">
        <f t="shared" si="2"/>
        <v>-23419.188</v>
      </c>
    </row>
    <row r="11" hidden="1">
      <c r="A11" s="626">
        <v>43724.0</v>
      </c>
      <c r="B11" s="626">
        <v>43723.0</v>
      </c>
      <c r="C11" s="628">
        <f>2500+2500+3200+2500</f>
        <v>10700</v>
      </c>
      <c r="D11" s="628">
        <f>400*60</f>
        <v>24000</v>
      </c>
      <c r="E11" s="628"/>
      <c r="F11" s="628">
        <f>+(300+470+54+200)*16</f>
        <v>16384</v>
      </c>
      <c r="G11" s="627">
        <f>20290+25120</f>
        <v>45410</v>
      </c>
      <c r="H11" s="627">
        <f t="shared" si="1"/>
        <v>96494</v>
      </c>
      <c r="I11" s="552">
        <v>98.102</v>
      </c>
      <c r="J11" s="651">
        <f t="shared" si="2"/>
        <v>-96395.898</v>
      </c>
    </row>
    <row r="12" hidden="1">
      <c r="A12" s="626">
        <v>43731.0</v>
      </c>
      <c r="B12" s="626">
        <v>43724.0</v>
      </c>
      <c r="C12" s="628"/>
      <c r="D12" s="628"/>
      <c r="E12" s="628"/>
      <c r="F12" s="628">
        <f>400*16</f>
        <v>6400</v>
      </c>
      <c r="G12" s="627">
        <v>14.51</v>
      </c>
      <c r="H12" s="627">
        <f t="shared" si="1"/>
        <v>6414.51</v>
      </c>
      <c r="I12" s="552">
        <v>20.96</v>
      </c>
      <c r="J12" s="651">
        <f t="shared" si="2"/>
        <v>-6393.55</v>
      </c>
    </row>
    <row r="13" hidden="1">
      <c r="A13" s="626">
        <v>43731.0</v>
      </c>
      <c r="B13" s="626">
        <v>43725.0</v>
      </c>
      <c r="C13" s="628"/>
      <c r="D13" s="628">
        <f>40*60</f>
        <v>2400</v>
      </c>
      <c r="E13" s="628"/>
      <c r="F13" s="628">
        <f>100*16</f>
        <v>1600</v>
      </c>
      <c r="G13" s="627">
        <f>6530+3950+1990</f>
        <v>12470</v>
      </c>
      <c r="H13" s="627">
        <f t="shared" si="1"/>
        <v>16470</v>
      </c>
      <c r="I13" s="552">
        <v>15.53</v>
      </c>
      <c r="J13" s="630">
        <f t="shared" si="2"/>
        <v>-16454.47</v>
      </c>
    </row>
    <row r="14" hidden="1">
      <c r="A14" s="626">
        <v>43731.0</v>
      </c>
      <c r="B14" s="626">
        <v>43726.0</v>
      </c>
      <c r="C14" s="628"/>
      <c r="D14" s="628">
        <f>11*60</f>
        <v>660</v>
      </c>
      <c r="E14" s="628"/>
      <c r="F14" s="628"/>
      <c r="G14" s="627">
        <v>17.54</v>
      </c>
      <c r="H14" s="627">
        <f t="shared" si="1"/>
        <v>677.54</v>
      </c>
      <c r="I14" s="552">
        <v>18.17</v>
      </c>
      <c r="J14" s="630">
        <f t="shared" si="2"/>
        <v>-659.37</v>
      </c>
    </row>
    <row r="15" hidden="1">
      <c r="A15" s="626">
        <v>43731.0</v>
      </c>
      <c r="B15" s="626">
        <v>43727.0</v>
      </c>
      <c r="C15" s="628"/>
      <c r="D15" s="628"/>
      <c r="E15" s="628">
        <f>(50+60+20)*70</f>
        <v>9100</v>
      </c>
      <c r="F15" s="628">
        <f>200*16</f>
        <v>3200</v>
      </c>
      <c r="G15" s="627">
        <f>3990+4390+3990</f>
        <v>12370</v>
      </c>
      <c r="H15" s="627">
        <f t="shared" si="1"/>
        <v>24670</v>
      </c>
      <c r="I15" s="552">
        <v>23.52</v>
      </c>
      <c r="J15" s="630">
        <f t="shared" si="2"/>
        <v>-24646.48</v>
      </c>
    </row>
    <row r="16" hidden="1">
      <c r="A16" s="626">
        <v>43731.0</v>
      </c>
      <c r="B16" s="626">
        <v>43728.0</v>
      </c>
      <c r="C16" s="628"/>
      <c r="D16" s="628">
        <f>100*60</f>
        <v>6000</v>
      </c>
      <c r="E16" s="628"/>
      <c r="F16" s="628">
        <f>50*16</f>
        <v>800</v>
      </c>
      <c r="G16" s="627">
        <f>6200+14110</f>
        <v>20310</v>
      </c>
      <c r="H16" s="627">
        <f t="shared" si="1"/>
        <v>27110</v>
      </c>
      <c r="I16" s="552">
        <v>27.91</v>
      </c>
      <c r="J16" s="651">
        <f t="shared" si="2"/>
        <v>-27082.09</v>
      </c>
    </row>
    <row r="17" hidden="1">
      <c r="A17" s="626">
        <v>43731.0</v>
      </c>
      <c r="B17" s="626">
        <v>43729.0</v>
      </c>
      <c r="C17" s="628">
        <f>2500+800</f>
        <v>3300</v>
      </c>
      <c r="D17" s="628">
        <f>(160+236)*60</f>
        <v>23760</v>
      </c>
      <c r="E17" s="628">
        <f>40*70</f>
        <v>2800</v>
      </c>
      <c r="F17" s="628"/>
      <c r="G17" s="627">
        <f>16270+6790</f>
        <v>23060</v>
      </c>
      <c r="H17" s="627">
        <f t="shared" si="1"/>
        <v>52920</v>
      </c>
      <c r="I17" s="552">
        <v>53.965</v>
      </c>
      <c r="J17" s="651">
        <f t="shared" si="2"/>
        <v>-52866.035</v>
      </c>
    </row>
    <row r="18" hidden="1">
      <c r="A18" s="626">
        <v>43731.0</v>
      </c>
      <c r="B18" s="626">
        <v>43730.0</v>
      </c>
      <c r="C18" s="628"/>
      <c r="D18" s="628">
        <f>180*60</f>
        <v>10800</v>
      </c>
      <c r="E18" s="628"/>
      <c r="F18" s="628">
        <f>160*16</f>
        <v>2560</v>
      </c>
      <c r="G18" s="627">
        <f>12760+6380</f>
        <v>19140</v>
      </c>
      <c r="H18" s="627">
        <f t="shared" si="1"/>
        <v>32500</v>
      </c>
      <c r="I18" s="552">
        <v>32.2</v>
      </c>
      <c r="J18" s="630">
        <f t="shared" si="2"/>
        <v>-32467.8</v>
      </c>
    </row>
    <row r="19" hidden="1">
      <c r="A19" s="626">
        <v>43735.0</v>
      </c>
      <c r="B19" s="626">
        <v>43731.0</v>
      </c>
      <c r="C19" s="628"/>
      <c r="D19" s="628">
        <f>160*60</f>
        <v>9600</v>
      </c>
      <c r="E19" s="628"/>
      <c r="F19" s="628"/>
      <c r="G19" s="627">
        <v>1.18</v>
      </c>
      <c r="H19" s="627">
        <f t="shared" si="1"/>
        <v>9601.18</v>
      </c>
      <c r="I19" s="552">
        <v>10.65</v>
      </c>
      <c r="J19" s="630">
        <f t="shared" si="2"/>
        <v>-9590.53</v>
      </c>
    </row>
    <row r="20" hidden="1">
      <c r="A20" s="626">
        <v>43735.0</v>
      </c>
      <c r="B20" s="626">
        <v>43732.0</v>
      </c>
      <c r="C20" s="628">
        <f>250+2500+5000</f>
        <v>7750</v>
      </c>
      <c r="D20" s="628"/>
      <c r="E20" s="628"/>
      <c r="F20" s="628"/>
      <c r="G20" s="627">
        <f>17860+4390</f>
        <v>22250</v>
      </c>
      <c r="H20" s="627">
        <f t="shared" si="1"/>
        <v>30000</v>
      </c>
      <c r="I20" s="552">
        <v>30.94</v>
      </c>
      <c r="J20" s="651">
        <f t="shared" si="2"/>
        <v>-29969.06</v>
      </c>
    </row>
    <row r="21" ht="15.75" hidden="1" customHeight="1">
      <c r="A21" s="626">
        <v>43735.0</v>
      </c>
      <c r="B21" s="626">
        <v>43733.0</v>
      </c>
      <c r="C21" s="628"/>
      <c r="D21" s="628">
        <f>+(80+70)*60</f>
        <v>9000</v>
      </c>
      <c r="E21" s="628"/>
      <c r="F21" s="628"/>
      <c r="G21" s="627">
        <f>7720+22370</f>
        <v>30090</v>
      </c>
      <c r="H21" s="627">
        <f t="shared" si="1"/>
        <v>39090</v>
      </c>
      <c r="I21" s="552">
        <v>38.78</v>
      </c>
      <c r="J21" s="630">
        <f t="shared" si="2"/>
        <v>-39051.22</v>
      </c>
    </row>
    <row r="22" ht="15.75" hidden="1" customHeight="1">
      <c r="A22" s="626">
        <v>43735.0</v>
      </c>
      <c r="B22" s="626">
        <v>43734.0</v>
      </c>
      <c r="C22" s="628"/>
      <c r="D22" s="628">
        <f>94*60</f>
        <v>5640</v>
      </c>
      <c r="E22" s="628"/>
      <c r="F22" s="628">
        <f>25*16</f>
        <v>400</v>
      </c>
      <c r="G22" s="627">
        <f>12240+6050</f>
        <v>18290</v>
      </c>
      <c r="H22" s="627">
        <f t="shared" si="1"/>
        <v>24330</v>
      </c>
      <c r="I22" s="552">
        <v>24.58</v>
      </c>
      <c r="J22" s="651">
        <f t="shared" si="2"/>
        <v>-24305.42</v>
      </c>
    </row>
    <row r="23" ht="15.75" hidden="1" customHeight="1">
      <c r="A23" s="626">
        <v>43738.0</v>
      </c>
      <c r="B23" s="626">
        <v>43735.0</v>
      </c>
      <c r="C23" s="628">
        <f>1700+2500</f>
        <v>4200</v>
      </c>
      <c r="D23" s="628"/>
      <c r="E23" s="628"/>
      <c r="F23" s="628">
        <f>250*16</f>
        <v>4000</v>
      </c>
      <c r="G23" s="627">
        <f>77690+10480</f>
        <v>88170</v>
      </c>
      <c r="H23" s="627">
        <f t="shared" si="1"/>
        <v>96370</v>
      </c>
      <c r="I23" s="552">
        <v>96.67</v>
      </c>
      <c r="J23" s="651">
        <f t="shared" si="2"/>
        <v>-96273.33</v>
      </c>
    </row>
    <row r="24" ht="15.75" hidden="1" customHeight="1">
      <c r="A24" s="626">
        <v>43738.0</v>
      </c>
      <c r="B24" s="626">
        <v>43736.0</v>
      </c>
      <c r="C24" s="628" t="s">
        <v>331</v>
      </c>
      <c r="D24" s="628">
        <f>20*60</f>
        <v>1200</v>
      </c>
      <c r="E24" s="628"/>
      <c r="F24" s="628"/>
      <c r="G24" s="627">
        <f>20790+1990</f>
        <v>22780</v>
      </c>
      <c r="H24" s="627">
        <f t="shared" si="1"/>
        <v>23980</v>
      </c>
      <c r="I24" s="552">
        <v>27.93</v>
      </c>
      <c r="J24" s="651">
        <f t="shared" si="2"/>
        <v>-23952.07</v>
      </c>
    </row>
    <row r="25" ht="15.75" hidden="1" customHeight="1">
      <c r="A25" s="626">
        <v>43738.0</v>
      </c>
      <c r="B25" s="626">
        <v>43737.0</v>
      </c>
      <c r="C25" s="628" t="s">
        <v>332</v>
      </c>
      <c r="D25" s="628">
        <f>100*60</f>
        <v>6000</v>
      </c>
      <c r="E25" s="628"/>
      <c r="F25" s="628"/>
      <c r="G25" s="627">
        <f>630+1990+11180+4790+5590+4390+5590+3990+710+5590+3990+620+3990+16470+5590+13170+11590+4390</f>
        <v>104260</v>
      </c>
      <c r="H25" s="627">
        <f t="shared" si="1"/>
        <v>110260</v>
      </c>
      <c r="I25" s="552">
        <v>109.41</v>
      </c>
      <c r="J25" s="630">
        <f t="shared" si="2"/>
        <v>-110150.59</v>
      </c>
    </row>
    <row r="26" ht="15.75" hidden="1" customHeight="1">
      <c r="A26" s="626">
        <v>43740.0</v>
      </c>
      <c r="B26" s="626">
        <v>43738.0</v>
      </c>
      <c r="C26" s="628"/>
      <c r="D26" s="628"/>
      <c r="E26" s="628"/>
      <c r="F26" s="628"/>
      <c r="G26" s="627">
        <v>5.59</v>
      </c>
      <c r="H26" s="627">
        <f t="shared" si="1"/>
        <v>5.59</v>
      </c>
      <c r="I26" s="552">
        <v>7.89</v>
      </c>
      <c r="J26" s="651">
        <f t="shared" si="2"/>
        <v>2.3</v>
      </c>
    </row>
    <row r="27" ht="15.75" hidden="1" customHeight="1">
      <c r="A27" s="626">
        <v>43740.0</v>
      </c>
      <c r="B27" s="626">
        <v>43739.0</v>
      </c>
      <c r="C27" s="628">
        <f>2500+200</f>
        <v>2700</v>
      </c>
      <c r="D27" s="628">
        <f>70*60</f>
        <v>4200</v>
      </c>
      <c r="E27" s="628"/>
      <c r="F27" s="628">
        <f>250*16</f>
        <v>4000</v>
      </c>
      <c r="G27" s="627">
        <v>7.19</v>
      </c>
      <c r="H27" s="627">
        <f t="shared" si="1"/>
        <v>10907.19</v>
      </c>
      <c r="I27" s="552">
        <v>18.09</v>
      </c>
      <c r="J27" s="630">
        <f t="shared" si="2"/>
        <v>-10889.1</v>
      </c>
    </row>
    <row r="28" ht="15.75" hidden="1" customHeight="1">
      <c r="A28" s="626">
        <v>43745.0</v>
      </c>
      <c r="B28" s="626">
        <v>43742.0</v>
      </c>
      <c r="C28" s="628">
        <f>870+870+4390+630</f>
        <v>6760</v>
      </c>
      <c r="D28" s="628">
        <f>200*60</f>
        <v>12000</v>
      </c>
      <c r="E28" s="628"/>
      <c r="F28" s="628"/>
      <c r="G28" s="627">
        <f>13471</f>
        <v>13471</v>
      </c>
      <c r="H28" s="627">
        <f t="shared" si="1"/>
        <v>32231</v>
      </c>
      <c r="I28" s="552">
        <v>30.221</v>
      </c>
      <c r="J28" s="630">
        <f t="shared" si="2"/>
        <v>-32200.779</v>
      </c>
    </row>
    <row r="29" ht="15.75" hidden="1" customHeight="1">
      <c r="A29" s="626">
        <v>43745.0</v>
      </c>
      <c r="B29" s="626">
        <v>43743.0</v>
      </c>
      <c r="C29" s="628">
        <f>1270+630+550</f>
        <v>2450</v>
      </c>
      <c r="D29" s="628"/>
      <c r="E29" s="628"/>
      <c r="F29" s="628"/>
      <c r="G29" s="627">
        <v>22.752</v>
      </c>
      <c r="H29" s="627">
        <f t="shared" si="1"/>
        <v>2472.752</v>
      </c>
      <c r="I29" s="552">
        <v>25.202</v>
      </c>
      <c r="J29" s="630">
        <f t="shared" si="2"/>
        <v>-2447.55</v>
      </c>
    </row>
    <row r="30" ht="15.75" hidden="1" customHeight="1">
      <c r="A30" s="626">
        <v>43745.0</v>
      </c>
      <c r="B30" s="626">
        <v>43744.0</v>
      </c>
      <c r="C30" s="628">
        <f>4390+4390+200+1270+1030+1190+1190+310+990+870+710</f>
        <v>16540</v>
      </c>
      <c r="D30" s="628">
        <f>(70+60+80+100+220)*60</f>
        <v>31800</v>
      </c>
      <c r="E30" s="628"/>
      <c r="F30" s="628">
        <f>(200+50+300+300+200)*16</f>
        <v>16800</v>
      </c>
      <c r="G30" s="627">
        <f>11560+8530</f>
        <v>20090</v>
      </c>
      <c r="H30" s="627">
        <f t="shared" si="1"/>
        <v>85230</v>
      </c>
      <c r="I30" s="552">
        <v>87.52</v>
      </c>
      <c r="J30" s="652">
        <f t="shared" si="2"/>
        <v>-85142.48</v>
      </c>
    </row>
    <row r="31" ht="15.75" hidden="1" customHeight="1">
      <c r="A31" s="626">
        <v>43746.0</v>
      </c>
      <c r="B31" s="626">
        <v>43740.0</v>
      </c>
      <c r="C31" s="628"/>
      <c r="D31" s="628">
        <f>125*60</f>
        <v>7500</v>
      </c>
      <c r="E31" s="628"/>
      <c r="F31" s="628">
        <f>300*16</f>
        <v>4800</v>
      </c>
      <c r="G31" s="627">
        <f>6640</f>
        <v>6640</v>
      </c>
      <c r="H31" s="627">
        <f t="shared" si="1"/>
        <v>18940</v>
      </c>
      <c r="I31" s="552">
        <v>20.39</v>
      </c>
      <c r="J31" s="630">
        <f t="shared" si="2"/>
        <v>-18919.61</v>
      </c>
    </row>
    <row r="32" ht="15.75" hidden="1" customHeight="1">
      <c r="A32" s="626">
        <v>43746.0</v>
      </c>
      <c r="B32" s="626">
        <v>43741.0</v>
      </c>
      <c r="C32" s="628">
        <f>1500</f>
        <v>1500</v>
      </c>
      <c r="D32" s="628"/>
      <c r="E32" s="628">
        <f>100*70</f>
        <v>7000</v>
      </c>
      <c r="F32" s="628">
        <f>450*16</f>
        <v>7200</v>
      </c>
      <c r="G32" s="627">
        <f>5390+2320</f>
        <v>7710</v>
      </c>
      <c r="H32" s="627">
        <f t="shared" si="1"/>
        <v>23410</v>
      </c>
      <c r="I32" s="552">
        <v>23.29</v>
      </c>
      <c r="J32" s="630">
        <f t="shared" si="2"/>
        <v>-23386.71</v>
      </c>
    </row>
    <row r="33" ht="15.75" hidden="1" customHeight="1">
      <c r="A33" s="626">
        <v>43753.0</v>
      </c>
      <c r="B33" s="626">
        <v>43745.0</v>
      </c>
      <c r="C33" s="628"/>
      <c r="D33" s="628">
        <f>200*60</f>
        <v>12000</v>
      </c>
      <c r="E33" s="628"/>
      <c r="F33" s="628">
        <f>50*16</f>
        <v>800</v>
      </c>
      <c r="G33" s="627">
        <f>13920+3180</f>
        <v>17100</v>
      </c>
      <c r="H33" s="627">
        <f t="shared" si="1"/>
        <v>29900</v>
      </c>
      <c r="I33" s="552">
        <v>30.51</v>
      </c>
      <c r="J33" s="630">
        <f t="shared" si="2"/>
        <v>-29869.49</v>
      </c>
    </row>
    <row r="34" ht="15.75" hidden="1" customHeight="1">
      <c r="A34" s="626">
        <v>43753.0</v>
      </c>
      <c r="B34" s="626">
        <v>43746.0</v>
      </c>
      <c r="C34" s="628"/>
      <c r="D34" s="628">
        <f>250*60</f>
        <v>15000</v>
      </c>
      <c r="E34" s="628"/>
      <c r="F34" s="628">
        <f>450*16</f>
        <v>7200</v>
      </c>
      <c r="G34" s="627">
        <f>1420+7700+1340+4940</f>
        <v>15400</v>
      </c>
      <c r="H34" s="627">
        <f t="shared" si="1"/>
        <v>37600</v>
      </c>
      <c r="I34" s="552">
        <v>28.88</v>
      </c>
      <c r="J34" s="630">
        <f t="shared" si="2"/>
        <v>-37571.12</v>
      </c>
    </row>
    <row r="35" ht="15.75" hidden="1" customHeight="1">
      <c r="A35" s="626">
        <v>43753.0</v>
      </c>
      <c r="B35" s="626">
        <v>43747.0</v>
      </c>
      <c r="C35" s="628" t="s">
        <v>333</v>
      </c>
      <c r="D35" s="628">
        <f>200*60</f>
        <v>12000</v>
      </c>
      <c r="E35" s="628"/>
      <c r="F35" s="628">
        <f t="shared" ref="F35:F36" si="4">350*16</f>
        <v>5600</v>
      </c>
      <c r="G35" s="627"/>
      <c r="H35" s="627">
        <f t="shared" si="1"/>
        <v>17600</v>
      </c>
      <c r="I35" s="552">
        <v>22.42</v>
      </c>
      <c r="J35" s="630">
        <f t="shared" si="2"/>
        <v>-17577.58</v>
      </c>
    </row>
    <row r="36" ht="15.75" hidden="1" customHeight="1">
      <c r="A36" s="626">
        <v>43753.0</v>
      </c>
      <c r="B36" s="626">
        <v>43748.0</v>
      </c>
      <c r="C36" s="628">
        <f>2500+2000</f>
        <v>4500</v>
      </c>
      <c r="D36" s="628">
        <f>20*60</f>
        <v>1200</v>
      </c>
      <c r="E36" s="628">
        <f>130*70</f>
        <v>9100</v>
      </c>
      <c r="F36" s="628">
        <f t="shared" si="4"/>
        <v>5600</v>
      </c>
      <c r="G36" s="627">
        <f>4941</f>
        <v>4941</v>
      </c>
      <c r="H36" s="627">
        <f t="shared" si="1"/>
        <v>25341</v>
      </c>
      <c r="I36" s="552">
        <v>25.421</v>
      </c>
      <c r="J36" s="630">
        <f t="shared" si="2"/>
        <v>-25315.579</v>
      </c>
    </row>
    <row r="37" ht="15.75" hidden="1" customHeight="1">
      <c r="A37" s="626">
        <v>43753.0</v>
      </c>
      <c r="B37" s="626">
        <v>43749.0</v>
      </c>
      <c r="C37" s="628">
        <f>2000+5000</f>
        <v>7000</v>
      </c>
      <c r="D37" s="628">
        <f>(72+116+70)*60</f>
        <v>15480</v>
      </c>
      <c r="E37" s="628"/>
      <c r="F37" s="628">
        <f>(150+350+100+150)*16</f>
        <v>12000</v>
      </c>
      <c r="G37" s="627">
        <f>980+4041+6290+4940+2240+1700</f>
        <v>20191</v>
      </c>
      <c r="H37" s="627">
        <f t="shared" si="1"/>
        <v>54671</v>
      </c>
      <c r="I37" s="552">
        <v>54.221</v>
      </c>
      <c r="J37" s="630">
        <f t="shared" si="2"/>
        <v>-54616.779</v>
      </c>
    </row>
    <row r="38" ht="15.75" hidden="1" customHeight="1">
      <c r="A38" s="626">
        <v>43753.0</v>
      </c>
      <c r="B38" s="626">
        <v>43750.0</v>
      </c>
      <c r="C38" s="628" t="s">
        <v>334</v>
      </c>
      <c r="D38" s="628">
        <f>170*60</f>
        <v>10200</v>
      </c>
      <c r="E38" s="628"/>
      <c r="F38" s="628"/>
      <c r="G38" s="627">
        <f>8490+4990+4170</f>
        <v>17650</v>
      </c>
      <c r="H38" s="627">
        <f t="shared" si="1"/>
        <v>27850</v>
      </c>
      <c r="I38" s="552">
        <v>29.64</v>
      </c>
      <c r="J38" s="630">
        <f t="shared" si="2"/>
        <v>-27820.36</v>
      </c>
    </row>
    <row r="39" ht="15.75" hidden="1" customHeight="1">
      <c r="A39" s="626">
        <v>43753.0</v>
      </c>
      <c r="B39" s="626">
        <v>43751.0</v>
      </c>
      <c r="C39" s="628">
        <f>2500+2500+700</f>
        <v>5700</v>
      </c>
      <c r="D39" s="628">
        <f>120*60</f>
        <v>7200</v>
      </c>
      <c r="E39" s="628">
        <f>100*70</f>
        <v>7000</v>
      </c>
      <c r="F39" s="628">
        <f>(100+320+120)*16</f>
        <v>8640</v>
      </c>
      <c r="G39" s="627">
        <f>35000+14490</f>
        <v>49490</v>
      </c>
      <c r="H39" s="627">
        <f t="shared" si="1"/>
        <v>78030</v>
      </c>
      <c r="I39" s="552">
        <v>78.09</v>
      </c>
      <c r="J39" s="630">
        <f t="shared" si="2"/>
        <v>-77951.91</v>
      </c>
    </row>
    <row r="40" ht="15.75" hidden="1" customHeight="1">
      <c r="A40" s="626">
        <v>43759.0</v>
      </c>
      <c r="B40" s="626">
        <v>43752.0</v>
      </c>
      <c r="C40" s="628"/>
      <c r="D40" s="628">
        <f>220*60</f>
        <v>13200</v>
      </c>
      <c r="E40" s="628"/>
      <c r="F40" s="628"/>
      <c r="G40" s="627"/>
      <c r="H40" s="627">
        <f t="shared" si="1"/>
        <v>13200</v>
      </c>
      <c r="I40" s="552">
        <v>13.11</v>
      </c>
      <c r="J40" s="630">
        <f t="shared" si="2"/>
        <v>-13186.89</v>
      </c>
    </row>
    <row r="41" ht="15.75" hidden="1" customHeight="1">
      <c r="A41" s="626">
        <v>43759.0</v>
      </c>
      <c r="B41" s="626">
        <v>43753.0</v>
      </c>
      <c r="C41" s="628"/>
      <c r="D41" s="628">
        <f>100*60</f>
        <v>6000</v>
      </c>
      <c r="E41" s="628"/>
      <c r="F41" s="628"/>
      <c r="G41" s="627">
        <f>5490+7990+7870</f>
        <v>21350</v>
      </c>
      <c r="H41" s="627">
        <f t="shared" si="1"/>
        <v>27350</v>
      </c>
      <c r="I41" s="552">
        <v>26.78</v>
      </c>
      <c r="J41" s="630">
        <f t="shared" si="2"/>
        <v>-27323.22</v>
      </c>
    </row>
    <row r="42" ht="15.75" hidden="1" customHeight="1">
      <c r="A42" s="626">
        <v>43759.0</v>
      </c>
      <c r="B42" s="626">
        <v>43754.0</v>
      </c>
      <c r="C42" s="628" t="s">
        <v>331</v>
      </c>
      <c r="D42" s="628">
        <f>400*60</f>
        <v>24000</v>
      </c>
      <c r="E42" s="628"/>
      <c r="F42" s="628">
        <f>309*16</f>
        <v>4944</v>
      </c>
      <c r="G42" s="627"/>
      <c r="H42" s="627">
        <f t="shared" si="1"/>
        <v>28944</v>
      </c>
      <c r="I42" s="552">
        <v>32.75</v>
      </c>
      <c r="J42" s="630">
        <f t="shared" si="2"/>
        <v>-28911.25</v>
      </c>
    </row>
    <row r="43" ht="15.75" hidden="1" customHeight="1">
      <c r="A43" s="626">
        <v>43759.0</v>
      </c>
      <c r="B43" s="626">
        <v>43755.0</v>
      </c>
      <c r="C43" s="628" t="s">
        <v>333</v>
      </c>
      <c r="D43" s="628">
        <f>200*60</f>
        <v>12000</v>
      </c>
      <c r="E43" s="628"/>
      <c r="F43" s="628">
        <f>190*16</f>
        <v>3040</v>
      </c>
      <c r="G43" s="630">
        <f>4990+2380</f>
        <v>7370</v>
      </c>
      <c r="H43" s="627">
        <f t="shared" si="1"/>
        <v>22410</v>
      </c>
      <c r="I43" s="552">
        <v>27.48</v>
      </c>
      <c r="J43" s="630">
        <f t="shared" si="2"/>
        <v>-22382.52</v>
      </c>
    </row>
    <row r="44" ht="15.75" hidden="1" customHeight="1">
      <c r="A44" s="626">
        <v>43759.0</v>
      </c>
      <c r="B44" s="626">
        <v>43756.0</v>
      </c>
      <c r="C44" s="628">
        <f>3500</f>
        <v>3500</v>
      </c>
      <c r="D44" s="628">
        <f>340*60</f>
        <v>20400</v>
      </c>
      <c r="E44" s="628"/>
      <c r="F44" s="628">
        <f>695*16</f>
        <v>11120</v>
      </c>
      <c r="G44" s="627">
        <f>8440+11070</f>
        <v>19510</v>
      </c>
      <c r="H44" s="627">
        <f t="shared" si="1"/>
        <v>54530</v>
      </c>
      <c r="I44" s="552">
        <f>57811</f>
        <v>57811</v>
      </c>
      <c r="J44" s="652">
        <f t="shared" si="2"/>
        <v>3281</v>
      </c>
    </row>
    <row r="45" ht="15.75" hidden="1" customHeight="1">
      <c r="A45" s="626">
        <v>43759.0</v>
      </c>
      <c r="B45" s="626">
        <v>43757.0</v>
      </c>
      <c r="C45" s="628" t="s">
        <v>335</v>
      </c>
      <c r="D45" s="628">
        <f>(80+46+13)*65</f>
        <v>9035</v>
      </c>
      <c r="E45" s="628">
        <f>70*70</f>
        <v>4900</v>
      </c>
      <c r="F45" s="628"/>
      <c r="G45" s="627">
        <f>32730+4470</f>
        <v>37200</v>
      </c>
      <c r="H45" s="627">
        <f t="shared" si="1"/>
        <v>51135</v>
      </c>
      <c r="I45" s="552">
        <v>51.711</v>
      </c>
      <c r="J45" s="630">
        <f t="shared" si="2"/>
        <v>-51083.289</v>
      </c>
    </row>
    <row r="46" ht="15.75" hidden="1" customHeight="1">
      <c r="A46" s="626">
        <v>43759.0</v>
      </c>
      <c r="B46" s="626">
        <v>43758.0</v>
      </c>
      <c r="C46" s="628" t="s">
        <v>336</v>
      </c>
      <c r="D46" s="628">
        <f>SUM(65+175+200)*65</f>
        <v>28600</v>
      </c>
      <c r="E46" s="628">
        <f>70.6*70</f>
        <v>4942</v>
      </c>
      <c r="F46" s="628">
        <f>SUM(150+50+70+50+50+62+310)*16</f>
        <v>11872</v>
      </c>
      <c r="G46" s="627">
        <f>9480+6990</f>
        <v>16470</v>
      </c>
      <c r="H46" s="627">
        <f t="shared" si="1"/>
        <v>61884</v>
      </c>
      <c r="I46" s="552">
        <v>71.95</v>
      </c>
      <c r="J46" s="630">
        <f t="shared" si="2"/>
        <v>-61812.05</v>
      </c>
    </row>
    <row r="47" ht="15.75" hidden="1" customHeight="1">
      <c r="A47" s="626">
        <v>43767.0</v>
      </c>
      <c r="B47" s="626">
        <v>43759.0</v>
      </c>
      <c r="C47" s="628"/>
      <c r="D47" s="628"/>
      <c r="E47" s="628"/>
      <c r="F47" s="628"/>
      <c r="G47" s="627"/>
      <c r="H47" s="627">
        <f t="shared" si="1"/>
        <v>0</v>
      </c>
      <c r="I47" s="552">
        <v>0.0</v>
      </c>
      <c r="J47" s="630">
        <f t="shared" si="2"/>
        <v>0</v>
      </c>
    </row>
    <row r="48" ht="15.75" hidden="1" customHeight="1">
      <c r="A48" s="626">
        <v>43767.0</v>
      </c>
      <c r="B48" s="626">
        <v>43760.0</v>
      </c>
      <c r="C48" s="628"/>
      <c r="D48" s="628">
        <f>(150+200+15)*65</f>
        <v>23725</v>
      </c>
      <c r="E48" s="628"/>
      <c r="F48" s="628"/>
      <c r="G48" s="627">
        <f>18560+5180</f>
        <v>23740</v>
      </c>
      <c r="H48" s="627">
        <f t="shared" si="1"/>
        <v>47465</v>
      </c>
      <c r="I48" s="552">
        <v>46.97</v>
      </c>
      <c r="J48" s="630">
        <f t="shared" si="2"/>
        <v>-47418.03</v>
      </c>
    </row>
    <row r="49" ht="15.75" hidden="1" customHeight="1">
      <c r="A49" s="626">
        <v>43767.0</v>
      </c>
      <c r="B49" s="626">
        <v>43761.0</v>
      </c>
      <c r="C49" s="628" t="s">
        <v>331</v>
      </c>
      <c r="D49" s="628">
        <f>(100+220+80)*65</f>
        <v>26000</v>
      </c>
      <c r="E49" s="628">
        <f>100*70</f>
        <v>7000</v>
      </c>
      <c r="F49" s="628">
        <f>300*16</f>
        <v>4800</v>
      </c>
      <c r="G49" s="627">
        <f>290+2340+12490</f>
        <v>15120</v>
      </c>
      <c r="H49" s="627">
        <f t="shared" si="1"/>
        <v>52920</v>
      </c>
      <c r="I49" s="552">
        <v>55.501</v>
      </c>
      <c r="J49" s="630">
        <f t="shared" si="2"/>
        <v>-52864.499</v>
      </c>
    </row>
    <row r="50" ht="15.75" hidden="1" customHeight="1">
      <c r="A50" s="626">
        <v>43767.0</v>
      </c>
      <c r="B50" s="626">
        <v>43762.0</v>
      </c>
      <c r="C50" s="628">
        <f>2500+2000</f>
        <v>4500</v>
      </c>
      <c r="D50" s="628">
        <f>(200+161)*70</f>
        <v>25270</v>
      </c>
      <c r="E50" s="628"/>
      <c r="F50" s="628"/>
      <c r="G50" s="627">
        <f>5490+5490+12880</f>
        <v>23860</v>
      </c>
      <c r="H50" s="627">
        <f t="shared" si="1"/>
        <v>53630</v>
      </c>
      <c r="I50" s="552">
        <v>53.63</v>
      </c>
      <c r="J50" s="630">
        <f t="shared" si="2"/>
        <v>-53576.37</v>
      </c>
    </row>
    <row r="51" ht="15.75" hidden="1" customHeight="1">
      <c r="A51" s="626">
        <v>43767.0</v>
      </c>
      <c r="B51" s="626">
        <v>43763.0</v>
      </c>
      <c r="C51" s="628">
        <f>7500+9700</f>
        <v>17200</v>
      </c>
      <c r="D51" s="628">
        <f>20*70</f>
        <v>1400</v>
      </c>
      <c r="E51" s="628">
        <f>166*75</f>
        <v>12450</v>
      </c>
      <c r="F51" s="628"/>
      <c r="G51" s="627">
        <f>18940+29370</f>
        <v>48310</v>
      </c>
      <c r="H51" s="627">
        <f t="shared" si="1"/>
        <v>79360</v>
      </c>
      <c r="I51" s="552">
        <v>78.99</v>
      </c>
      <c r="J51" s="630">
        <f t="shared" si="2"/>
        <v>-79281.01</v>
      </c>
    </row>
    <row r="52" ht="15.75" hidden="1" customHeight="1">
      <c r="A52" s="626">
        <v>43767.0</v>
      </c>
      <c r="B52" s="626">
        <v>43764.0</v>
      </c>
      <c r="C52" s="330"/>
      <c r="D52" s="628">
        <f>5*70</f>
        <v>350</v>
      </c>
      <c r="E52" s="330"/>
      <c r="F52" s="628">
        <f>350*16</f>
        <v>5600</v>
      </c>
      <c r="G52" s="627">
        <f>21860+7160</f>
        <v>29020</v>
      </c>
      <c r="H52" s="627">
        <f t="shared" si="1"/>
        <v>34970</v>
      </c>
      <c r="I52" s="552">
        <v>39.78</v>
      </c>
      <c r="J52" s="652">
        <f t="shared" si="2"/>
        <v>-34930.22</v>
      </c>
    </row>
    <row r="53" ht="15.75" hidden="1" customHeight="1">
      <c r="A53" s="626">
        <v>43767.0</v>
      </c>
      <c r="B53" s="626">
        <v>43765.0</v>
      </c>
      <c r="C53" s="628">
        <f>2500+2500+5000</f>
        <v>10000</v>
      </c>
      <c r="D53" s="628">
        <f>(100+100+100+90+90+101+60)*70</f>
        <v>44870</v>
      </c>
      <c r="E53" s="628">
        <f>(20+15)*75</f>
        <v>2625</v>
      </c>
      <c r="F53" s="628">
        <f>(350+530+370+100)*16</f>
        <v>21600</v>
      </c>
      <c r="G53" s="627">
        <f>92730+28930</f>
        <v>121660</v>
      </c>
      <c r="H53" s="627">
        <f t="shared" si="1"/>
        <v>200755</v>
      </c>
      <c r="I53" s="552">
        <v>198.22</v>
      </c>
      <c r="J53" s="630">
        <f t="shared" si="2"/>
        <v>-200556.78</v>
      </c>
    </row>
    <row r="54" ht="15.75" hidden="1" customHeight="1">
      <c r="A54" s="626">
        <v>43773.0</v>
      </c>
      <c r="B54" s="626">
        <v>43766.0</v>
      </c>
      <c r="C54" s="628" t="s">
        <v>337</v>
      </c>
      <c r="D54" s="628">
        <f>10*70</f>
        <v>700</v>
      </c>
      <c r="E54" s="628"/>
      <c r="F54" s="628">
        <f>160*16</f>
        <v>2560</v>
      </c>
      <c r="G54" s="627"/>
      <c r="H54" s="627">
        <f t="shared" si="1"/>
        <v>3260</v>
      </c>
      <c r="I54" s="552">
        <v>8.28</v>
      </c>
      <c r="J54" s="630">
        <f t="shared" si="2"/>
        <v>-3251.72</v>
      </c>
    </row>
    <row r="55" ht="15.75" hidden="1" customHeight="1">
      <c r="A55" s="626">
        <v>43773.0</v>
      </c>
      <c r="B55" s="626">
        <v>43767.0</v>
      </c>
      <c r="C55" s="628"/>
      <c r="D55" s="628">
        <f>266*70</f>
        <v>18620</v>
      </c>
      <c r="E55" s="628"/>
      <c r="F55" s="628"/>
      <c r="G55" s="627">
        <f>20470</f>
        <v>20470</v>
      </c>
      <c r="H55" s="627">
        <f t="shared" si="1"/>
        <v>39090</v>
      </c>
      <c r="I55" s="552">
        <v>40.03</v>
      </c>
      <c r="J55" s="630">
        <f t="shared" si="2"/>
        <v>-39049.97</v>
      </c>
    </row>
    <row r="56" ht="15.75" hidden="1" customHeight="1">
      <c r="A56" s="626">
        <v>43773.0</v>
      </c>
      <c r="B56" s="626">
        <v>43768.0</v>
      </c>
      <c r="C56" s="628"/>
      <c r="D56" s="628">
        <f>183*70</f>
        <v>12810</v>
      </c>
      <c r="E56" s="628">
        <f>30*75</f>
        <v>2250</v>
      </c>
      <c r="F56" s="628">
        <f>100*16</f>
        <v>1600</v>
      </c>
      <c r="G56" s="627">
        <f>1190</f>
        <v>1190</v>
      </c>
      <c r="H56" s="627">
        <f t="shared" si="1"/>
        <v>17850</v>
      </c>
      <c r="I56" s="552">
        <v>17.23</v>
      </c>
      <c r="J56" s="630">
        <f t="shared" si="2"/>
        <v>-17832.77</v>
      </c>
    </row>
    <row r="57" ht="15.75" hidden="1" customHeight="1">
      <c r="A57" s="626">
        <v>43773.0</v>
      </c>
      <c r="B57" s="626">
        <v>43769.0</v>
      </c>
      <c r="C57" s="628" t="s">
        <v>337</v>
      </c>
      <c r="D57" s="628">
        <f>(45+177+120+100)*70</f>
        <v>30940</v>
      </c>
      <c r="E57" s="628"/>
      <c r="F57" s="628"/>
      <c r="G57" s="627">
        <f>17350+3170</f>
        <v>20520</v>
      </c>
      <c r="H57" s="627">
        <f t="shared" si="1"/>
        <v>51460</v>
      </c>
      <c r="I57" s="552">
        <v>57.37</v>
      </c>
      <c r="J57" s="630">
        <f t="shared" si="2"/>
        <v>-51402.63</v>
      </c>
    </row>
    <row r="58" ht="15.75" hidden="1" customHeight="1">
      <c r="A58" s="626">
        <v>43773.0</v>
      </c>
      <c r="B58" s="626">
        <v>43770.0</v>
      </c>
      <c r="C58" s="628">
        <f>620+5000</f>
        <v>5620</v>
      </c>
      <c r="D58" s="628">
        <f>(1699+230+81+20)*70</f>
        <v>142100</v>
      </c>
      <c r="E58" s="628">
        <f>(100+10+20)*75</f>
        <v>9750</v>
      </c>
      <c r="F58" s="628">
        <f>80*16</f>
        <v>1280</v>
      </c>
      <c r="G58" s="627">
        <v>390.0</v>
      </c>
      <c r="H58" s="627">
        <f t="shared" si="1"/>
        <v>159140</v>
      </c>
      <c r="I58" s="552">
        <v>157.482</v>
      </c>
      <c r="J58" s="630">
        <f t="shared" si="2"/>
        <v>-158982.518</v>
      </c>
    </row>
    <row r="59" ht="15.75" hidden="1" customHeight="1">
      <c r="A59" s="626">
        <v>43773.0</v>
      </c>
      <c r="B59" s="626">
        <v>43771.0</v>
      </c>
      <c r="C59" s="628"/>
      <c r="D59" s="628">
        <f>(80+250+80)*70</f>
        <v>28700</v>
      </c>
      <c r="E59" s="628">
        <f>50*75</f>
        <v>3750</v>
      </c>
      <c r="F59" s="628">
        <f>350*16</f>
        <v>5600</v>
      </c>
      <c r="G59" s="627">
        <v>2.87</v>
      </c>
      <c r="H59" s="627">
        <f t="shared" si="1"/>
        <v>38052.87</v>
      </c>
      <c r="I59" s="552">
        <v>42.28</v>
      </c>
      <c r="J59" s="630">
        <f t="shared" si="2"/>
        <v>-38010.59</v>
      </c>
    </row>
    <row r="60" ht="15.75" hidden="1" customHeight="1">
      <c r="A60" s="626">
        <v>43773.0</v>
      </c>
      <c r="B60" s="626">
        <v>43772.0</v>
      </c>
      <c r="C60" s="628">
        <f>15000+2500+2500+5000+5000+2200</f>
        <v>32200</v>
      </c>
      <c r="D60" s="628">
        <f>(200+60+280+100)*70</f>
        <v>44800</v>
      </c>
      <c r="E60" s="628">
        <f>72*75</f>
        <v>5400</v>
      </c>
      <c r="F60" s="628"/>
      <c r="G60" s="627">
        <f>29930+17550</f>
        <v>47480</v>
      </c>
      <c r="H60" s="627">
        <f t="shared" si="1"/>
        <v>129880</v>
      </c>
      <c r="I60" s="552">
        <v>130.02</v>
      </c>
      <c r="J60" s="630">
        <f t="shared" si="2"/>
        <v>-129749.98</v>
      </c>
    </row>
    <row r="61" ht="15.75" hidden="1" customHeight="1">
      <c r="A61" s="626">
        <v>43780.0</v>
      </c>
      <c r="B61" s="626">
        <v>43773.0</v>
      </c>
      <c r="C61" s="628">
        <f>2500+2900</f>
        <v>5400</v>
      </c>
      <c r="D61" s="628"/>
      <c r="E61" s="628"/>
      <c r="F61" s="628"/>
      <c r="G61" s="627"/>
      <c r="H61" s="627">
        <f t="shared" si="1"/>
        <v>5400</v>
      </c>
      <c r="I61" s="552">
        <f>5380</f>
        <v>5380</v>
      </c>
      <c r="J61" s="630">
        <f t="shared" si="2"/>
        <v>-20</v>
      </c>
    </row>
    <row r="62" ht="15.75" hidden="1" customHeight="1">
      <c r="A62" s="626">
        <v>43780.0</v>
      </c>
      <c r="B62" s="626">
        <v>43774.0</v>
      </c>
      <c r="C62" s="628">
        <f>9000</f>
        <v>9000</v>
      </c>
      <c r="D62" s="628">
        <f>(114+105+100)*70</f>
        <v>22330</v>
      </c>
      <c r="E62" s="628">
        <f>(100)*75</f>
        <v>7500</v>
      </c>
      <c r="F62" s="628"/>
      <c r="G62" s="627">
        <v>6.68</v>
      </c>
      <c r="H62" s="627">
        <f t="shared" si="1"/>
        <v>38836.68</v>
      </c>
      <c r="I62" s="552">
        <v>45.15</v>
      </c>
      <c r="J62" s="630">
        <f t="shared" si="2"/>
        <v>-38791.53</v>
      </c>
    </row>
    <row r="63" ht="15.75" hidden="1" customHeight="1">
      <c r="A63" s="626">
        <v>43780.0</v>
      </c>
      <c r="B63" s="626">
        <v>43775.0</v>
      </c>
      <c r="C63" s="628">
        <f>1500</f>
        <v>1500</v>
      </c>
      <c r="D63" s="628">
        <f>(240+30+205)*70</f>
        <v>33250</v>
      </c>
      <c r="E63" s="628">
        <f>(100+20)*75</f>
        <v>9000</v>
      </c>
      <c r="F63" s="628"/>
      <c r="G63" s="627">
        <v>19.47</v>
      </c>
      <c r="H63" s="627">
        <f t="shared" si="1"/>
        <v>43769.47</v>
      </c>
      <c r="I63" s="552">
        <v>63.191</v>
      </c>
      <c r="J63" s="630">
        <f t="shared" si="2"/>
        <v>-43706.279</v>
      </c>
    </row>
    <row r="64" ht="15.75" hidden="1" customHeight="1">
      <c r="A64" s="626">
        <v>43780.0</v>
      </c>
      <c r="B64" s="626">
        <v>43776.0</v>
      </c>
      <c r="C64" s="628">
        <f>2500+2500+2000</f>
        <v>7000</v>
      </c>
      <c r="D64" s="628">
        <f>(140+14+245)*70</f>
        <v>27930</v>
      </c>
      <c r="E64" s="628">
        <f>50*75</f>
        <v>3750</v>
      </c>
      <c r="F64" s="628">
        <f>(563)*16</f>
        <v>9008</v>
      </c>
      <c r="G64" s="627">
        <f>19160+7460</f>
        <v>26620</v>
      </c>
      <c r="H64" s="627">
        <f t="shared" si="1"/>
        <v>74308</v>
      </c>
      <c r="I64" s="552">
        <v>75.001</v>
      </c>
      <c r="J64" s="630">
        <f t="shared" si="2"/>
        <v>-74232.999</v>
      </c>
    </row>
    <row r="65" ht="15.75" hidden="1" customHeight="1">
      <c r="A65" s="626">
        <v>43780.0</v>
      </c>
      <c r="B65" s="626">
        <v>43777.0</v>
      </c>
      <c r="C65" s="628"/>
      <c r="D65" s="628">
        <f>(100+100)*70</f>
        <v>14000</v>
      </c>
      <c r="E65" s="628"/>
      <c r="F65" s="628"/>
      <c r="G65" s="627">
        <f>17970+17280</f>
        <v>35250</v>
      </c>
      <c r="H65" s="627">
        <f t="shared" si="1"/>
        <v>49250</v>
      </c>
      <c r="I65" s="552">
        <v>47.08</v>
      </c>
      <c r="J65" s="630">
        <f t="shared" si="2"/>
        <v>-49202.92</v>
      </c>
    </row>
    <row r="66" ht="15.75" hidden="1" customHeight="1">
      <c r="A66" s="626">
        <v>43780.0</v>
      </c>
      <c r="B66" s="626">
        <v>43778.0</v>
      </c>
      <c r="C66" s="628">
        <f>5000+2000</f>
        <v>7000</v>
      </c>
      <c r="D66" s="628">
        <f>(260+100+121+180+60)*70</f>
        <v>50470</v>
      </c>
      <c r="E66" s="628"/>
      <c r="F66" s="628"/>
      <c r="G66" s="627">
        <f>8060+2980</f>
        <v>11040</v>
      </c>
      <c r="H66" s="627">
        <f t="shared" si="1"/>
        <v>68510</v>
      </c>
      <c r="I66" s="552">
        <v>69.97</v>
      </c>
      <c r="J66" s="630">
        <f t="shared" si="2"/>
        <v>-68440.03</v>
      </c>
    </row>
    <row r="67" ht="15.75" hidden="1" customHeight="1">
      <c r="A67" s="626">
        <v>43780.0</v>
      </c>
      <c r="B67" s="626">
        <v>43779.0</v>
      </c>
      <c r="C67" s="628">
        <f>1000</f>
        <v>1000</v>
      </c>
      <c r="D67" s="628">
        <f>(25+140+20+100)*70</f>
        <v>19950</v>
      </c>
      <c r="E67" s="628"/>
      <c r="F67" s="628">
        <f>(20+400+50)*16</f>
        <v>7520</v>
      </c>
      <c r="G67" s="627">
        <f>102860+11230</f>
        <v>114090</v>
      </c>
      <c r="H67" s="627">
        <f t="shared" si="1"/>
        <v>142560</v>
      </c>
      <c r="I67" s="552">
        <v>146.25</v>
      </c>
      <c r="J67" s="652">
        <f t="shared" si="2"/>
        <v>-142413.75</v>
      </c>
    </row>
    <row r="68" ht="15.75" hidden="1" customHeight="1">
      <c r="A68" s="626">
        <v>43788.0</v>
      </c>
      <c r="B68" s="626">
        <v>43780.0</v>
      </c>
      <c r="C68" s="628" t="s">
        <v>337</v>
      </c>
      <c r="D68" s="628">
        <f>(20+40)*70</f>
        <v>4200</v>
      </c>
      <c r="E68" s="628"/>
      <c r="F68" s="628">
        <f>250*16</f>
        <v>4000</v>
      </c>
      <c r="G68" s="627">
        <f>26760+7990</f>
        <v>34750</v>
      </c>
      <c r="H68" s="627">
        <f t="shared" si="1"/>
        <v>42950</v>
      </c>
      <c r="I68" s="552">
        <v>47.7</v>
      </c>
      <c r="J68" s="630">
        <f t="shared" si="2"/>
        <v>-42902.3</v>
      </c>
    </row>
    <row r="69" ht="15.75" hidden="1" customHeight="1">
      <c r="A69" s="626">
        <v>43788.0</v>
      </c>
      <c r="B69" s="626">
        <v>43781.0</v>
      </c>
      <c r="C69" s="628">
        <f>1000+6000+8000</f>
        <v>15000</v>
      </c>
      <c r="D69" s="628">
        <f>(220)*70</f>
        <v>15400</v>
      </c>
      <c r="E69" s="628"/>
      <c r="F69" s="628"/>
      <c r="G69" s="627">
        <f>3490+7470</f>
        <v>10960</v>
      </c>
      <c r="H69" s="627">
        <f t="shared" si="1"/>
        <v>41360</v>
      </c>
      <c r="I69" s="552">
        <v>42.46</v>
      </c>
      <c r="J69" s="630">
        <f t="shared" si="2"/>
        <v>-41317.54</v>
      </c>
    </row>
    <row r="70" ht="15.75" hidden="1" customHeight="1">
      <c r="A70" s="626">
        <v>43788.0</v>
      </c>
      <c r="B70" s="626">
        <v>43782.0</v>
      </c>
      <c r="C70" s="628" t="s">
        <v>338</v>
      </c>
      <c r="D70" s="628">
        <f>50*70</f>
        <v>3500</v>
      </c>
      <c r="E70" s="628">
        <f>110*75</f>
        <v>8250</v>
      </c>
      <c r="F70" s="628"/>
      <c r="G70" s="627">
        <f>4790+1090+2490+3080+1190</f>
        <v>12640</v>
      </c>
      <c r="H70" s="627">
        <f t="shared" si="1"/>
        <v>24390</v>
      </c>
      <c r="I70" s="552">
        <v>24.68</v>
      </c>
      <c r="J70" s="630">
        <f t="shared" si="2"/>
        <v>-24365.32</v>
      </c>
    </row>
    <row r="71" ht="15.75" hidden="1" customHeight="1">
      <c r="A71" s="626">
        <v>43788.0</v>
      </c>
      <c r="B71" s="626">
        <v>43783.0</v>
      </c>
      <c r="C71" s="628"/>
      <c r="D71" s="628">
        <f>(29+20)*70</f>
        <v>3430</v>
      </c>
      <c r="E71" s="628">
        <f>(120)*75</f>
        <v>9000</v>
      </c>
      <c r="F71" s="628"/>
      <c r="G71" s="627">
        <f>7990+2380</f>
        <v>10370</v>
      </c>
      <c r="H71" s="627">
        <f t="shared" si="1"/>
        <v>22800</v>
      </c>
      <c r="I71" s="552">
        <v>19.5</v>
      </c>
      <c r="J71" s="630">
        <f t="shared" si="2"/>
        <v>-22780.5</v>
      </c>
    </row>
    <row r="72" ht="15.75" hidden="1" customHeight="1">
      <c r="A72" s="626">
        <v>43788.0</v>
      </c>
      <c r="B72" s="626">
        <v>43784.0</v>
      </c>
      <c r="C72" s="628"/>
      <c r="D72" s="628">
        <f>(50+80+100)*70</f>
        <v>16100</v>
      </c>
      <c r="E72" s="628">
        <f>(155+80)*75</f>
        <v>17625</v>
      </c>
      <c r="F72" s="628">
        <f>30*16</f>
        <v>480</v>
      </c>
      <c r="G72" s="627">
        <f>1380+790+3380+16990+1380+5490+4980+5880+7990+8480+10780</f>
        <v>67520</v>
      </c>
      <c r="H72" s="627">
        <f t="shared" si="1"/>
        <v>101725</v>
      </c>
      <c r="I72" s="552">
        <v>101.93</v>
      </c>
      <c r="J72" s="630">
        <f t="shared" si="2"/>
        <v>-101623.07</v>
      </c>
    </row>
    <row r="73" ht="15.75" hidden="1" customHeight="1">
      <c r="A73" s="626">
        <v>43788.0</v>
      </c>
      <c r="B73" s="626">
        <v>43785.0</v>
      </c>
      <c r="C73" s="628">
        <f>2000+2500</f>
        <v>4500</v>
      </c>
      <c r="D73" s="628">
        <f>20*70</f>
        <v>1400</v>
      </c>
      <c r="E73" s="628">
        <f>46.5*75</f>
        <v>3487.5</v>
      </c>
      <c r="F73" s="628">
        <f>(100+50)*16</f>
        <v>2400</v>
      </c>
      <c r="G73" s="627">
        <f>3270+2490+5980+7990</f>
        <v>19730</v>
      </c>
      <c r="H73" s="627">
        <f t="shared" si="1"/>
        <v>31517.5</v>
      </c>
      <c r="I73" s="552">
        <v>31.15</v>
      </c>
      <c r="J73" s="630">
        <f t="shared" si="2"/>
        <v>-31486.35</v>
      </c>
    </row>
    <row r="74" ht="15.75" hidden="1" customHeight="1">
      <c r="A74" s="626">
        <v>43788.0</v>
      </c>
      <c r="B74" s="626">
        <v>43786.0</v>
      </c>
      <c r="C74" s="628">
        <f>5000+9000</f>
        <v>14000</v>
      </c>
      <c r="D74" s="628">
        <f>(100+220+160+528)*70</f>
        <v>70560</v>
      </c>
      <c r="E74" s="628">
        <f>(50+90)*75</f>
        <v>10500</v>
      </c>
      <c r="F74" s="628">
        <f>200*16</f>
        <v>3200</v>
      </c>
      <c r="G74" s="627">
        <f>5490+1990+790+7990+7990+1380+2990+370+5490+490+1190+3280+5290+2990+1190+2490+10980+5990+4980+1190</f>
        <v>74540</v>
      </c>
      <c r="H74" s="627">
        <f t="shared" si="1"/>
        <v>172800</v>
      </c>
      <c r="I74" s="552">
        <v>172.96</v>
      </c>
      <c r="J74" s="630">
        <f t="shared" si="2"/>
        <v>-172627.04</v>
      </c>
    </row>
    <row r="75" ht="15.75" hidden="1" customHeight="1">
      <c r="A75" s="626">
        <v>43794.0</v>
      </c>
      <c r="B75" s="626">
        <v>43787.0</v>
      </c>
      <c r="C75" s="330"/>
      <c r="D75" s="330">
        <f>(100+100+40)*70</f>
        <v>16800</v>
      </c>
      <c r="E75" s="330">
        <f>30*75</f>
        <v>2250</v>
      </c>
      <c r="F75" s="330"/>
      <c r="G75" s="627">
        <f>5990+11980</f>
        <v>17970</v>
      </c>
      <c r="H75" s="627">
        <f t="shared" si="1"/>
        <v>37020</v>
      </c>
      <c r="I75" s="552">
        <v>33.53</v>
      </c>
      <c r="J75" s="630">
        <f t="shared" si="2"/>
        <v>-36986.47</v>
      </c>
    </row>
    <row r="76" ht="15.75" hidden="1" customHeight="1">
      <c r="A76" s="626">
        <v>43794.0</v>
      </c>
      <c r="B76" s="626">
        <v>43788.0</v>
      </c>
      <c r="C76" s="330"/>
      <c r="D76" s="330">
        <f>(180)*70</f>
        <v>12600</v>
      </c>
      <c r="E76" s="330">
        <f>(107+40)*75</f>
        <v>11025</v>
      </c>
      <c r="F76" s="330"/>
      <c r="G76" s="627">
        <f>7470+3890</f>
        <v>11360</v>
      </c>
      <c r="H76" s="627">
        <f t="shared" si="1"/>
        <v>34985</v>
      </c>
      <c r="I76" s="552">
        <v>35.88</v>
      </c>
      <c r="J76" s="630">
        <f t="shared" si="2"/>
        <v>-34949.12</v>
      </c>
    </row>
    <row r="77" ht="15.75" hidden="1" customHeight="1">
      <c r="A77" s="626">
        <v>43794.0</v>
      </c>
      <c r="B77" s="626">
        <v>43789.0</v>
      </c>
      <c r="C77" s="330">
        <v>2000.0</v>
      </c>
      <c r="D77" s="330"/>
      <c r="E77" s="330"/>
      <c r="F77" s="330">
        <f>74*16</f>
        <v>1184</v>
      </c>
      <c r="G77" s="627">
        <f>14980</f>
        <v>14980</v>
      </c>
      <c r="H77" s="627">
        <f t="shared" si="1"/>
        <v>18164</v>
      </c>
      <c r="I77" s="552">
        <v>16.76</v>
      </c>
      <c r="J77" s="630">
        <f t="shared" si="2"/>
        <v>-18147.24</v>
      </c>
    </row>
    <row r="78" ht="15.75" hidden="1" customHeight="1">
      <c r="A78" s="626">
        <v>43794.0</v>
      </c>
      <c r="B78" s="626">
        <v>43790.0</v>
      </c>
      <c r="C78" s="330"/>
      <c r="D78" s="330">
        <f>(160+20+130)*70</f>
        <v>21700</v>
      </c>
      <c r="E78" s="330"/>
      <c r="F78" s="330">
        <f>200*16</f>
        <v>3200</v>
      </c>
      <c r="G78" s="627">
        <f>21630+5980</f>
        <v>27610</v>
      </c>
      <c r="H78" s="627">
        <f t="shared" si="1"/>
        <v>52510</v>
      </c>
      <c r="I78" s="552">
        <v>51.24</v>
      </c>
      <c r="J78" s="630">
        <f t="shared" si="2"/>
        <v>-52458.76</v>
      </c>
    </row>
    <row r="79" ht="15.75" hidden="1" customHeight="1">
      <c r="A79" s="626">
        <v>43794.0</v>
      </c>
      <c r="B79" s="626">
        <v>43791.0</v>
      </c>
      <c r="C79" s="330">
        <v>1000.0</v>
      </c>
      <c r="D79" s="330">
        <f>(50+720+140+341)*70</f>
        <v>87570</v>
      </c>
      <c r="E79" s="330">
        <f>26.4*75</f>
        <v>1980</v>
      </c>
      <c r="F79" s="330">
        <f>600*16</f>
        <v>9600</v>
      </c>
      <c r="G79" s="627">
        <f>43060+13980</f>
        <v>57040</v>
      </c>
      <c r="H79" s="627">
        <f t="shared" si="1"/>
        <v>157190</v>
      </c>
      <c r="I79" s="552">
        <v>158.78</v>
      </c>
      <c r="J79" s="630">
        <f t="shared" si="2"/>
        <v>-157031.22</v>
      </c>
    </row>
    <row r="80" ht="15.75" hidden="1" customHeight="1">
      <c r="A80" s="626">
        <v>43794.0</v>
      </c>
      <c r="B80" s="626">
        <v>43792.0</v>
      </c>
      <c r="C80" s="330"/>
      <c r="D80" s="330">
        <f>(260+100)*70</f>
        <v>25200</v>
      </c>
      <c r="E80" s="330">
        <f>50*75</f>
        <v>3750</v>
      </c>
      <c r="F80" s="330">
        <f>200*16</f>
        <v>3200</v>
      </c>
      <c r="G80" s="627">
        <f>27970+31930</f>
        <v>59900</v>
      </c>
      <c r="H80" s="627">
        <f t="shared" si="1"/>
        <v>92050</v>
      </c>
      <c r="I80" s="552">
        <v>93.86</v>
      </c>
      <c r="J80" s="630">
        <f t="shared" si="2"/>
        <v>-91956.14</v>
      </c>
    </row>
    <row r="81" ht="15.75" hidden="1" customHeight="1">
      <c r="A81" s="626">
        <v>43794.0</v>
      </c>
      <c r="B81" s="626">
        <v>43793.0</v>
      </c>
      <c r="C81" s="330">
        <v>3200.0</v>
      </c>
      <c r="D81" s="330">
        <f>(120+215+185+112)*70</f>
        <v>44240</v>
      </c>
      <c r="E81" s="330">
        <f>(100+100+100)*75</f>
        <v>22500</v>
      </c>
      <c r="F81" s="330">
        <f>(150+1720)*16</f>
        <v>29920</v>
      </c>
      <c r="G81" s="627">
        <f>110280+61270</f>
        <v>171550</v>
      </c>
      <c r="H81" s="627">
        <f t="shared" si="1"/>
        <v>271410</v>
      </c>
      <c r="I81" s="552">
        <v>270.28</v>
      </c>
      <c r="J81" s="630">
        <f t="shared" si="2"/>
        <v>-271139.72</v>
      </c>
    </row>
    <row r="82" ht="15.75" hidden="1" customHeight="1">
      <c r="A82" s="626">
        <v>43801.0</v>
      </c>
      <c r="B82" s="626">
        <v>43794.0</v>
      </c>
      <c r="C82" s="330">
        <f>1180+5990+190</f>
        <v>7360</v>
      </c>
      <c r="D82" s="330">
        <f>(10+12+150+90)*70</f>
        <v>18340</v>
      </c>
      <c r="E82" s="330">
        <v>0.0</v>
      </c>
      <c r="F82" s="330">
        <f>0</f>
        <v>0</v>
      </c>
      <c r="G82" s="627">
        <f>2770+5990+790+2970+17480+7990+390+15160</f>
        <v>53540</v>
      </c>
      <c r="H82" s="627">
        <f t="shared" si="1"/>
        <v>79240</v>
      </c>
      <c r="I82" s="552">
        <v>77.86</v>
      </c>
      <c r="J82" s="630">
        <f t="shared" si="2"/>
        <v>-79162.14</v>
      </c>
    </row>
    <row r="83" ht="15.75" hidden="1" customHeight="1">
      <c r="A83" s="626">
        <v>43801.0</v>
      </c>
      <c r="B83" s="626">
        <v>43795.0</v>
      </c>
      <c r="C83" s="330">
        <f>1490+690+690+1690+1470+490+790</f>
        <v>7310</v>
      </c>
      <c r="D83" s="330">
        <f>(140+100+100+80+10+200)*70</f>
        <v>44100</v>
      </c>
      <c r="E83" s="330">
        <v>0.0</v>
      </c>
      <c r="F83" s="330">
        <v>0.0</v>
      </c>
      <c r="G83" s="627">
        <f>1990+1400+5990+6360+5990+5990+490+11980+8980+6990</f>
        <v>56160</v>
      </c>
      <c r="H83" s="627">
        <f t="shared" si="1"/>
        <v>107570</v>
      </c>
      <c r="I83" s="552">
        <v>102.6</v>
      </c>
      <c r="J83" s="630">
        <f t="shared" si="2"/>
        <v>-107467.4</v>
      </c>
    </row>
    <row r="84" ht="15.75" hidden="1" customHeight="1">
      <c r="A84" s="626">
        <v>43801.0</v>
      </c>
      <c r="B84" s="626">
        <v>43796.0</v>
      </c>
      <c r="C84" s="330">
        <f>590+790</f>
        <v>1380</v>
      </c>
      <c r="D84" s="330">
        <f>(100+50+60+65+70+50)*70</f>
        <v>27650</v>
      </c>
      <c r="E84" s="330">
        <f>200*75</f>
        <v>15000</v>
      </c>
      <c r="F84" s="330">
        <f>150*16</f>
        <v>2400</v>
      </c>
      <c r="G84" s="627">
        <f>5490+7780+690+5990+7080+1990+1190+7990</f>
        <v>38200</v>
      </c>
      <c r="H84" s="627">
        <f t="shared" si="1"/>
        <v>84630</v>
      </c>
      <c r="I84" s="552">
        <v>80.81</v>
      </c>
      <c r="J84" s="630">
        <f t="shared" si="2"/>
        <v>-84549.19</v>
      </c>
    </row>
    <row r="85" ht="15.75" hidden="1" customHeight="1">
      <c r="A85" s="626">
        <v>43801.0</v>
      </c>
      <c r="B85" s="626">
        <v>43797.0</v>
      </c>
      <c r="C85" s="330">
        <f>90+2070+290+1480+390+780</f>
        <v>5100</v>
      </c>
      <c r="D85" s="330">
        <f>(80+40+29+10)*70</f>
        <v>11130</v>
      </c>
      <c r="E85" s="330">
        <v>0.0</v>
      </c>
      <c r="F85" s="330">
        <f>(50+767)*16</f>
        <v>13072</v>
      </c>
      <c r="G85" s="627">
        <f>11980+690+5990+1990+4490+4490+7070+1190+5990+5490+12660+290+16990+7540</f>
        <v>86850</v>
      </c>
      <c r="H85" s="627">
        <f t="shared" si="1"/>
        <v>116152</v>
      </c>
      <c r="I85" s="552">
        <v>115.21</v>
      </c>
      <c r="J85" s="630">
        <f t="shared" si="2"/>
        <v>-116036.79</v>
      </c>
    </row>
    <row r="86" ht="15.75" hidden="1" customHeight="1">
      <c r="A86" s="626">
        <v>43801.0</v>
      </c>
      <c r="B86" s="626">
        <v>43798.0</v>
      </c>
      <c r="C86" s="330">
        <f>880+790+590+1380+690</f>
        <v>4330</v>
      </c>
      <c r="D86" s="330">
        <f>(20+10)*70</f>
        <v>2100</v>
      </c>
      <c r="E86" s="330">
        <f>20*75</f>
        <v>1500</v>
      </c>
      <c r="F86" s="330">
        <f>50*16</f>
        <v>800</v>
      </c>
      <c r="G86" s="627">
        <f>5240+790+1190+5990+5990</f>
        <v>19200</v>
      </c>
      <c r="H86" s="627">
        <f t="shared" si="1"/>
        <v>27930</v>
      </c>
      <c r="I86" s="552">
        <v>26.88</v>
      </c>
      <c r="J86" s="630">
        <f t="shared" si="2"/>
        <v>-27903.12</v>
      </c>
    </row>
    <row r="87" ht="15.75" hidden="1" customHeight="1">
      <c r="A87" s="626">
        <v>43801.0</v>
      </c>
      <c r="B87" s="626">
        <v>43799.0</v>
      </c>
      <c r="C87" s="330">
        <f>390+5490+5990</f>
        <v>11870</v>
      </c>
      <c r="D87" s="330">
        <f>(20+100+20+30)*70</f>
        <v>11900</v>
      </c>
      <c r="E87" s="330">
        <v>0.0</v>
      </c>
      <c r="F87" s="330">
        <v>0.0</v>
      </c>
      <c r="G87" s="627">
        <f>1880+1970+3980+7990+8480+10810+790+790+1960+3980+5490+7990</f>
        <v>56110</v>
      </c>
      <c r="H87" s="627">
        <f t="shared" si="1"/>
        <v>79880</v>
      </c>
      <c r="I87" s="552">
        <v>77.23</v>
      </c>
      <c r="J87" s="630">
        <f t="shared" si="2"/>
        <v>-79802.77</v>
      </c>
    </row>
    <row r="88" ht="15.75" hidden="1" customHeight="1">
      <c r="A88" s="626">
        <v>43801.0</v>
      </c>
      <c r="B88" s="626">
        <v>43800.0</v>
      </c>
      <c r="C88" s="330">
        <f>690+50+690+290+690+1190+4900+690</f>
        <v>9190</v>
      </c>
      <c r="D88" s="330">
        <f>(50+40+150+57+30+80+130)*70</f>
        <v>37590</v>
      </c>
      <c r="E88" s="330">
        <f>(40+270)*75</f>
        <v>23250</v>
      </c>
      <c r="F88" s="330">
        <f>(400+100+200)*16</f>
        <v>11200</v>
      </c>
      <c r="G88" s="627">
        <f>290+5490+1990+790+11980+3390+980+1990+790+5990+12770+1990+5590+5990+5990+790+12790+16990+2690</f>
        <v>99270</v>
      </c>
      <c r="H88" s="627">
        <f t="shared" si="1"/>
        <v>180500</v>
      </c>
      <c r="I88" s="552">
        <v>178.46</v>
      </c>
      <c r="J88" s="630">
        <f t="shared" si="2"/>
        <v>-180321.54</v>
      </c>
    </row>
    <row r="89" ht="15.75" hidden="1" customHeight="1">
      <c r="A89" s="626">
        <v>43808.0</v>
      </c>
      <c r="B89" s="626">
        <v>43801.0</v>
      </c>
      <c r="C89" s="330">
        <v>600.0</v>
      </c>
      <c r="D89" s="330">
        <f>110*70</f>
        <v>7700</v>
      </c>
      <c r="E89" s="330"/>
      <c r="F89" s="330"/>
      <c r="G89" s="627">
        <f>2160+3990+9860+1190+17980</f>
        <v>35180</v>
      </c>
      <c r="H89" s="627">
        <f t="shared" si="1"/>
        <v>43480</v>
      </c>
      <c r="I89" s="552">
        <v>43.46</v>
      </c>
      <c r="J89" s="630">
        <f t="shared" si="2"/>
        <v>-43436.54</v>
      </c>
    </row>
    <row r="90" ht="15.75" hidden="1" customHeight="1">
      <c r="A90" s="626">
        <v>43808.0</v>
      </c>
      <c r="B90" s="626">
        <v>43802.0</v>
      </c>
      <c r="C90" s="330">
        <f>2500</f>
        <v>2500</v>
      </c>
      <c r="D90" s="330">
        <v>7000.0</v>
      </c>
      <c r="E90" s="330"/>
      <c r="F90" s="330"/>
      <c r="G90" s="627">
        <f>390+7990+1480+2990+8990+2990+5990+2990+5990+6990+6060</f>
        <v>52850</v>
      </c>
      <c r="H90" s="627">
        <f t="shared" si="1"/>
        <v>62350</v>
      </c>
      <c r="I90" s="552">
        <v>62.1</v>
      </c>
      <c r="J90" s="630">
        <f t="shared" si="2"/>
        <v>-62287.9</v>
      </c>
    </row>
    <row r="91" ht="15.75" hidden="1" customHeight="1">
      <c r="A91" s="626">
        <v>43808.0</v>
      </c>
      <c r="B91" s="626">
        <v>43803.0</v>
      </c>
      <c r="C91" s="330">
        <v>6800.0</v>
      </c>
      <c r="E91" s="330">
        <f>260*75</f>
        <v>19500</v>
      </c>
      <c r="F91" s="330"/>
      <c r="G91" s="627">
        <f>26280+1890+490+2070+21490+14620+5990</f>
        <v>72830</v>
      </c>
      <c r="H91" s="627">
        <f t="shared" si="1"/>
        <v>99130</v>
      </c>
      <c r="I91" s="552">
        <v>99.34</v>
      </c>
      <c r="J91" s="630">
        <f t="shared" si="2"/>
        <v>-99030.66</v>
      </c>
    </row>
    <row r="92" ht="15.75" hidden="1" customHeight="1">
      <c r="A92" s="626">
        <v>43808.0</v>
      </c>
      <c r="B92" s="626">
        <v>43804.0</v>
      </c>
      <c r="C92" s="330"/>
      <c r="D92" s="330">
        <f>506*70</f>
        <v>35420</v>
      </c>
      <c r="E92" s="330"/>
      <c r="F92" s="330"/>
      <c r="G92" s="627">
        <f>5990+5990+1990+5990+390+5490+1790+26290+22860+9490+970+5990+1990</f>
        <v>95220</v>
      </c>
      <c r="H92" s="627">
        <f t="shared" si="1"/>
        <v>130640</v>
      </c>
      <c r="I92" s="552">
        <v>131.54</v>
      </c>
      <c r="J92" s="630">
        <f t="shared" si="2"/>
        <v>-130508.46</v>
      </c>
    </row>
    <row r="93" ht="15.75" hidden="1" customHeight="1">
      <c r="A93" s="626">
        <v>43808.0</v>
      </c>
      <c r="B93" s="626">
        <v>43805.0</v>
      </c>
      <c r="C93" s="330">
        <v>2000.0</v>
      </c>
      <c r="D93" s="330">
        <f>246*70</f>
        <v>17220</v>
      </c>
      <c r="E93" s="330"/>
      <c r="F93" s="330">
        <f>100*15</f>
        <v>1500</v>
      </c>
      <c r="G93" s="627">
        <f>5990+14860+11870+5490+5990+7990+980+9160</f>
        <v>62330</v>
      </c>
      <c r="H93" s="627">
        <f t="shared" si="1"/>
        <v>83050</v>
      </c>
      <c r="I93" s="552">
        <v>82.5</v>
      </c>
      <c r="J93" s="630">
        <f t="shared" si="2"/>
        <v>-82967.5</v>
      </c>
    </row>
    <row r="94" ht="15.75" hidden="1" customHeight="1">
      <c r="A94" s="626">
        <v>43808.0</v>
      </c>
      <c r="B94" s="626">
        <v>43806.0</v>
      </c>
      <c r="C94" s="330"/>
      <c r="D94" s="330">
        <f>260*70</f>
        <v>18200</v>
      </c>
      <c r="E94" s="330"/>
      <c r="F94" s="330"/>
      <c r="G94" s="627">
        <f>190+3490+7990+1950+6990+5490</f>
        <v>26100</v>
      </c>
      <c r="H94" s="627">
        <f t="shared" si="1"/>
        <v>44300</v>
      </c>
      <c r="I94" s="552">
        <v>42.95</v>
      </c>
      <c r="J94" s="630">
        <f t="shared" si="2"/>
        <v>-44257.05</v>
      </c>
    </row>
    <row r="95" ht="15.75" hidden="1" customHeight="1">
      <c r="A95" s="626">
        <v>43808.0</v>
      </c>
      <c r="B95" s="626">
        <v>43807.0</v>
      </c>
      <c r="C95" s="330">
        <v>13700.0</v>
      </c>
      <c r="D95" s="330">
        <f>(115+240+283+122+350)*70</f>
        <v>77700</v>
      </c>
      <c r="E95" s="330">
        <f>35*75</f>
        <v>2625</v>
      </c>
      <c r="F95" s="330"/>
      <c r="G95" s="627">
        <f>5490+2990+2990+1780+7990+3990+7990+590+1680+1790+1580+8080+2490+2490+8980+8680+2870+7860+690</f>
        <v>81000</v>
      </c>
      <c r="H95" s="627">
        <f t="shared" si="1"/>
        <v>175025</v>
      </c>
      <c r="I95" s="552">
        <v>176.81</v>
      </c>
      <c r="J95" s="630">
        <f t="shared" si="2"/>
        <v>-174848.19</v>
      </c>
    </row>
    <row r="96" ht="15.75" hidden="1" customHeight="1">
      <c r="A96" s="626">
        <v>43815.0</v>
      </c>
      <c r="B96" s="626">
        <v>43808.0</v>
      </c>
      <c r="C96" s="330">
        <f>2600+2500+7500</f>
        <v>12600</v>
      </c>
      <c r="E96" s="330"/>
      <c r="F96" s="330"/>
      <c r="G96" s="627">
        <f>10930+45660</f>
        <v>56590</v>
      </c>
      <c r="H96" s="627">
        <f t="shared" si="1"/>
        <v>69190</v>
      </c>
      <c r="I96" s="552">
        <v>69.17</v>
      </c>
      <c r="J96" s="630">
        <f t="shared" si="2"/>
        <v>-69120.83</v>
      </c>
    </row>
    <row r="97" ht="15.75" hidden="1" customHeight="1">
      <c r="A97" s="626">
        <v>43815.0</v>
      </c>
      <c r="B97" s="626">
        <v>43809.0</v>
      </c>
      <c r="C97" s="330">
        <v>2700.0</v>
      </c>
      <c r="D97" s="330">
        <f>30*70</f>
        <v>2100</v>
      </c>
      <c r="E97" s="330">
        <f>175*75</f>
        <v>13125</v>
      </c>
      <c r="F97" s="330"/>
      <c r="G97" s="627">
        <v>0.0</v>
      </c>
      <c r="H97" s="627">
        <f t="shared" si="1"/>
        <v>17925</v>
      </c>
      <c r="I97" s="552">
        <v>17.91</v>
      </c>
      <c r="J97" s="630">
        <f t="shared" si="2"/>
        <v>-17907.09</v>
      </c>
    </row>
    <row r="98" ht="15.75" hidden="1" customHeight="1">
      <c r="A98" s="626">
        <v>43815.0</v>
      </c>
      <c r="B98" s="626">
        <v>43810.0</v>
      </c>
      <c r="C98" s="330">
        <f>4900+2500+7500</f>
        <v>14900</v>
      </c>
      <c r="D98" s="330">
        <f>50*70</f>
        <v>3500</v>
      </c>
      <c r="E98" s="330">
        <f>50*75</f>
        <v>3750</v>
      </c>
      <c r="F98" s="330"/>
      <c r="G98" s="627">
        <f>2360+19740</f>
        <v>22100</v>
      </c>
      <c r="H98" s="627">
        <f t="shared" si="1"/>
        <v>44250</v>
      </c>
      <c r="I98" s="552">
        <v>43.89</v>
      </c>
      <c r="J98" s="630">
        <f t="shared" si="2"/>
        <v>-44206.11</v>
      </c>
    </row>
    <row r="99" ht="15.75" hidden="1" customHeight="1">
      <c r="A99" s="626">
        <v>43815.0</v>
      </c>
      <c r="B99" s="626">
        <v>43811.0</v>
      </c>
      <c r="C99" s="330"/>
      <c r="D99" s="330">
        <f>(31+250)*70</f>
        <v>19670</v>
      </c>
      <c r="E99" s="330"/>
      <c r="F99" s="330"/>
      <c r="G99" s="627">
        <f>580+5060</f>
        <v>5640</v>
      </c>
      <c r="H99" s="627">
        <f t="shared" si="1"/>
        <v>25310</v>
      </c>
      <c r="I99" s="552">
        <v>24.81</v>
      </c>
      <c r="J99" s="630">
        <f t="shared" si="2"/>
        <v>-25285.19</v>
      </c>
    </row>
    <row r="100" ht="15.75" hidden="1" customHeight="1">
      <c r="A100" s="626">
        <v>43815.0</v>
      </c>
      <c r="B100" s="626">
        <v>43812.0</v>
      </c>
      <c r="C100" s="330">
        <v>3000.0</v>
      </c>
      <c r="D100" s="330">
        <f>100*70</f>
        <v>7000</v>
      </c>
      <c r="E100" s="330">
        <f>(300+50)*75</f>
        <v>26250</v>
      </c>
      <c r="F100" s="330"/>
      <c r="G100" s="627">
        <f>27420+27040</f>
        <v>54460</v>
      </c>
      <c r="H100" s="627">
        <f t="shared" si="1"/>
        <v>90710</v>
      </c>
      <c r="I100" s="552">
        <v>92.41</v>
      </c>
      <c r="J100" s="630">
        <f t="shared" si="2"/>
        <v>-90617.59</v>
      </c>
    </row>
    <row r="101" ht="15.75" hidden="1" customHeight="1">
      <c r="A101" s="626">
        <v>43815.0</v>
      </c>
      <c r="B101" s="626">
        <v>43813.0</v>
      </c>
      <c r="C101" s="330">
        <v>1900.0</v>
      </c>
      <c r="D101" s="330">
        <f>(10+85+107)*70</f>
        <v>14140</v>
      </c>
      <c r="E101" s="330"/>
      <c r="F101" s="330"/>
      <c r="G101" s="627">
        <f>30720+15830</f>
        <v>46550</v>
      </c>
      <c r="H101" s="627">
        <f t="shared" si="1"/>
        <v>62590</v>
      </c>
      <c r="I101" s="552">
        <v>61.88</v>
      </c>
      <c r="J101" s="630">
        <f t="shared" si="2"/>
        <v>-62528.12</v>
      </c>
    </row>
    <row r="102" ht="15.75" hidden="1" customHeight="1">
      <c r="A102" s="626">
        <v>43815.0</v>
      </c>
      <c r="B102" s="626">
        <v>43814.0</v>
      </c>
      <c r="C102" s="330">
        <f>5000+5000+3700+2500</f>
        <v>16200</v>
      </c>
      <c r="D102" s="330">
        <f>(76+40+100)*70</f>
        <v>15120</v>
      </c>
      <c r="E102" s="330">
        <f>(50+100)*75</f>
        <v>11250</v>
      </c>
      <c r="F102" s="330">
        <f>500*15</f>
        <v>7500</v>
      </c>
      <c r="G102" s="627">
        <f>37180+29930</f>
        <v>67110</v>
      </c>
      <c r="H102" s="627">
        <f t="shared" si="1"/>
        <v>117180</v>
      </c>
      <c r="I102" s="552">
        <v>117.15</v>
      </c>
      <c r="J102" s="630">
        <f t="shared" si="2"/>
        <v>-117062.85</v>
      </c>
    </row>
    <row r="103" ht="15.75" hidden="1" customHeight="1">
      <c r="A103" s="626">
        <v>44188.0</v>
      </c>
      <c r="B103" s="626">
        <v>43815.0</v>
      </c>
      <c r="C103" s="330">
        <f>2500</f>
        <v>2500</v>
      </c>
      <c r="D103" s="330">
        <f>(120+231)*70</f>
        <v>24570</v>
      </c>
      <c r="E103" s="330"/>
      <c r="F103" s="330"/>
      <c r="G103" s="627">
        <f>3680+2490+590+8040+4900+6300+2490+2010+1280</f>
        <v>31780</v>
      </c>
      <c r="H103" s="627">
        <f t="shared" si="1"/>
        <v>58850</v>
      </c>
      <c r="I103" s="653">
        <v>60.37</v>
      </c>
      <c r="J103" s="630">
        <f t="shared" si="2"/>
        <v>-58789.63</v>
      </c>
    </row>
    <row r="104" ht="15.75" hidden="1" customHeight="1">
      <c r="A104" s="330"/>
      <c r="B104" s="626">
        <v>43816.0</v>
      </c>
      <c r="C104" s="330">
        <v>7500.0</v>
      </c>
      <c r="D104" s="330">
        <f>(40+460+62+66+405)*75</f>
        <v>77475</v>
      </c>
      <c r="E104" s="330">
        <f>20*78</f>
        <v>1560</v>
      </c>
      <c r="F104" s="330"/>
      <c r="G104" s="627">
        <f>5490+6990+390+1090+1190+2380+690+15430+580+1400+2990+2280+1380+7990+5990</f>
        <v>56260</v>
      </c>
      <c r="H104" s="627">
        <f t="shared" si="1"/>
        <v>142795</v>
      </c>
      <c r="I104" s="552">
        <v>141.37</v>
      </c>
      <c r="J104" s="630">
        <f t="shared" si="2"/>
        <v>-142653.63</v>
      </c>
    </row>
    <row r="105" ht="15.75" hidden="1" customHeight="1">
      <c r="A105" s="330"/>
      <c r="B105" s="626">
        <v>43817.0</v>
      </c>
      <c r="C105" s="330"/>
      <c r="D105" s="330">
        <f>(130+307)*75</f>
        <v>32775</v>
      </c>
      <c r="E105" s="330"/>
      <c r="F105" s="330"/>
      <c r="G105" s="627">
        <f>980+3990+1650+5990+3570+5150+5990+6990</f>
        <v>34310</v>
      </c>
      <c r="H105" s="627">
        <f t="shared" si="1"/>
        <v>67085</v>
      </c>
      <c r="I105" s="552">
        <v>67.01</v>
      </c>
      <c r="J105" s="630">
        <f t="shared" si="2"/>
        <v>-67017.99</v>
      </c>
    </row>
    <row r="106" ht="15.75" hidden="1" customHeight="1">
      <c r="A106" s="330"/>
      <c r="B106" s="626">
        <v>43818.0</v>
      </c>
      <c r="C106" s="330"/>
      <c r="D106" s="330">
        <f>(27+420+310)*75</f>
        <v>56775</v>
      </c>
      <c r="E106" s="330"/>
      <c r="F106" s="330"/>
      <c r="G106" s="627">
        <f>1990+290+690+4490+2990</f>
        <v>10450</v>
      </c>
      <c r="H106" s="627">
        <f t="shared" si="1"/>
        <v>67225</v>
      </c>
      <c r="I106" s="552">
        <v>67.29</v>
      </c>
      <c r="J106" s="630">
        <f t="shared" si="2"/>
        <v>-67157.71</v>
      </c>
    </row>
    <row r="107" ht="15.75" hidden="1" customHeight="1">
      <c r="A107" s="330"/>
      <c r="B107" s="626">
        <v>43819.0</v>
      </c>
      <c r="C107" s="330"/>
      <c r="D107" s="330">
        <f>(100+69+25)*75</f>
        <v>14550</v>
      </c>
      <c r="E107" s="330"/>
      <c r="F107" s="330"/>
      <c r="G107" s="627">
        <f>690+7980</f>
        <v>8670</v>
      </c>
      <c r="H107" s="627">
        <f t="shared" si="1"/>
        <v>23220</v>
      </c>
      <c r="I107" s="552">
        <v>22.67</v>
      </c>
      <c r="J107" s="630">
        <f t="shared" si="2"/>
        <v>-23197.33</v>
      </c>
    </row>
    <row r="108" ht="15.75" hidden="1" customHeight="1">
      <c r="A108" s="330"/>
      <c r="B108" s="626">
        <v>43820.0</v>
      </c>
      <c r="C108" s="330"/>
      <c r="D108" s="330">
        <f>(100+177+181)*75</f>
        <v>34350</v>
      </c>
      <c r="E108" s="330"/>
      <c r="F108" s="330"/>
      <c r="G108" s="627">
        <f>4570+5490+980+980+2430+1450+5490+2990</f>
        <v>24380</v>
      </c>
      <c r="H108" s="627">
        <f t="shared" si="1"/>
        <v>58730</v>
      </c>
      <c r="I108" s="552">
        <v>58.259</v>
      </c>
      <c r="J108" s="630">
        <f t="shared" si="2"/>
        <v>-58671.741</v>
      </c>
    </row>
    <row r="109" ht="15.75" hidden="1" customHeight="1">
      <c r="A109" s="330"/>
      <c r="B109" s="626">
        <v>43821.0</v>
      </c>
      <c r="C109" s="330">
        <v>5000.0</v>
      </c>
      <c r="D109" s="330">
        <f>(180+96+288+200+80+200+545+80)*75</f>
        <v>125175</v>
      </c>
      <c r="E109" s="330">
        <f>40*78</f>
        <v>3120</v>
      </c>
      <c r="F109" s="330">
        <f>250*16</f>
        <v>4000</v>
      </c>
      <c r="G109" s="627">
        <f>16970+9980+17460+9180+1490+790+490+1990+5990+5990+2990+10030+5990+1680+6480+1845+2280+2580+1190+2780+7750+1790+6990+590+1090</f>
        <v>126385</v>
      </c>
      <c r="H109" s="627">
        <f t="shared" si="1"/>
        <v>263680</v>
      </c>
      <c r="I109" s="552">
        <v>259.57</v>
      </c>
      <c r="J109" s="630">
        <f t="shared" si="2"/>
        <v>-263420.43</v>
      </c>
    </row>
    <row r="110" ht="15.75" hidden="1" customHeight="1">
      <c r="A110" s="330"/>
      <c r="B110" s="626">
        <v>43822.0</v>
      </c>
      <c r="C110" s="330">
        <v>6500.0</v>
      </c>
      <c r="D110" s="330">
        <f>154*75</f>
        <v>11550</v>
      </c>
      <c r="E110" s="330"/>
      <c r="F110" s="330"/>
      <c r="G110" s="627">
        <f>1190+7990+4490</f>
        <v>13670</v>
      </c>
      <c r="H110" s="627">
        <f t="shared" si="1"/>
        <v>31720</v>
      </c>
      <c r="I110" s="552">
        <v>34.47</v>
      </c>
      <c r="J110" s="652">
        <f t="shared" si="2"/>
        <v>-31685.53</v>
      </c>
    </row>
    <row r="111" ht="15.75" hidden="1" customHeight="1">
      <c r="A111" s="330"/>
      <c r="B111" s="626">
        <v>43823.0</v>
      </c>
      <c r="C111" s="330"/>
      <c r="D111" s="330">
        <f>40*75</f>
        <v>3000</v>
      </c>
      <c r="E111" s="330"/>
      <c r="F111" s="330"/>
      <c r="G111" s="627">
        <f>1090+5990+990+590+1990+1090</f>
        <v>11740</v>
      </c>
      <c r="H111" s="627">
        <f t="shared" si="1"/>
        <v>14740</v>
      </c>
      <c r="I111" s="552">
        <v>16.63</v>
      </c>
      <c r="J111" s="630">
        <f t="shared" si="2"/>
        <v>-14723.37</v>
      </c>
    </row>
    <row r="112" ht="15.75" hidden="1" customHeight="1">
      <c r="A112" s="330"/>
      <c r="B112" s="626">
        <v>44191.0</v>
      </c>
      <c r="C112" s="330">
        <f>5000+2000+5000+5000</f>
        <v>17000</v>
      </c>
      <c r="D112" s="330">
        <f>(100+95)*75</f>
        <v>14625</v>
      </c>
      <c r="E112" s="330"/>
      <c r="F112" s="330"/>
      <c r="G112" s="627">
        <f>10490+1190+6490+7200+6490+1290</f>
        <v>33150</v>
      </c>
      <c r="H112" s="627">
        <f t="shared" si="1"/>
        <v>64775</v>
      </c>
      <c r="I112" s="552">
        <v>63.37</v>
      </c>
      <c r="J112" s="630">
        <f t="shared" si="2"/>
        <v>-64711.63</v>
      </c>
    </row>
    <row r="113" ht="15.75" hidden="1" customHeight="1">
      <c r="A113" s="330"/>
      <c r="B113" s="626">
        <v>44192.0</v>
      </c>
      <c r="C113" s="330"/>
      <c r="D113" s="330">
        <f>(120+400+81)*75</f>
        <v>45075</v>
      </c>
      <c r="E113" s="330"/>
      <c r="F113" s="330"/>
      <c r="G113" s="627">
        <f>4510+490+890+1190+8080+26770+3480</f>
        <v>45410</v>
      </c>
      <c r="H113" s="627">
        <f t="shared" si="1"/>
        <v>90485</v>
      </c>
      <c r="I113" s="552">
        <v>90.73</v>
      </c>
      <c r="J113" s="630">
        <f t="shared" si="2"/>
        <v>-90394.27</v>
      </c>
    </row>
    <row r="114" ht="15.75" hidden="1" customHeight="1">
      <c r="A114" s="330"/>
      <c r="B114" s="626">
        <v>44193.0</v>
      </c>
      <c r="C114" s="330">
        <f>5000</f>
        <v>5000</v>
      </c>
      <c r="D114" s="330">
        <f>(81+93+100)*75</f>
        <v>20550</v>
      </c>
      <c r="E114" s="330">
        <f>25*75</f>
        <v>1875</v>
      </c>
      <c r="F114" s="330">
        <f>70*16</f>
        <v>1120</v>
      </c>
      <c r="G114" s="627">
        <f>2880+2990+1190+6990</f>
        <v>14050</v>
      </c>
      <c r="H114" s="627">
        <f t="shared" si="1"/>
        <v>42595</v>
      </c>
      <c r="I114" s="552">
        <v>43.87</v>
      </c>
      <c r="J114" s="630">
        <f t="shared" si="2"/>
        <v>-42551.13</v>
      </c>
    </row>
    <row r="115" ht="15.75" hidden="1" customHeight="1">
      <c r="A115" s="330"/>
      <c r="B115" s="626">
        <v>44194.0</v>
      </c>
      <c r="C115" s="330">
        <f>4000</f>
        <v>4000</v>
      </c>
      <c r="D115" s="330">
        <f>(143+60+200+109+551)*75</f>
        <v>79725</v>
      </c>
      <c r="E115" s="330"/>
      <c r="F115" s="330"/>
      <c r="G115" s="627">
        <f>10770+7490+1380+5990+12830+790+690+5990+1190+1680+490+6490</f>
        <v>55780</v>
      </c>
      <c r="H115" s="627">
        <f t="shared" si="1"/>
        <v>139505</v>
      </c>
      <c r="I115" s="552">
        <v>143.51</v>
      </c>
      <c r="J115" s="652">
        <f t="shared" si="2"/>
        <v>-139361.49</v>
      </c>
    </row>
    <row r="116" ht="15.75" hidden="1" customHeight="1">
      <c r="A116" s="330"/>
      <c r="B116" s="626">
        <v>44195.0</v>
      </c>
      <c r="C116" s="330">
        <f>2500</f>
        <v>2500</v>
      </c>
      <c r="D116" s="330">
        <f>(70+90+170)*75</f>
        <v>24750</v>
      </c>
      <c r="E116" s="330">
        <f>90*78</f>
        <v>7020</v>
      </c>
      <c r="F116" s="330"/>
      <c r="G116" s="627">
        <f>6990+7990+11980+2580+17180+1190+1240+12880+3490+6990</f>
        <v>72510</v>
      </c>
      <c r="H116" s="627">
        <f t="shared" si="1"/>
        <v>106780</v>
      </c>
      <c r="I116" s="552">
        <v>104.17</v>
      </c>
      <c r="J116" s="630">
        <f t="shared" si="2"/>
        <v>-106675.83</v>
      </c>
    </row>
    <row r="117" ht="15.75" hidden="1" customHeight="1">
      <c r="A117" s="330"/>
      <c r="B117" s="626">
        <v>44196.0</v>
      </c>
      <c r="C117" s="330">
        <f>2500+7500</f>
        <v>10000</v>
      </c>
      <c r="D117" s="330">
        <f>(100+100+100+200+120+80+120)*75</f>
        <v>61500</v>
      </c>
      <c r="E117" s="330">
        <f>4078</f>
        <v>4078</v>
      </c>
      <c r="F117" s="330"/>
      <c r="G117" s="627">
        <f>2490+1770+6490+780+1280+17480+7990+4070+1580+1260+2990</f>
        <v>48180</v>
      </c>
      <c r="H117" s="627">
        <f t="shared" si="1"/>
        <v>123758</v>
      </c>
      <c r="I117" s="654">
        <v>133.06</v>
      </c>
      <c r="J117" s="652">
        <f t="shared" si="2"/>
        <v>-123624.94</v>
      </c>
    </row>
    <row r="118" ht="15.75" hidden="1" customHeight="1">
      <c r="A118" s="330"/>
      <c r="B118" s="626">
        <v>43832.0</v>
      </c>
      <c r="C118" s="330">
        <v>2500.0</v>
      </c>
      <c r="D118" s="330">
        <f>(280+240)*75</f>
        <v>39000</v>
      </c>
      <c r="E118" s="330">
        <f>85*78</f>
        <v>6630</v>
      </c>
      <c r="F118" s="330">
        <f>220*16</f>
        <v>3520</v>
      </c>
      <c r="G118" s="627">
        <f>2580+1780+1380+3490+3490+3490+490</f>
        <v>16700</v>
      </c>
      <c r="H118" s="627">
        <f t="shared" si="1"/>
        <v>68350</v>
      </c>
      <c r="I118" s="552">
        <v>66.91</v>
      </c>
      <c r="J118" s="630">
        <f t="shared" si="2"/>
        <v>-68283.09</v>
      </c>
    </row>
    <row r="119" ht="15.75" hidden="1" customHeight="1">
      <c r="A119" s="330"/>
      <c r="B119" s="626">
        <v>43833.0</v>
      </c>
      <c r="C119" s="330">
        <f>5000+7500+5000+2300</f>
        <v>19800</v>
      </c>
      <c r="D119" s="330">
        <f>(157+20)*75</f>
        <v>13275</v>
      </c>
      <c r="E119" s="330">
        <f>(30+90)*78</f>
        <v>9360</v>
      </c>
      <c r="F119" s="330">
        <f>(200+20)*16</f>
        <v>3520</v>
      </c>
      <c r="G119" s="627">
        <f>2990+7080+8990+4790+6490+390+7380+890</f>
        <v>39000</v>
      </c>
      <c r="H119" s="627">
        <f t="shared" si="1"/>
        <v>84955</v>
      </c>
      <c r="I119" s="552">
        <v>83.92</v>
      </c>
      <c r="J119" s="630">
        <f t="shared" si="2"/>
        <v>-84871.08</v>
      </c>
    </row>
    <row r="120" ht="15.75" hidden="1" customHeight="1">
      <c r="A120" s="330"/>
      <c r="B120" s="626">
        <v>43834.0</v>
      </c>
      <c r="C120" s="330"/>
      <c r="D120" s="330">
        <f>(170+200)*75</f>
        <v>27750</v>
      </c>
      <c r="E120" s="330"/>
      <c r="F120" s="330">
        <f>100*16</f>
        <v>1600</v>
      </c>
      <c r="G120" s="627">
        <f>6490+1290+4990+3030+6990+1670+1290+11970</f>
        <v>37720</v>
      </c>
      <c r="H120" s="627">
        <f t="shared" si="1"/>
        <v>67070</v>
      </c>
      <c r="I120" s="552">
        <v>68.7</v>
      </c>
      <c r="J120" s="630">
        <f t="shared" si="2"/>
        <v>-67001.3</v>
      </c>
    </row>
    <row r="121" ht="15.75" hidden="1" customHeight="1">
      <c r="A121" s="330"/>
      <c r="B121" s="626">
        <v>43835.0</v>
      </c>
      <c r="C121" s="330">
        <f>7500+8000</f>
        <v>15500</v>
      </c>
      <c r="D121" s="330">
        <f>(110+115+20)*75</f>
        <v>18375</v>
      </c>
      <c r="E121" s="330"/>
      <c r="F121" s="330">
        <f>455.5*16</f>
        <v>7288</v>
      </c>
      <c r="G121" s="630">
        <f>32410+43940</f>
        <v>76350</v>
      </c>
      <c r="H121" s="627">
        <f t="shared" si="1"/>
        <v>117513</v>
      </c>
      <c r="I121" s="552">
        <v>116.57</v>
      </c>
      <c r="J121" s="652">
        <f t="shared" si="2"/>
        <v>-117396.43</v>
      </c>
    </row>
    <row r="122" ht="15.75" hidden="1" customHeight="1">
      <c r="A122" s="330"/>
      <c r="B122" s="626">
        <v>43836.0</v>
      </c>
      <c r="C122" s="330">
        <f>4000</f>
        <v>4000</v>
      </c>
      <c r="D122" s="330"/>
      <c r="E122" s="330">
        <f>65*78</f>
        <v>5070</v>
      </c>
      <c r="F122" s="330"/>
      <c r="G122" s="627">
        <f>12260+5990</f>
        <v>18250</v>
      </c>
      <c r="H122" s="627">
        <f t="shared" si="1"/>
        <v>27320</v>
      </c>
      <c r="I122" s="552">
        <v>27.23</v>
      </c>
      <c r="J122" s="630">
        <f t="shared" si="2"/>
        <v>-27292.77</v>
      </c>
    </row>
    <row r="123" ht="15.75" hidden="1" customHeight="1">
      <c r="A123" s="330"/>
      <c r="B123" s="626">
        <v>43837.0</v>
      </c>
      <c r="C123" s="330">
        <f>1300</f>
        <v>1300</v>
      </c>
      <c r="D123" s="330">
        <f>(90+80)*75</f>
        <v>12750</v>
      </c>
      <c r="E123" s="330"/>
      <c r="F123" s="330"/>
      <c r="G123" s="627">
        <f>21970+17650</f>
        <v>39620</v>
      </c>
      <c r="H123" s="627">
        <f t="shared" si="1"/>
        <v>53670</v>
      </c>
      <c r="I123" s="552">
        <f>52880</f>
        <v>52880</v>
      </c>
      <c r="J123" s="630">
        <f t="shared" si="2"/>
        <v>-790</v>
      </c>
    </row>
    <row r="124" ht="15.75" hidden="1" customHeight="1">
      <c r="A124" s="330"/>
      <c r="B124" s="626">
        <v>43838.0</v>
      </c>
      <c r="C124" s="330"/>
      <c r="D124" s="330">
        <f>300*75</f>
        <v>22500</v>
      </c>
      <c r="E124" s="330"/>
      <c r="F124" s="330"/>
      <c r="G124" s="627">
        <f>10950+56260</f>
        <v>67210</v>
      </c>
      <c r="H124" s="627">
        <f t="shared" si="1"/>
        <v>89710</v>
      </c>
      <c r="I124" s="552">
        <v>89.62</v>
      </c>
      <c r="J124" s="630">
        <f t="shared" si="2"/>
        <v>-89620.38</v>
      </c>
    </row>
    <row r="125" ht="15.75" hidden="1" customHeight="1">
      <c r="A125" s="330"/>
      <c r="B125" s="626">
        <v>43839.0</v>
      </c>
      <c r="C125" s="330">
        <f>5000+5000+2000</f>
        <v>12000</v>
      </c>
      <c r="D125" s="330">
        <f>200*75</f>
        <v>15000</v>
      </c>
      <c r="E125" s="330"/>
      <c r="F125" s="330"/>
      <c r="G125" s="627">
        <f>32240+42030</f>
        <v>74270</v>
      </c>
      <c r="H125" s="627">
        <f t="shared" si="1"/>
        <v>101270</v>
      </c>
      <c r="I125" s="552">
        <v>102.51</v>
      </c>
      <c r="J125" s="655">
        <f t="shared" si="2"/>
        <v>-101167.49</v>
      </c>
    </row>
    <row r="126" ht="15.75" hidden="1" customHeight="1">
      <c r="A126" s="330"/>
      <c r="B126" s="626">
        <v>43840.0</v>
      </c>
      <c r="C126" s="330">
        <f>5000+2500</f>
        <v>7500</v>
      </c>
      <c r="D126" s="330">
        <f>20*75</f>
        <v>1500</v>
      </c>
      <c r="E126" s="330">
        <f>45*78</f>
        <v>3510</v>
      </c>
      <c r="F126" s="330"/>
      <c r="G126" s="627">
        <v>1.58</v>
      </c>
      <c r="H126" s="627">
        <f t="shared" si="1"/>
        <v>12511.58</v>
      </c>
      <c r="I126" s="552">
        <v>14.69</v>
      </c>
      <c r="J126" s="655">
        <f t="shared" si="2"/>
        <v>-12496.89</v>
      </c>
    </row>
    <row r="127" ht="15.75" hidden="1" customHeight="1">
      <c r="A127" s="330"/>
      <c r="B127" s="626">
        <v>43841.0</v>
      </c>
      <c r="C127" s="330">
        <f>10500</f>
        <v>10500</v>
      </c>
      <c r="D127" s="330">
        <f>(132+20)*75</f>
        <v>11400</v>
      </c>
      <c r="E127" s="330"/>
      <c r="F127" s="330"/>
      <c r="G127" s="627">
        <f>12380+22130</f>
        <v>34510</v>
      </c>
      <c r="H127" s="627">
        <f t="shared" si="1"/>
        <v>56410</v>
      </c>
      <c r="I127" s="552">
        <v>56.78</v>
      </c>
      <c r="J127" s="655">
        <f t="shared" si="2"/>
        <v>-56353.22</v>
      </c>
    </row>
    <row r="128" ht="15.75" hidden="1" customHeight="1">
      <c r="A128" s="330"/>
      <c r="B128" s="626">
        <v>43842.0</v>
      </c>
      <c r="C128" s="330">
        <v>4000.0</v>
      </c>
      <c r="D128" s="330">
        <f>(80+412+180)*75</f>
        <v>50400</v>
      </c>
      <c r="E128" s="330">
        <f>100*78</f>
        <v>7800</v>
      </c>
      <c r="F128" s="330"/>
      <c r="G128" s="627">
        <f>7480+690+45220</f>
        <v>53390</v>
      </c>
      <c r="H128" s="627">
        <f t="shared" si="1"/>
        <v>115590</v>
      </c>
      <c r="I128" s="552">
        <v>115.04</v>
      </c>
      <c r="J128" s="630">
        <f t="shared" si="2"/>
        <v>-115474.96</v>
      </c>
    </row>
    <row r="129" ht="15.75" hidden="1" customHeight="1">
      <c r="A129" s="330"/>
      <c r="B129" s="626">
        <v>43843.0</v>
      </c>
      <c r="C129" s="330"/>
      <c r="D129" s="330">
        <f>(70+105+67)*75</f>
        <v>18150</v>
      </c>
      <c r="E129" s="330">
        <f>80*78</f>
        <v>6240</v>
      </c>
      <c r="F129" s="330"/>
      <c r="G129" s="627">
        <v>3.41</v>
      </c>
      <c r="H129" s="627">
        <f t="shared" si="1"/>
        <v>24393.41</v>
      </c>
      <c r="I129" s="552">
        <v>28.52</v>
      </c>
      <c r="J129" s="656">
        <f t="shared" si="2"/>
        <v>-24364.89</v>
      </c>
    </row>
    <row r="130" ht="15.75" hidden="1" customHeight="1">
      <c r="A130" s="330"/>
      <c r="B130" s="626">
        <v>43844.0</v>
      </c>
      <c r="C130" s="330">
        <v>2500.0</v>
      </c>
      <c r="D130" s="330"/>
      <c r="E130" s="330"/>
      <c r="F130" s="330"/>
      <c r="G130" s="627">
        <v>6.69</v>
      </c>
      <c r="H130" s="627">
        <f t="shared" si="1"/>
        <v>2506.69</v>
      </c>
      <c r="I130" s="552">
        <v>8.07</v>
      </c>
      <c r="J130" s="656">
        <f t="shared" si="2"/>
        <v>-2498.62</v>
      </c>
    </row>
    <row r="131" ht="15.75" hidden="1" customHeight="1">
      <c r="A131" s="330"/>
      <c r="B131" s="626">
        <v>43845.0</v>
      </c>
      <c r="C131" s="330">
        <f>2500+1300</f>
        <v>3800</v>
      </c>
      <c r="D131" s="330"/>
      <c r="E131" s="330"/>
      <c r="F131" s="330">
        <f>320*16</f>
        <v>5120</v>
      </c>
      <c r="G131" s="627">
        <f>6000+6490</f>
        <v>12490</v>
      </c>
      <c r="H131" s="627">
        <f t="shared" si="1"/>
        <v>21410</v>
      </c>
      <c r="I131" s="552">
        <v>21.64</v>
      </c>
      <c r="J131" s="656">
        <f t="shared" si="2"/>
        <v>-21388.36</v>
      </c>
    </row>
    <row r="132" ht="15.75" hidden="1" customHeight="1">
      <c r="A132" s="330"/>
      <c r="B132" s="626">
        <v>43846.0</v>
      </c>
      <c r="C132" s="330">
        <v>2500.0</v>
      </c>
      <c r="D132" s="330"/>
      <c r="E132" s="330"/>
      <c r="F132" s="330"/>
      <c r="G132" s="627">
        <v>3.28</v>
      </c>
      <c r="H132" s="627">
        <f t="shared" si="1"/>
        <v>2503.28</v>
      </c>
      <c r="I132" s="552">
        <v>6.83</v>
      </c>
      <c r="J132" s="655">
        <f t="shared" si="2"/>
        <v>-2496.45</v>
      </c>
    </row>
    <row r="133" ht="15.75" hidden="1" customHeight="1">
      <c r="A133" s="330"/>
      <c r="B133" s="626">
        <v>43847.0</v>
      </c>
      <c r="C133" s="330">
        <f>2500+4000+5000</f>
        <v>11500</v>
      </c>
      <c r="D133" s="330">
        <f>(130+90)*75</f>
        <v>16500</v>
      </c>
      <c r="E133" s="330">
        <f>(30+20)*78</f>
        <v>3900</v>
      </c>
      <c r="F133" s="330">
        <f>200*16</f>
        <v>3200</v>
      </c>
      <c r="G133" s="627">
        <f>38350+46390</f>
        <v>84740</v>
      </c>
      <c r="H133" s="627">
        <f t="shared" si="1"/>
        <v>119840</v>
      </c>
      <c r="I133" s="552">
        <v>119.05</v>
      </c>
      <c r="J133" s="656">
        <f t="shared" si="2"/>
        <v>-119720.95</v>
      </c>
    </row>
    <row r="134" ht="15.75" hidden="1" customHeight="1">
      <c r="A134" s="330"/>
      <c r="B134" s="626">
        <v>43848.0</v>
      </c>
      <c r="C134" s="330"/>
      <c r="D134" s="330">
        <f>(100)*75</f>
        <v>7500</v>
      </c>
      <c r="E134" s="330"/>
      <c r="F134" s="330">
        <f>150*16</f>
        <v>2400</v>
      </c>
      <c r="G134" s="627">
        <v>45.13</v>
      </c>
      <c r="H134" s="627">
        <f t="shared" si="1"/>
        <v>9945.13</v>
      </c>
      <c r="I134" s="552">
        <v>55.09</v>
      </c>
      <c r="J134" s="656">
        <f t="shared" si="2"/>
        <v>-9890.04</v>
      </c>
    </row>
    <row r="135" ht="15.75" hidden="1" customHeight="1">
      <c r="A135" s="330"/>
      <c r="B135" s="626">
        <v>43849.0</v>
      </c>
      <c r="C135" s="330">
        <f>7000</f>
        <v>7000</v>
      </c>
      <c r="D135" s="330">
        <f>(220+270+51)*75</f>
        <v>40575</v>
      </c>
      <c r="E135" s="330">
        <f>250*78</f>
        <v>19500</v>
      </c>
      <c r="F135" s="330"/>
      <c r="G135" s="627">
        <f>24930+9980</f>
        <v>34910</v>
      </c>
      <c r="H135" s="627">
        <f t="shared" si="1"/>
        <v>101985</v>
      </c>
      <c r="I135" s="552">
        <v>100.88</v>
      </c>
      <c r="J135" s="656">
        <f t="shared" si="2"/>
        <v>-101884.12</v>
      </c>
    </row>
    <row r="136" ht="15.75" hidden="1" customHeight="1">
      <c r="A136" s="330"/>
      <c r="B136" s="626">
        <v>43850.0</v>
      </c>
      <c r="C136" s="330"/>
      <c r="D136" s="330">
        <f>47*75</f>
        <v>3525</v>
      </c>
      <c r="E136" s="330"/>
      <c r="F136" s="330"/>
      <c r="G136" s="627">
        <f>5990+8480</f>
        <v>14470</v>
      </c>
      <c r="H136" s="627">
        <f t="shared" si="1"/>
        <v>17995</v>
      </c>
      <c r="I136" s="552">
        <v>15.16</v>
      </c>
      <c r="J136" s="656">
        <f t="shared" si="2"/>
        <v>-17979.84</v>
      </c>
    </row>
    <row r="137" ht="15.75" hidden="1" customHeight="1">
      <c r="A137" s="330"/>
      <c r="B137" s="626">
        <v>43851.0</v>
      </c>
      <c r="C137" s="330"/>
      <c r="D137" s="330"/>
      <c r="E137" s="330">
        <f>350*78</f>
        <v>27300</v>
      </c>
      <c r="F137" s="330"/>
      <c r="G137" s="627">
        <f>10550+5990</f>
        <v>16540</v>
      </c>
      <c r="H137" s="627">
        <f t="shared" si="1"/>
        <v>43840</v>
      </c>
      <c r="I137" s="552">
        <v>47.01</v>
      </c>
      <c r="J137" s="655">
        <f t="shared" si="2"/>
        <v>-43792.99</v>
      </c>
    </row>
    <row r="138" ht="15.75" hidden="1" customHeight="1">
      <c r="A138" s="330"/>
      <c r="B138" s="626">
        <v>43852.0</v>
      </c>
      <c r="C138" s="330">
        <v>1400.0</v>
      </c>
      <c r="D138" s="330">
        <f>310*75</f>
        <v>23250</v>
      </c>
      <c r="E138" s="330"/>
      <c r="F138" s="330"/>
      <c r="G138" s="627">
        <f>6750</f>
        <v>6750</v>
      </c>
      <c r="H138" s="627">
        <f t="shared" si="1"/>
        <v>31400</v>
      </c>
      <c r="I138" s="552">
        <v>32.17</v>
      </c>
      <c r="J138" s="656">
        <f t="shared" si="2"/>
        <v>-31367.83</v>
      </c>
    </row>
    <row r="139" ht="15.75" hidden="1" customHeight="1">
      <c r="A139" s="330"/>
      <c r="B139" s="626">
        <v>43853.0</v>
      </c>
      <c r="C139" s="330">
        <v>2500.0</v>
      </c>
      <c r="D139" s="330">
        <f>(70+120+136)*75</f>
        <v>24450</v>
      </c>
      <c r="E139" s="330"/>
      <c r="F139" s="330"/>
      <c r="G139" s="627">
        <f>15330+15700</f>
        <v>31030</v>
      </c>
      <c r="H139" s="627">
        <f t="shared" si="1"/>
        <v>57980</v>
      </c>
      <c r="I139" s="552">
        <v>57.78</v>
      </c>
      <c r="J139" s="656">
        <f t="shared" si="2"/>
        <v>-57922.22</v>
      </c>
    </row>
    <row r="140" ht="15.75" hidden="1" customHeight="1">
      <c r="A140" s="330"/>
      <c r="B140" s="626">
        <v>43854.0</v>
      </c>
      <c r="C140" s="330"/>
      <c r="D140" s="330">
        <f>80*75</f>
        <v>6000</v>
      </c>
      <c r="E140" s="330">
        <f>110*78</f>
        <v>8580</v>
      </c>
      <c r="F140" s="330"/>
      <c r="G140" s="627">
        <f>14250+19480</f>
        <v>33730</v>
      </c>
      <c r="H140" s="627">
        <f t="shared" si="1"/>
        <v>48310</v>
      </c>
      <c r="I140" s="552">
        <v>47.47</v>
      </c>
      <c r="J140" s="656">
        <f t="shared" si="2"/>
        <v>-48262.53</v>
      </c>
    </row>
    <row r="141" ht="15.75" hidden="1" customHeight="1">
      <c r="A141" s="330"/>
      <c r="B141" s="626">
        <v>43855.0</v>
      </c>
      <c r="C141" s="330"/>
      <c r="D141" s="330">
        <f>150*75</f>
        <v>11250</v>
      </c>
      <c r="E141" s="330"/>
      <c r="F141" s="330"/>
      <c r="G141" s="627">
        <f>8850+16660</f>
        <v>25510</v>
      </c>
      <c r="H141" s="627">
        <f t="shared" si="1"/>
        <v>36760</v>
      </c>
      <c r="I141" s="552">
        <f>36080</f>
        <v>36080</v>
      </c>
      <c r="J141" s="656">
        <f t="shared" si="2"/>
        <v>-680</v>
      </c>
    </row>
    <row r="142" ht="15.75" hidden="1" customHeight="1">
      <c r="A142" s="330"/>
      <c r="B142" s="626">
        <v>43856.0</v>
      </c>
      <c r="C142" s="330">
        <v>9000.0</v>
      </c>
      <c r="D142" s="330">
        <f>(140+535+200+100)*80</f>
        <v>78000</v>
      </c>
      <c r="E142" s="330">
        <f>80*85</f>
        <v>6800</v>
      </c>
      <c r="F142" s="330"/>
      <c r="G142" s="627">
        <f>38420+23660</f>
        <v>62080</v>
      </c>
      <c r="H142" s="627">
        <f t="shared" si="1"/>
        <v>155880</v>
      </c>
      <c r="I142" s="552">
        <v>158.13</v>
      </c>
      <c r="J142" s="655">
        <f t="shared" si="2"/>
        <v>-155721.87</v>
      </c>
    </row>
    <row r="143" ht="15.75" hidden="1" customHeight="1">
      <c r="A143" s="330"/>
      <c r="B143" s="626">
        <v>43857.0</v>
      </c>
      <c r="C143" s="330">
        <f>5000+7500</f>
        <v>12500</v>
      </c>
      <c r="D143" s="330">
        <f>320*80</f>
        <v>25600</v>
      </c>
      <c r="E143" s="330"/>
      <c r="F143" s="330">
        <f>302*16</f>
        <v>4832</v>
      </c>
      <c r="G143" s="627">
        <f>2490+6980+6990+9980+6990+7990+5990</f>
        <v>47410</v>
      </c>
      <c r="H143" s="627">
        <f t="shared" si="1"/>
        <v>90342</v>
      </c>
      <c r="I143" s="552">
        <v>92.39</v>
      </c>
      <c r="J143" s="656">
        <f t="shared" si="2"/>
        <v>-90249.61</v>
      </c>
    </row>
    <row r="144" ht="15.75" hidden="1" customHeight="1">
      <c r="A144" s="330"/>
      <c r="B144" s="626">
        <v>43858.0</v>
      </c>
      <c r="C144" s="330">
        <v>2000.0</v>
      </c>
      <c r="D144" s="330">
        <f>(120+45)*80</f>
        <v>13200</v>
      </c>
      <c r="E144" s="330"/>
      <c r="F144" s="330"/>
      <c r="G144" s="627">
        <f>5990+1290+1580+4050+3990+1380+8990+29950</f>
        <v>57220</v>
      </c>
      <c r="H144" s="627">
        <f t="shared" si="1"/>
        <v>72420</v>
      </c>
      <c r="I144" s="552">
        <v>70.07</v>
      </c>
      <c r="J144" s="656">
        <f t="shared" si="2"/>
        <v>-72349.93</v>
      </c>
    </row>
    <row r="145" ht="15.75" hidden="1" customHeight="1">
      <c r="A145" s="330"/>
      <c r="B145" s="626">
        <v>43859.0</v>
      </c>
      <c r="C145" s="330">
        <f>2500+5000+7500</f>
        <v>15000</v>
      </c>
      <c r="D145" s="330"/>
      <c r="E145" s="330"/>
      <c r="F145" s="330"/>
      <c r="G145" s="627">
        <f>3990+690+6490+10990+7990</f>
        <v>30150</v>
      </c>
      <c r="H145" s="627">
        <f t="shared" si="1"/>
        <v>45150</v>
      </c>
      <c r="I145" s="552">
        <v>46.29</v>
      </c>
      <c r="J145" s="656">
        <f t="shared" si="2"/>
        <v>-45103.71</v>
      </c>
    </row>
    <row r="146" ht="15.75" hidden="1" customHeight="1">
      <c r="A146" s="330"/>
      <c r="B146" s="626">
        <v>43860.0</v>
      </c>
      <c r="C146" s="330"/>
      <c r="D146" s="330">
        <f>(340+51)*80</f>
        <v>31280</v>
      </c>
      <c r="E146" s="330">
        <f>85*120</f>
        <v>10200</v>
      </c>
      <c r="F146" s="330">
        <f>7*16</f>
        <v>112</v>
      </c>
      <c r="G146" s="627">
        <f>890+8990+1190+6490</f>
        <v>17560</v>
      </c>
      <c r="H146" s="627">
        <f t="shared" si="1"/>
        <v>59152</v>
      </c>
      <c r="I146" s="552">
        <v>58.85</v>
      </c>
      <c r="J146" s="656">
        <f t="shared" si="2"/>
        <v>-59093.15</v>
      </c>
    </row>
    <row r="147" ht="15.75" hidden="1" customHeight="1">
      <c r="A147" s="330"/>
      <c r="B147" s="626">
        <v>43861.0</v>
      </c>
      <c r="C147" s="330">
        <v>5000.0</v>
      </c>
      <c r="D147" s="330">
        <f>150*80</f>
        <v>12000</v>
      </c>
      <c r="E147" s="330"/>
      <c r="F147" s="330"/>
      <c r="G147" s="627">
        <f>1990+23490</f>
        <v>25480</v>
      </c>
      <c r="H147" s="627">
        <f t="shared" si="1"/>
        <v>42480</v>
      </c>
      <c r="I147" s="552">
        <v>43.0</v>
      </c>
      <c r="J147" s="656">
        <f t="shared" si="2"/>
        <v>-42437</v>
      </c>
    </row>
    <row r="148" ht="15.75" hidden="1" customHeight="1">
      <c r="A148" s="330"/>
      <c r="B148" s="626">
        <v>43862.0</v>
      </c>
      <c r="C148" s="330"/>
      <c r="D148" s="330">
        <f>(134+175)*80</f>
        <v>24720</v>
      </c>
      <c r="E148" s="330">
        <f>70*85</f>
        <v>5950</v>
      </c>
      <c r="F148" s="330"/>
      <c r="G148" s="627">
        <f>14980+16470+5990+6490+6490</f>
        <v>50420</v>
      </c>
      <c r="H148" s="627">
        <f t="shared" si="1"/>
        <v>81090</v>
      </c>
      <c r="I148" s="552">
        <v>79.45</v>
      </c>
      <c r="J148" s="656">
        <f t="shared" si="2"/>
        <v>-81010.55</v>
      </c>
    </row>
    <row r="149" ht="15.75" hidden="1" customHeight="1">
      <c r="A149" s="330"/>
      <c r="B149" s="626">
        <v>43863.0</v>
      </c>
      <c r="C149" s="330">
        <f>7500+2500</f>
        <v>10000</v>
      </c>
      <c r="D149" s="330">
        <f>(158+25)*80</f>
        <v>14640</v>
      </c>
      <c r="E149" s="330">
        <f>30*85</f>
        <v>2550</v>
      </c>
      <c r="F149" s="330">
        <f>25*16</f>
        <v>400</v>
      </c>
      <c r="G149" s="627">
        <f>6490+1490+6490+8980+3490+2490</f>
        <v>29430</v>
      </c>
      <c r="H149" s="627">
        <f t="shared" si="1"/>
        <v>57020</v>
      </c>
      <c r="I149" s="552">
        <v>57.6</v>
      </c>
      <c r="J149" s="656">
        <f t="shared" si="2"/>
        <v>-56962.4</v>
      </c>
    </row>
    <row r="150" ht="14.25" hidden="1" customHeight="1">
      <c r="A150" s="330"/>
      <c r="B150" s="626">
        <v>43864.0</v>
      </c>
      <c r="C150" s="330"/>
      <c r="D150" s="330"/>
      <c r="E150" s="330"/>
      <c r="F150" s="330">
        <f>50*16</f>
        <v>800</v>
      </c>
      <c r="G150" s="627">
        <v>0.0</v>
      </c>
      <c r="H150" s="627">
        <f t="shared" si="1"/>
        <v>800</v>
      </c>
      <c r="I150" s="552">
        <v>390.0</v>
      </c>
      <c r="J150" s="656">
        <f t="shared" si="2"/>
        <v>-410</v>
      </c>
    </row>
    <row r="151" ht="15.75" hidden="1" customHeight="1">
      <c r="A151" s="330"/>
      <c r="B151" s="626">
        <v>43865.0</v>
      </c>
      <c r="C151" s="330"/>
      <c r="D151" s="330">
        <f>20*80</f>
        <v>1600</v>
      </c>
      <c r="E151" s="330">
        <f>20*85</f>
        <v>1700</v>
      </c>
      <c r="F151" s="330"/>
      <c r="G151" s="627">
        <v>9.98</v>
      </c>
      <c r="H151" s="627">
        <f t="shared" si="1"/>
        <v>3309.98</v>
      </c>
      <c r="I151" s="552">
        <v>12.95</v>
      </c>
      <c r="J151" s="656">
        <f t="shared" si="2"/>
        <v>-3297.03</v>
      </c>
    </row>
    <row r="152" ht="15.75" hidden="1" customHeight="1">
      <c r="A152" s="330"/>
      <c r="B152" s="626">
        <v>43866.0</v>
      </c>
      <c r="C152" s="330">
        <f>5000+12500</f>
        <v>17500</v>
      </c>
      <c r="D152" s="330">
        <f>(103+180)*80</f>
        <v>22640</v>
      </c>
      <c r="E152" s="330">
        <f>(150+71)*85</f>
        <v>18785</v>
      </c>
      <c r="F152" s="330"/>
      <c r="G152" s="627">
        <f>2080+5380</f>
        <v>7460</v>
      </c>
      <c r="H152" s="627">
        <f t="shared" si="1"/>
        <v>66385</v>
      </c>
      <c r="I152" s="552">
        <v>66.6</v>
      </c>
      <c r="J152" s="656">
        <f t="shared" si="2"/>
        <v>-66318.4</v>
      </c>
    </row>
    <row r="153" ht="15.75" hidden="1" customHeight="1">
      <c r="A153" s="330"/>
      <c r="B153" s="626">
        <v>43867.0</v>
      </c>
      <c r="C153" s="330"/>
      <c r="D153" s="330">
        <f>(785+50)*80</f>
        <v>66800</v>
      </c>
      <c r="E153" s="330"/>
      <c r="F153" s="330"/>
      <c r="G153" s="627">
        <f>13340+2680</f>
        <v>16020</v>
      </c>
      <c r="H153" s="627">
        <f t="shared" si="1"/>
        <v>82820</v>
      </c>
      <c r="I153" s="552">
        <v>83.27</v>
      </c>
      <c r="J153" s="656">
        <f t="shared" si="2"/>
        <v>-82736.73</v>
      </c>
    </row>
    <row r="154" ht="15.75" hidden="1" customHeight="1">
      <c r="A154" s="330"/>
      <c r="B154" s="626">
        <v>43868.0</v>
      </c>
      <c r="C154" s="330"/>
      <c r="D154" s="330">
        <f>25*80</f>
        <v>2000</v>
      </c>
      <c r="E154" s="330">
        <f>(30+520+31)*85</f>
        <v>49385</v>
      </c>
      <c r="F154" s="330"/>
      <c r="G154" s="627">
        <f>12470+8490+31400</f>
        <v>52360</v>
      </c>
      <c r="H154" s="627">
        <f t="shared" si="1"/>
        <v>103745</v>
      </c>
      <c r="I154" s="552">
        <v>103.44</v>
      </c>
      <c r="J154" s="656">
        <f t="shared" si="2"/>
        <v>-103641.56</v>
      </c>
    </row>
    <row r="155" ht="15.75" hidden="1" customHeight="1">
      <c r="A155" s="330"/>
      <c r="B155" s="626">
        <v>43869.0</v>
      </c>
      <c r="C155" s="330">
        <v>6000.0</v>
      </c>
      <c r="D155" s="330">
        <f>200*80</f>
        <v>16000</v>
      </c>
      <c r="E155" s="330">
        <f>110*85</f>
        <v>9350</v>
      </c>
      <c r="F155" s="330">
        <f>180*20</f>
        <v>3600</v>
      </c>
      <c r="G155" s="627">
        <v>2.49</v>
      </c>
      <c r="H155" s="627">
        <f t="shared" si="1"/>
        <v>34952.49</v>
      </c>
      <c r="I155" s="552">
        <v>37.37</v>
      </c>
      <c r="J155" s="656">
        <f t="shared" si="2"/>
        <v>-34915.12</v>
      </c>
    </row>
    <row r="156" ht="15.75" hidden="1" customHeight="1">
      <c r="A156" s="330"/>
      <c r="B156" s="626">
        <v>43870.0</v>
      </c>
      <c r="C156" s="330">
        <f>5000+3000+10000</f>
        <v>18000</v>
      </c>
      <c r="D156" s="330">
        <f>(175+30+130)*80</f>
        <v>26800</v>
      </c>
      <c r="E156" s="330">
        <f>(75+24)*85</f>
        <v>8415</v>
      </c>
      <c r="F156" s="330">
        <f>150*20</f>
        <v>3000</v>
      </c>
      <c r="G156" s="627">
        <f>21990+11470</f>
        <v>33460</v>
      </c>
      <c r="H156" s="627">
        <f t="shared" si="1"/>
        <v>89675</v>
      </c>
      <c r="I156" s="552">
        <v>89.84</v>
      </c>
      <c r="J156" s="656">
        <f t="shared" si="2"/>
        <v>-89585.16</v>
      </c>
    </row>
    <row r="157" ht="15.75" hidden="1" customHeight="1">
      <c r="A157" s="330"/>
      <c r="B157" s="626">
        <v>43871.0</v>
      </c>
      <c r="C157" s="330"/>
      <c r="D157" s="330"/>
      <c r="E157" s="330"/>
      <c r="F157" s="330"/>
      <c r="G157" s="627">
        <f>4570+990+6490+990+6490+1990</f>
        <v>21520</v>
      </c>
      <c r="H157" s="627">
        <f t="shared" si="1"/>
        <v>21520</v>
      </c>
      <c r="I157" s="552">
        <v>23.1</v>
      </c>
      <c r="J157" s="656">
        <f t="shared" si="2"/>
        <v>-21496.9</v>
      </c>
    </row>
    <row r="158" ht="15.75" hidden="1" customHeight="1">
      <c r="A158" s="330"/>
      <c r="B158" s="626">
        <v>43872.0</v>
      </c>
      <c r="C158" s="330"/>
      <c r="D158" s="330">
        <f>200*80</f>
        <v>16000</v>
      </c>
      <c r="E158" s="330">
        <f>71*85</f>
        <v>6035</v>
      </c>
      <c r="F158" s="330"/>
      <c r="G158" s="627">
        <v>23.49</v>
      </c>
      <c r="H158" s="627" t="s">
        <v>217</v>
      </c>
      <c r="I158" s="552">
        <v>43.96</v>
      </c>
      <c r="J158" s="656" t="str">
        <f t="shared" si="2"/>
        <v>#VALUE!</v>
      </c>
    </row>
    <row r="159" ht="15.75" hidden="1" customHeight="1">
      <c r="A159" s="330"/>
      <c r="B159" s="626">
        <v>43873.0</v>
      </c>
      <c r="C159" s="330"/>
      <c r="D159" s="330">
        <f>23*80</f>
        <v>1840</v>
      </c>
      <c r="E159" s="330"/>
      <c r="F159" s="330">
        <f>50*20</f>
        <v>1000</v>
      </c>
      <c r="G159" s="627">
        <f>3980+6490+4380+7490+3490+6000</f>
        <v>31830</v>
      </c>
      <c r="H159" s="627" t="s">
        <v>217</v>
      </c>
      <c r="I159" s="552">
        <v>34.91</v>
      </c>
      <c r="J159" s="656" t="str">
        <f t="shared" si="2"/>
        <v>#VALUE!</v>
      </c>
    </row>
    <row r="160" ht="15.75" hidden="1" customHeight="1">
      <c r="A160" s="330"/>
      <c r="B160" s="626">
        <v>43874.0</v>
      </c>
      <c r="C160" s="330"/>
      <c r="D160" s="330">
        <f>300*80</f>
        <v>24000</v>
      </c>
      <c r="E160" s="330">
        <f>10*85</f>
        <v>850</v>
      </c>
      <c r="F160" s="330">
        <f>40*20</f>
        <v>800</v>
      </c>
      <c r="G160" s="627">
        <f>9770+14970</f>
        <v>24740</v>
      </c>
      <c r="H160" s="627" t="s">
        <v>217</v>
      </c>
      <c r="I160" s="552">
        <v>58.46</v>
      </c>
      <c r="J160" s="656" t="str">
        <f t="shared" si="2"/>
        <v>#VALUE!</v>
      </c>
    </row>
    <row r="161" ht="15.75" hidden="1" customHeight="1">
      <c r="A161" s="330"/>
      <c r="B161" s="626">
        <v>43875.0</v>
      </c>
      <c r="C161" s="330"/>
      <c r="D161" s="330">
        <f>140*80</f>
        <v>11200</v>
      </c>
      <c r="E161" s="330"/>
      <c r="F161" s="330"/>
      <c r="G161" s="627">
        <f>5990+8480</f>
        <v>14470</v>
      </c>
      <c r="H161" s="627">
        <f t="shared" ref="H161:H208" si="5">SUM(C161:G161)</f>
        <v>25670</v>
      </c>
      <c r="I161" s="552">
        <v>19.43</v>
      </c>
      <c r="J161" s="656">
        <f t="shared" si="2"/>
        <v>-25650.57</v>
      </c>
    </row>
    <row r="162" ht="15.75" hidden="1" customHeight="1">
      <c r="A162" s="330"/>
      <c r="B162" s="626">
        <v>43876.0</v>
      </c>
      <c r="C162" s="330">
        <v>10000.0</v>
      </c>
      <c r="D162" s="330"/>
      <c r="E162" s="330"/>
      <c r="F162" s="330"/>
      <c r="G162" s="627">
        <f>15020+9600</f>
        <v>24620</v>
      </c>
      <c r="H162" s="627">
        <f t="shared" si="5"/>
        <v>34620</v>
      </c>
      <c r="I162" s="552">
        <v>35.29</v>
      </c>
      <c r="J162" s="656">
        <f t="shared" si="2"/>
        <v>-34584.71</v>
      </c>
    </row>
    <row r="163" ht="15.75" hidden="1" customHeight="1">
      <c r="A163" s="330"/>
      <c r="B163" s="626">
        <v>43877.0</v>
      </c>
      <c r="C163" s="330">
        <f>3400+5000</f>
        <v>8400</v>
      </c>
      <c r="D163" s="330">
        <f>580*80</f>
        <v>46400</v>
      </c>
      <c r="E163" s="330"/>
      <c r="F163" s="330"/>
      <c r="G163" s="627">
        <f>32450+21760</f>
        <v>54210</v>
      </c>
      <c r="H163" s="627">
        <f t="shared" si="5"/>
        <v>109010</v>
      </c>
      <c r="I163" s="552">
        <v>107.46</v>
      </c>
      <c r="J163" s="656">
        <f t="shared" si="2"/>
        <v>-108902.54</v>
      </c>
    </row>
    <row r="164" ht="15.75" hidden="1" customHeight="1">
      <c r="A164" s="330"/>
      <c r="B164" s="626">
        <v>43878.0</v>
      </c>
      <c r="C164" s="330"/>
      <c r="D164" s="330">
        <f>(170+225)*80</f>
        <v>31600</v>
      </c>
      <c r="E164" s="330"/>
      <c r="F164" s="330"/>
      <c r="G164" s="627">
        <f>28770</f>
        <v>28770</v>
      </c>
      <c r="H164" s="627">
        <f t="shared" si="5"/>
        <v>60370</v>
      </c>
      <c r="I164" s="552">
        <v>57.87</v>
      </c>
      <c r="J164" s="656">
        <f t="shared" si="2"/>
        <v>-60312.13</v>
      </c>
    </row>
    <row r="165" ht="15.75" hidden="1" customHeight="1">
      <c r="A165" s="330"/>
      <c r="B165" s="626">
        <v>43879.0</v>
      </c>
      <c r="C165" s="330">
        <f>5000+4000+10000+5000+10000</f>
        <v>34000</v>
      </c>
      <c r="D165" s="330">
        <f>100*80</f>
        <v>8000</v>
      </c>
      <c r="E165" s="330"/>
      <c r="F165" s="330"/>
      <c r="G165" s="627">
        <f>3880</f>
        <v>3880</v>
      </c>
      <c r="H165" s="627">
        <f t="shared" si="5"/>
        <v>45880</v>
      </c>
      <c r="I165" s="552">
        <v>49.04</v>
      </c>
      <c r="J165" s="656">
        <f t="shared" si="2"/>
        <v>-45830.96</v>
      </c>
    </row>
    <row r="166" ht="15.75" hidden="1" customHeight="1">
      <c r="A166" s="330"/>
      <c r="B166" s="626">
        <v>43880.0</v>
      </c>
      <c r="C166" s="330">
        <f>4000+10000</f>
        <v>14000</v>
      </c>
      <c r="D166" s="330">
        <f>(50+90)*80</f>
        <v>11200</v>
      </c>
      <c r="E166" s="330">
        <f>143*85</f>
        <v>12155</v>
      </c>
      <c r="F166" s="330"/>
      <c r="G166" s="627">
        <f>15980+23880+5770</f>
        <v>45630</v>
      </c>
      <c r="H166" s="627">
        <f t="shared" si="5"/>
        <v>82985</v>
      </c>
      <c r="I166" s="552">
        <v>70.62</v>
      </c>
      <c r="J166" s="656">
        <f t="shared" si="2"/>
        <v>-82914.38</v>
      </c>
    </row>
    <row r="167" ht="15.75" hidden="1" customHeight="1">
      <c r="A167" s="330"/>
      <c r="B167" s="626">
        <v>43881.0</v>
      </c>
      <c r="C167" s="330"/>
      <c r="D167" s="330">
        <f>(70+97)*80</f>
        <v>13360</v>
      </c>
      <c r="E167" s="330">
        <f>96*85</f>
        <v>8160</v>
      </c>
      <c r="F167" s="330"/>
      <c r="G167" s="627">
        <f>27080</f>
        <v>27080</v>
      </c>
      <c r="H167" s="627">
        <f t="shared" si="5"/>
        <v>48600</v>
      </c>
      <c r="I167" s="552">
        <v>76.65</v>
      </c>
      <c r="J167" s="656">
        <f t="shared" si="2"/>
        <v>-48523.35</v>
      </c>
    </row>
    <row r="168" ht="15.75" hidden="1" customHeight="1">
      <c r="A168" s="330"/>
      <c r="B168" s="626">
        <v>43882.0</v>
      </c>
      <c r="C168" s="330">
        <v>5000.0</v>
      </c>
      <c r="D168" s="330">
        <f>(101+348+165)*80</f>
        <v>49120</v>
      </c>
      <c r="E168" s="330"/>
      <c r="F168" s="330"/>
      <c r="G168" s="627">
        <f>16970</f>
        <v>16970</v>
      </c>
      <c r="H168" s="627">
        <f t="shared" si="5"/>
        <v>71090</v>
      </c>
      <c r="I168" s="552">
        <v>66.63</v>
      </c>
      <c r="J168" s="656">
        <f t="shared" si="2"/>
        <v>-71023.37</v>
      </c>
    </row>
    <row r="169" ht="15.75" hidden="1" customHeight="1">
      <c r="A169" s="330"/>
      <c r="B169" s="626">
        <v>43883.0</v>
      </c>
      <c r="C169" s="330"/>
      <c r="D169" s="330">
        <f>100*80</f>
        <v>8000</v>
      </c>
      <c r="E169" s="330"/>
      <c r="F169" s="330"/>
      <c r="G169" s="627">
        <f>5990+5160</f>
        <v>11150</v>
      </c>
      <c r="H169" s="627">
        <f t="shared" si="5"/>
        <v>19150</v>
      </c>
      <c r="I169" s="552">
        <v>18.92</v>
      </c>
      <c r="J169" s="656">
        <f t="shared" si="2"/>
        <v>-19131.08</v>
      </c>
    </row>
    <row r="170" ht="15.75" hidden="1" customHeight="1">
      <c r="A170" s="330"/>
      <c r="B170" s="626">
        <v>43884.0</v>
      </c>
      <c r="C170" s="330">
        <f>10000+4000</f>
        <v>14000</v>
      </c>
      <c r="D170" s="330">
        <f>(200+40)*80</f>
        <v>19200</v>
      </c>
      <c r="E170" s="330"/>
      <c r="F170" s="330">
        <f>(600+275+228+470)*20</f>
        <v>31460</v>
      </c>
      <c r="G170" s="627">
        <f>35830+12270</f>
        <v>48100</v>
      </c>
      <c r="H170" s="627">
        <f t="shared" si="5"/>
        <v>112760</v>
      </c>
      <c r="I170" s="552">
        <v>111.77</v>
      </c>
      <c r="J170" s="656">
        <f t="shared" si="2"/>
        <v>-112648.23</v>
      </c>
    </row>
    <row r="171" ht="15.75" hidden="1" customHeight="1">
      <c r="A171" s="330"/>
      <c r="B171" s="626">
        <v>43885.0</v>
      </c>
      <c r="C171" s="330"/>
      <c r="D171" s="330">
        <f>(170+100+63)*80</f>
        <v>26640</v>
      </c>
      <c r="E171" s="330"/>
      <c r="F171" s="330"/>
      <c r="G171" s="627">
        <f>26830+6890</f>
        <v>33720</v>
      </c>
      <c r="H171" s="627">
        <f t="shared" si="5"/>
        <v>60360</v>
      </c>
      <c r="I171" s="552">
        <v>58.54</v>
      </c>
      <c r="J171" s="656">
        <f t="shared" si="2"/>
        <v>-60301.46</v>
      </c>
    </row>
    <row r="172" ht="15.75" hidden="1" customHeight="1">
      <c r="A172" s="330"/>
      <c r="B172" s="626">
        <v>43886.0</v>
      </c>
      <c r="C172" s="330">
        <f>4000</f>
        <v>4000</v>
      </c>
      <c r="D172" s="330">
        <f>(129+207+76+44)*80</f>
        <v>36480</v>
      </c>
      <c r="E172" s="330"/>
      <c r="F172" s="330">
        <f>150*20</f>
        <v>3000</v>
      </c>
      <c r="G172" s="627">
        <f>37380+8230</f>
        <v>45610</v>
      </c>
      <c r="H172" s="627">
        <f t="shared" si="5"/>
        <v>89090</v>
      </c>
      <c r="I172" s="552">
        <v>91.65</v>
      </c>
      <c r="J172" s="656">
        <f t="shared" si="2"/>
        <v>-88998.35</v>
      </c>
    </row>
    <row r="173" ht="15.75" hidden="1" customHeight="1">
      <c r="A173" s="330"/>
      <c r="B173" s="626">
        <v>43887.0</v>
      </c>
      <c r="C173" s="330">
        <f>2500</f>
        <v>2500</v>
      </c>
      <c r="D173" s="330">
        <f>137*80</f>
        <v>10960</v>
      </c>
      <c r="E173" s="330"/>
      <c r="F173" s="330">
        <f>(200+324)*20</f>
        <v>10480</v>
      </c>
      <c r="G173" s="627">
        <v>28.33</v>
      </c>
      <c r="H173" s="627">
        <f t="shared" si="5"/>
        <v>23968.33</v>
      </c>
      <c r="I173" s="552">
        <v>51.82</v>
      </c>
      <c r="J173" s="656">
        <f t="shared" si="2"/>
        <v>-23916.51</v>
      </c>
    </row>
    <row r="174" ht="15.75" hidden="1" customHeight="1">
      <c r="A174" s="330"/>
      <c r="B174" s="626">
        <v>43888.0</v>
      </c>
      <c r="C174" s="330">
        <f>5000</f>
        <v>5000</v>
      </c>
      <c r="D174" s="330">
        <f>(100+60+87)*80</f>
        <v>19760</v>
      </c>
      <c r="E174" s="330"/>
      <c r="F174" s="330">
        <f>(100+300)*20</f>
        <v>8000</v>
      </c>
      <c r="G174" s="627">
        <f>1190+6490</f>
        <v>7680</v>
      </c>
      <c r="H174" s="627">
        <f t="shared" si="5"/>
        <v>40440</v>
      </c>
      <c r="I174" s="552">
        <v>42.87</v>
      </c>
      <c r="J174" s="656">
        <f t="shared" si="2"/>
        <v>-40397.13</v>
      </c>
    </row>
    <row r="175" ht="15.75" hidden="1" customHeight="1">
      <c r="A175" s="330"/>
      <c r="B175" s="626">
        <v>43889.0</v>
      </c>
      <c r="C175" s="330">
        <f>10000</f>
        <v>10000</v>
      </c>
      <c r="D175" s="330">
        <f>(105+32)*85</f>
        <v>11645</v>
      </c>
      <c r="E175" s="330">
        <f>60*85</f>
        <v>5100</v>
      </c>
      <c r="F175" s="330">
        <f>315*20</f>
        <v>6300</v>
      </c>
      <c r="G175" s="627">
        <f>2490+11060+11830</f>
        <v>25380</v>
      </c>
      <c r="H175" s="627">
        <f t="shared" si="5"/>
        <v>58425</v>
      </c>
      <c r="I175" s="552">
        <v>57.54</v>
      </c>
      <c r="J175" s="656">
        <f t="shared" si="2"/>
        <v>-58367.46</v>
      </c>
    </row>
    <row r="176" ht="15.75" hidden="1" customHeight="1">
      <c r="A176" s="330"/>
      <c r="B176" s="626">
        <v>43890.0</v>
      </c>
      <c r="C176" s="330">
        <f>7500+7500</f>
        <v>15000</v>
      </c>
      <c r="D176" s="330">
        <f>(100+140)*80</f>
        <v>19200</v>
      </c>
      <c r="E176" s="330"/>
      <c r="F176" s="330"/>
      <c r="G176" s="627">
        <f>75910+5980</f>
        <v>81890</v>
      </c>
      <c r="H176" s="627">
        <f t="shared" si="5"/>
        <v>116090</v>
      </c>
      <c r="I176" s="552">
        <v>117.45</v>
      </c>
      <c r="J176" s="656">
        <f t="shared" si="2"/>
        <v>-115972.55</v>
      </c>
    </row>
    <row r="177" ht="15.75" hidden="1" customHeight="1">
      <c r="A177" s="330"/>
      <c r="B177" s="626">
        <v>43891.0</v>
      </c>
      <c r="C177" s="330">
        <f>6000</f>
        <v>6000</v>
      </c>
      <c r="D177" s="330">
        <f>(325+210+100)*80</f>
        <v>50800</v>
      </c>
      <c r="E177" s="330">
        <f>65*85</f>
        <v>5525</v>
      </c>
      <c r="F177" s="330">
        <f>250*20</f>
        <v>5000</v>
      </c>
      <c r="G177" s="627">
        <f>22750+26830</f>
        <v>49580</v>
      </c>
      <c r="H177" s="627">
        <f t="shared" si="5"/>
        <v>116905</v>
      </c>
      <c r="I177" s="552">
        <v>114.76</v>
      </c>
      <c r="J177" s="656">
        <f t="shared" si="2"/>
        <v>-116790.24</v>
      </c>
    </row>
    <row r="178" ht="15.75" hidden="1" customHeight="1">
      <c r="A178" s="330"/>
      <c r="B178" s="626">
        <v>43892.0</v>
      </c>
      <c r="C178" s="330"/>
      <c r="D178" s="330">
        <f>228*80</f>
        <v>18240</v>
      </c>
      <c r="E178" s="330">
        <f>20*85</f>
        <v>1700</v>
      </c>
      <c r="F178" s="330"/>
      <c r="G178" s="627">
        <f>3130+49730</f>
        <v>52860</v>
      </c>
      <c r="H178" s="627">
        <f t="shared" si="5"/>
        <v>72800</v>
      </c>
      <c r="I178" s="552">
        <v>61.09</v>
      </c>
      <c r="J178" s="656">
        <f t="shared" si="2"/>
        <v>-72738.91</v>
      </c>
    </row>
    <row r="179" ht="15.75" hidden="1" customHeight="1">
      <c r="A179" s="330"/>
      <c r="B179" s="626">
        <v>43893.0</v>
      </c>
      <c r="C179" s="330">
        <f>2500+5000</f>
        <v>7500</v>
      </c>
      <c r="D179" s="330">
        <f>355*80</f>
        <v>28400</v>
      </c>
      <c r="E179" s="330"/>
      <c r="F179" s="330"/>
      <c r="G179" s="627">
        <f>29470+4940</f>
        <v>34410</v>
      </c>
      <c r="H179" s="627">
        <f t="shared" si="5"/>
        <v>70310</v>
      </c>
      <c r="I179" s="552">
        <v>69.99</v>
      </c>
      <c r="J179" s="656">
        <f t="shared" si="2"/>
        <v>-70240.01</v>
      </c>
    </row>
    <row r="180" ht="15.75" hidden="1" customHeight="1">
      <c r="A180" s="330"/>
      <c r="B180" s="626">
        <v>43894.0</v>
      </c>
      <c r="C180" s="330">
        <v>2500.0</v>
      </c>
      <c r="D180" s="330">
        <f>(25+89)*80</f>
        <v>9120</v>
      </c>
      <c r="E180" s="330"/>
      <c r="F180" s="330"/>
      <c r="G180" s="627"/>
      <c r="H180" s="627">
        <f t="shared" si="5"/>
        <v>11620</v>
      </c>
      <c r="I180" s="552">
        <v>10.59</v>
      </c>
      <c r="J180" s="656">
        <f t="shared" si="2"/>
        <v>-11609.41</v>
      </c>
    </row>
    <row r="181" ht="15.75" hidden="1" customHeight="1">
      <c r="A181" s="330"/>
      <c r="B181" s="626">
        <v>43895.0</v>
      </c>
      <c r="C181" s="330"/>
      <c r="D181" s="330">
        <f>(210+45)*80</f>
        <v>20400</v>
      </c>
      <c r="E181" s="330">
        <f>265*85</f>
        <v>22525</v>
      </c>
      <c r="F181" s="330"/>
      <c r="G181" s="627">
        <f>35140+2490</f>
        <v>37630</v>
      </c>
      <c r="H181" s="627">
        <f t="shared" si="5"/>
        <v>80555</v>
      </c>
      <c r="I181" s="552">
        <v>82.3</v>
      </c>
      <c r="J181" s="656">
        <f t="shared" si="2"/>
        <v>-80472.7</v>
      </c>
    </row>
    <row r="182" ht="15.75" hidden="1" customHeight="1">
      <c r="A182" s="330"/>
      <c r="B182" s="626">
        <v>43896.0</v>
      </c>
      <c r="C182" s="330">
        <f>5000+7500</f>
        <v>12500</v>
      </c>
      <c r="D182" s="330">
        <f>(500+120+75)*80</f>
        <v>55600</v>
      </c>
      <c r="E182" s="330">
        <f>20*85</f>
        <v>1700</v>
      </c>
      <c r="F182" s="330"/>
      <c r="G182" s="627">
        <v>3.49</v>
      </c>
      <c r="H182" s="627">
        <f t="shared" si="5"/>
        <v>69803.49</v>
      </c>
      <c r="I182" s="552">
        <v>86.23</v>
      </c>
      <c r="J182" s="656">
        <f t="shared" si="2"/>
        <v>-69717.26</v>
      </c>
    </row>
    <row r="183" ht="15.75" hidden="1" customHeight="1">
      <c r="A183" s="330"/>
      <c r="B183" s="626">
        <v>43897.0</v>
      </c>
      <c r="C183" s="330">
        <v>1900.0</v>
      </c>
      <c r="D183" s="330">
        <f>20*80</f>
        <v>1600</v>
      </c>
      <c r="E183" s="330"/>
      <c r="F183" s="330"/>
      <c r="G183" s="627">
        <f>2180+6980</f>
        <v>9160</v>
      </c>
      <c r="H183" s="627">
        <f t="shared" si="5"/>
        <v>12660</v>
      </c>
      <c r="I183" s="552">
        <v>13.01</v>
      </c>
      <c r="J183" s="655">
        <f t="shared" si="2"/>
        <v>-12646.99</v>
      </c>
    </row>
    <row r="184" ht="15.75" hidden="1" customHeight="1">
      <c r="A184" s="330"/>
      <c r="B184" s="626">
        <v>43898.0</v>
      </c>
      <c r="C184" s="330">
        <f>4800</f>
        <v>4800</v>
      </c>
      <c r="D184" s="330">
        <f>(32+320+100)*80</f>
        <v>36160</v>
      </c>
      <c r="E184" s="330"/>
      <c r="F184" s="330">
        <f>200*20</f>
        <v>4000</v>
      </c>
      <c r="G184" s="627">
        <f>48720+23450</f>
        <v>72170</v>
      </c>
      <c r="H184" s="627">
        <f t="shared" si="5"/>
        <v>117130</v>
      </c>
      <c r="I184" s="552">
        <v>117.1</v>
      </c>
      <c r="J184" s="656">
        <f t="shared" si="2"/>
        <v>-117012.9</v>
      </c>
    </row>
    <row r="185" ht="15.75" hidden="1" customHeight="1">
      <c r="A185" s="330"/>
      <c r="B185" s="626">
        <v>43899.0</v>
      </c>
      <c r="C185" s="330">
        <f>7500+5000</f>
        <v>12500</v>
      </c>
      <c r="D185" s="330">
        <f>(162+92)*80</f>
        <v>20320</v>
      </c>
      <c r="E185" s="330"/>
      <c r="F185" s="330"/>
      <c r="G185" s="627">
        <f>6770+2490</f>
        <v>9260</v>
      </c>
      <c r="H185" s="627">
        <f t="shared" si="5"/>
        <v>42080</v>
      </c>
      <c r="I185" s="552">
        <v>51.97</v>
      </c>
      <c r="J185" s="655">
        <f t="shared" si="2"/>
        <v>-42028.03</v>
      </c>
    </row>
    <row r="186" ht="15.75" hidden="1" customHeight="1">
      <c r="A186" s="330"/>
      <c r="B186" s="626">
        <v>43900.0</v>
      </c>
      <c r="C186" s="330">
        <f>2500+7500</f>
        <v>10000</v>
      </c>
      <c r="D186" s="330">
        <f>(68+238)*80</f>
        <v>24480</v>
      </c>
      <c r="E186" s="330"/>
      <c r="F186" s="330"/>
      <c r="G186" s="627">
        <f>12980+5990</f>
        <v>18970</v>
      </c>
      <c r="H186" s="627">
        <f t="shared" si="5"/>
        <v>53450</v>
      </c>
      <c r="I186" s="552">
        <f>52280</f>
        <v>52280</v>
      </c>
      <c r="J186" s="656">
        <f t="shared" si="2"/>
        <v>-1170</v>
      </c>
    </row>
    <row r="187" ht="15.75" hidden="1" customHeight="1">
      <c r="A187" s="330"/>
      <c r="B187" s="626">
        <v>43901.0</v>
      </c>
      <c r="C187" s="330">
        <f>1500</f>
        <v>1500</v>
      </c>
      <c r="D187" s="330">
        <f>(70)*80</f>
        <v>5600</v>
      </c>
      <c r="E187" s="330"/>
      <c r="F187" s="330">
        <f>114*20</f>
        <v>2280</v>
      </c>
      <c r="G187" s="627">
        <f>5230</f>
        <v>5230</v>
      </c>
      <c r="H187" s="627">
        <f t="shared" si="5"/>
        <v>14610</v>
      </c>
      <c r="I187" s="552">
        <v>14.15</v>
      </c>
      <c r="J187" s="656">
        <f t="shared" si="2"/>
        <v>-14595.85</v>
      </c>
    </row>
    <row r="188" ht="15.75" hidden="1" customHeight="1">
      <c r="A188" s="330"/>
      <c r="B188" s="626">
        <v>43902.0</v>
      </c>
      <c r="C188" s="330"/>
      <c r="D188" s="330">
        <f>140*80</f>
        <v>11200</v>
      </c>
      <c r="E188" s="330"/>
      <c r="F188" s="330"/>
      <c r="G188" s="627">
        <v>3.98</v>
      </c>
      <c r="H188" s="627">
        <f t="shared" si="5"/>
        <v>11203.98</v>
      </c>
      <c r="I188" s="552">
        <v>15.22</v>
      </c>
      <c r="J188" s="655">
        <f t="shared" si="2"/>
        <v>-11188.76</v>
      </c>
    </row>
    <row r="189" ht="15.75" hidden="1" customHeight="1">
      <c r="A189" s="330"/>
      <c r="B189" s="626">
        <v>43903.0</v>
      </c>
      <c r="C189" s="330">
        <f>10000+7500+10000</f>
        <v>27500</v>
      </c>
      <c r="D189" s="330">
        <f>(130+170+140)*80</f>
        <v>35200</v>
      </c>
      <c r="E189" s="330"/>
      <c r="F189" s="330">
        <f>50*20</f>
        <v>1000</v>
      </c>
      <c r="G189" s="627">
        <f>5990+49360</f>
        <v>55350</v>
      </c>
      <c r="H189" s="627">
        <f t="shared" si="5"/>
        <v>119050</v>
      </c>
      <c r="I189" s="552">
        <v>121.58</v>
      </c>
      <c r="J189" s="655">
        <f t="shared" si="2"/>
        <v>-118928.42</v>
      </c>
    </row>
    <row r="190" ht="15.75" hidden="1" customHeight="1">
      <c r="A190" s="330"/>
      <c r="B190" s="626">
        <v>43904.0</v>
      </c>
      <c r="C190" s="330">
        <f>7500</f>
        <v>7500</v>
      </c>
      <c r="D190" s="330">
        <f>300*80</f>
        <v>24000</v>
      </c>
      <c r="E190" s="330">
        <f>30*85</f>
        <v>2550</v>
      </c>
      <c r="F190" s="330">
        <f>29*20</f>
        <v>580</v>
      </c>
      <c r="G190" s="627">
        <v>7.98</v>
      </c>
      <c r="H190" s="627">
        <f t="shared" si="5"/>
        <v>34637.98</v>
      </c>
      <c r="I190" s="552">
        <v>43.72</v>
      </c>
      <c r="J190" s="655">
        <f t="shared" si="2"/>
        <v>-34594.26</v>
      </c>
    </row>
    <row r="191" ht="15.75" hidden="1" customHeight="1">
      <c r="A191" s="330"/>
      <c r="B191" s="626">
        <v>43905.0</v>
      </c>
      <c r="C191" s="330">
        <f>3900+2500</f>
        <v>6400</v>
      </c>
      <c r="D191" s="330">
        <f>(35)*80</f>
        <v>2800</v>
      </c>
      <c r="E191" s="330"/>
      <c r="F191" s="330"/>
      <c r="G191" s="627">
        <f>36120+3280</f>
        <v>39400</v>
      </c>
      <c r="H191" s="627">
        <f t="shared" si="5"/>
        <v>48600</v>
      </c>
      <c r="I191" s="552">
        <v>46.14</v>
      </c>
      <c r="J191" s="656">
        <f t="shared" si="2"/>
        <v>-48553.86</v>
      </c>
    </row>
    <row r="192" ht="15.75" hidden="1" customHeight="1">
      <c r="A192" s="330"/>
      <c r="B192" s="626">
        <v>43906.0</v>
      </c>
      <c r="C192" s="330"/>
      <c r="D192" s="330">
        <f>140*80</f>
        <v>11200</v>
      </c>
      <c r="E192" s="330"/>
      <c r="F192" s="330"/>
      <c r="G192" s="627"/>
      <c r="H192" s="627">
        <f t="shared" si="5"/>
        <v>11200</v>
      </c>
      <c r="I192" s="552">
        <v>12.55</v>
      </c>
      <c r="J192" s="656">
        <f t="shared" si="2"/>
        <v>-11187.45</v>
      </c>
    </row>
    <row r="193" ht="15.75" hidden="1" customHeight="1">
      <c r="A193" s="330"/>
      <c r="B193" s="626">
        <v>43907.0</v>
      </c>
      <c r="C193" s="330"/>
      <c r="D193" s="330">
        <f>55*80</f>
        <v>4400</v>
      </c>
      <c r="E193" s="330"/>
      <c r="F193" s="330"/>
      <c r="G193" s="627">
        <f>1190</f>
        <v>1190</v>
      </c>
      <c r="H193" s="627">
        <f t="shared" si="5"/>
        <v>5590</v>
      </c>
      <c r="I193" s="552">
        <v>5.46</v>
      </c>
      <c r="J193" s="656">
        <f t="shared" si="2"/>
        <v>-5584.54</v>
      </c>
    </row>
    <row r="194" ht="15.75" hidden="1" customHeight="1">
      <c r="A194" s="330"/>
      <c r="B194" s="626">
        <v>43908.0</v>
      </c>
      <c r="C194" s="330">
        <v>7500.0</v>
      </c>
      <c r="D194" s="330">
        <f>140*80</f>
        <v>11200</v>
      </c>
      <c r="E194" s="330"/>
      <c r="F194" s="330"/>
      <c r="G194" s="627"/>
      <c r="H194" s="627">
        <f t="shared" si="5"/>
        <v>18700</v>
      </c>
      <c r="I194" s="552">
        <v>18.27</v>
      </c>
      <c r="J194" s="656">
        <f t="shared" si="2"/>
        <v>-18681.73</v>
      </c>
    </row>
    <row r="195" ht="15.75" hidden="1" customHeight="1">
      <c r="A195" s="330"/>
      <c r="B195" s="626">
        <v>43909.0</v>
      </c>
      <c r="C195" s="330"/>
      <c r="D195" s="330"/>
      <c r="E195" s="330"/>
      <c r="F195" s="330"/>
      <c r="G195" s="627"/>
      <c r="H195" s="627">
        <f t="shared" si="5"/>
        <v>0</v>
      </c>
      <c r="I195" s="552">
        <v>0.0</v>
      </c>
    </row>
    <row r="196" ht="15.75" hidden="1" customHeight="1">
      <c r="A196" s="330"/>
      <c r="B196" s="626">
        <v>43956.0</v>
      </c>
      <c r="C196" s="330">
        <v>900.0</v>
      </c>
      <c r="D196" s="330"/>
      <c r="E196" s="330"/>
      <c r="F196" s="330"/>
      <c r="G196" s="627"/>
      <c r="H196" s="627">
        <f t="shared" si="5"/>
        <v>900</v>
      </c>
      <c r="I196" s="330">
        <v>560.0</v>
      </c>
    </row>
    <row r="197" ht="15.75" hidden="1" customHeight="1">
      <c r="A197" s="330"/>
      <c r="B197" s="626">
        <v>43957.0</v>
      </c>
      <c r="C197" s="330">
        <v>400.0</v>
      </c>
      <c r="D197" s="330"/>
      <c r="E197" s="330"/>
      <c r="F197" s="330"/>
      <c r="G197" s="627"/>
      <c r="H197" s="627">
        <f t="shared" si="5"/>
        <v>400</v>
      </c>
      <c r="I197" s="330">
        <v>370.0</v>
      </c>
    </row>
    <row r="198" ht="15.75" hidden="1" customHeight="1">
      <c r="B198" s="626">
        <v>43958.0</v>
      </c>
      <c r="C198" s="330">
        <v>700.0</v>
      </c>
      <c r="D198" s="330"/>
      <c r="E198" s="330"/>
      <c r="F198" s="330"/>
      <c r="G198" s="627">
        <v>70.0</v>
      </c>
      <c r="H198" s="330">
        <f t="shared" si="5"/>
        <v>770</v>
      </c>
      <c r="I198" s="330">
        <v>780.0</v>
      </c>
    </row>
    <row r="199" ht="15.75" hidden="1" customHeight="1">
      <c r="B199" s="626">
        <v>43959.0</v>
      </c>
      <c r="C199" s="330">
        <v>1200.0</v>
      </c>
      <c r="D199" s="330"/>
      <c r="E199" s="330"/>
      <c r="F199" s="330"/>
      <c r="G199" s="627"/>
      <c r="H199" s="330">
        <f t="shared" si="5"/>
        <v>1200</v>
      </c>
      <c r="I199" s="330">
        <v>870.0</v>
      </c>
    </row>
    <row r="200" ht="15.75" hidden="1" customHeight="1">
      <c r="B200" s="626">
        <v>43960.0</v>
      </c>
      <c r="C200" s="330">
        <v>2000.0</v>
      </c>
      <c r="D200" s="330"/>
      <c r="E200" s="330"/>
      <c r="F200" s="330"/>
      <c r="G200" s="627"/>
      <c r="H200" s="330">
        <f t="shared" si="5"/>
        <v>2000</v>
      </c>
      <c r="I200" s="330">
        <v>2240.0</v>
      </c>
    </row>
    <row r="201" ht="15.75" hidden="1" customHeight="1">
      <c r="B201" s="626">
        <v>43961.0</v>
      </c>
      <c r="C201" s="330">
        <v>0.0</v>
      </c>
      <c r="D201" s="330"/>
      <c r="E201" s="330"/>
      <c r="F201" s="330"/>
      <c r="G201" s="627"/>
      <c r="H201" s="330">
        <f t="shared" si="5"/>
        <v>0</v>
      </c>
      <c r="I201" s="330">
        <v>0.0</v>
      </c>
    </row>
    <row r="202" ht="15.75" hidden="1" customHeight="1">
      <c r="B202" s="626">
        <v>43962.0</v>
      </c>
      <c r="C202" s="330">
        <v>900.0</v>
      </c>
      <c r="D202" s="330"/>
      <c r="E202" s="330"/>
      <c r="F202" s="330"/>
      <c r="G202" s="627">
        <f>7590+1990</f>
        <v>9580</v>
      </c>
      <c r="H202" s="330">
        <f t="shared" si="5"/>
        <v>10480</v>
      </c>
      <c r="I202" s="330">
        <v>10290.0</v>
      </c>
    </row>
    <row r="203" ht="15.75" hidden="1" customHeight="1">
      <c r="B203" s="626">
        <v>43963.0</v>
      </c>
      <c r="C203" s="330">
        <v>900.0</v>
      </c>
      <c r="D203" s="330"/>
      <c r="E203" s="330"/>
      <c r="F203" s="330"/>
      <c r="G203" s="627">
        <v>40.0</v>
      </c>
      <c r="H203" s="330">
        <f t="shared" si="5"/>
        <v>940</v>
      </c>
      <c r="I203" s="330">
        <v>900.0</v>
      </c>
    </row>
    <row r="204" ht="15.75" hidden="1" customHeight="1">
      <c r="B204" s="626">
        <v>43964.0</v>
      </c>
      <c r="C204" s="330">
        <v>1000.0</v>
      </c>
      <c r="D204" s="330"/>
      <c r="E204" s="330"/>
      <c r="F204" s="330"/>
      <c r="G204" s="627">
        <v>140.0</v>
      </c>
      <c r="H204" s="330">
        <f t="shared" si="5"/>
        <v>1140</v>
      </c>
      <c r="I204" s="330">
        <v>1260.0</v>
      </c>
    </row>
    <row r="205" ht="15.75" hidden="1" customHeight="1">
      <c r="B205" s="626">
        <v>43965.0</v>
      </c>
      <c r="C205" s="330">
        <v>600.0</v>
      </c>
      <c r="D205" s="330"/>
      <c r="E205" s="330"/>
      <c r="F205" s="330"/>
      <c r="G205" s="627">
        <v>3.82</v>
      </c>
      <c r="H205" s="330">
        <f t="shared" si="5"/>
        <v>603.82</v>
      </c>
      <c r="I205" s="330">
        <v>4540.0</v>
      </c>
    </row>
    <row r="206" ht="15.75" hidden="1" customHeight="1">
      <c r="B206" s="626">
        <v>43966.0</v>
      </c>
      <c r="C206" s="330">
        <v>1000.0</v>
      </c>
      <c r="D206" s="330"/>
      <c r="E206" s="330"/>
      <c r="F206" s="330"/>
      <c r="G206" s="627">
        <v>640.0</v>
      </c>
      <c r="H206" s="330">
        <f t="shared" si="5"/>
        <v>1640</v>
      </c>
      <c r="I206" s="330">
        <v>1530.0</v>
      </c>
    </row>
    <row r="207" ht="15.75" hidden="1" customHeight="1">
      <c r="B207" s="626">
        <v>43967.0</v>
      </c>
      <c r="C207" s="330">
        <v>5000.0</v>
      </c>
      <c r="D207" s="330"/>
      <c r="E207" s="330"/>
      <c r="F207" s="330"/>
      <c r="G207" s="627">
        <f>180+80</f>
        <v>260</v>
      </c>
      <c r="H207" s="330">
        <f t="shared" si="5"/>
        <v>5260</v>
      </c>
      <c r="I207" s="330">
        <v>8640.0</v>
      </c>
    </row>
    <row r="208" ht="15.75" hidden="1" customHeight="1">
      <c r="B208" s="626">
        <v>43968.0</v>
      </c>
      <c r="C208" s="330">
        <v>1300.0</v>
      </c>
      <c r="D208" s="330"/>
      <c r="E208" s="330"/>
      <c r="F208" s="330"/>
      <c r="G208" s="627">
        <v>15.62</v>
      </c>
      <c r="H208" s="330">
        <f t="shared" si="5"/>
        <v>1315.62</v>
      </c>
      <c r="I208" s="330">
        <v>9140.0</v>
      </c>
    </row>
    <row r="209" ht="15.75" customHeight="1">
      <c r="A209" s="626">
        <v>44105.0</v>
      </c>
      <c r="B209" s="626"/>
      <c r="C209" s="330"/>
      <c r="D209" s="330"/>
      <c r="E209" s="330"/>
      <c r="F209" s="330"/>
      <c r="G209" s="627"/>
      <c r="H209" s="627">
        <f t="shared" ref="H209:H239" si="6">C209+D209+E209+F209+G209</f>
        <v>0</v>
      </c>
      <c r="I209" s="552">
        <v>0.0</v>
      </c>
    </row>
    <row r="210" ht="15.75" customHeight="1">
      <c r="A210" s="626">
        <v>44106.0</v>
      </c>
      <c r="B210" s="626"/>
      <c r="C210" s="330"/>
      <c r="D210" s="330"/>
      <c r="E210" s="330"/>
      <c r="F210" s="330"/>
      <c r="G210" s="627"/>
      <c r="H210" s="627">
        <f t="shared" si="6"/>
        <v>0</v>
      </c>
      <c r="I210" s="552">
        <v>0.0</v>
      </c>
    </row>
    <row r="211" ht="15.75" customHeight="1">
      <c r="A211" s="626">
        <v>44107.0</v>
      </c>
      <c r="B211" s="626"/>
      <c r="C211" s="330"/>
      <c r="D211" s="330"/>
      <c r="E211" s="330"/>
      <c r="F211" s="330"/>
      <c r="G211" s="627"/>
      <c r="H211" s="627">
        <f t="shared" si="6"/>
        <v>0</v>
      </c>
      <c r="I211" s="552">
        <v>0.0</v>
      </c>
    </row>
    <row r="212" ht="15.75" customHeight="1">
      <c r="A212" s="626">
        <v>44108.0</v>
      </c>
      <c r="B212" s="626"/>
      <c r="C212" s="330">
        <f>5190+2090</f>
        <v>7280</v>
      </c>
      <c r="D212" s="330"/>
      <c r="E212" s="330"/>
      <c r="F212" s="330"/>
      <c r="G212" s="627"/>
      <c r="H212" s="627">
        <f t="shared" si="6"/>
        <v>7280</v>
      </c>
      <c r="I212" s="552">
        <v>7.28</v>
      </c>
    </row>
    <row r="213" ht="15.75" customHeight="1">
      <c r="A213" s="626">
        <v>44109.0</v>
      </c>
      <c r="B213" s="626"/>
      <c r="C213" s="330">
        <f>2620+2790+1690+950</f>
        <v>8050</v>
      </c>
      <c r="D213" s="330"/>
      <c r="E213" s="330"/>
      <c r="F213" s="330"/>
      <c r="G213" s="627"/>
      <c r="H213" s="627">
        <f t="shared" si="6"/>
        <v>8050</v>
      </c>
      <c r="I213" s="657">
        <v>9.55</v>
      </c>
      <c r="J213" s="222" t="s">
        <v>339</v>
      </c>
    </row>
    <row r="214" ht="15.75" customHeight="1">
      <c r="A214" s="626">
        <v>44110.0</v>
      </c>
      <c r="B214" s="626"/>
      <c r="C214" s="330"/>
      <c r="D214" s="330"/>
      <c r="E214" s="330"/>
      <c r="F214" s="330"/>
      <c r="G214" s="627"/>
      <c r="H214" s="627">
        <f t="shared" si="6"/>
        <v>0</v>
      </c>
      <c r="I214" s="552">
        <v>0.0</v>
      </c>
    </row>
    <row r="215" ht="15.75" customHeight="1">
      <c r="A215" s="626">
        <v>44111.0</v>
      </c>
      <c r="B215" s="626"/>
      <c r="C215" s="330"/>
      <c r="D215" s="330"/>
      <c r="E215" s="330"/>
      <c r="F215" s="330"/>
      <c r="G215" s="627"/>
      <c r="H215" s="627">
        <f t="shared" si="6"/>
        <v>0</v>
      </c>
      <c r="I215" s="552">
        <v>0.0</v>
      </c>
    </row>
    <row r="216" ht="15.75" customHeight="1">
      <c r="A216" s="626">
        <v>44112.0</v>
      </c>
      <c r="B216" s="626"/>
      <c r="C216" s="330"/>
      <c r="D216" s="330"/>
      <c r="E216" s="330"/>
      <c r="F216" s="330"/>
      <c r="G216" s="627"/>
      <c r="H216" s="627">
        <f t="shared" si="6"/>
        <v>0</v>
      </c>
      <c r="I216" s="552">
        <v>0.0</v>
      </c>
    </row>
    <row r="217" ht="15.75" customHeight="1">
      <c r="A217" s="626">
        <v>44113.0</v>
      </c>
      <c r="B217" s="626"/>
      <c r="C217" s="330"/>
      <c r="D217" s="330"/>
      <c r="E217" s="330"/>
      <c r="F217" s="330"/>
      <c r="G217" s="627"/>
      <c r="H217" s="627">
        <f t="shared" si="6"/>
        <v>0</v>
      </c>
      <c r="I217" s="552">
        <v>0.0</v>
      </c>
    </row>
    <row r="218" ht="15.75" customHeight="1">
      <c r="A218" s="626">
        <v>44114.0</v>
      </c>
      <c r="B218" s="626"/>
      <c r="C218" s="330">
        <v>2090.0</v>
      </c>
      <c r="D218" s="330"/>
      <c r="E218" s="330"/>
      <c r="F218" s="330"/>
      <c r="G218" s="627"/>
      <c r="H218" s="627">
        <f t="shared" si="6"/>
        <v>2090</v>
      </c>
      <c r="I218" s="552">
        <v>2.09</v>
      </c>
    </row>
    <row r="219" ht="15.75" customHeight="1">
      <c r="A219" s="626">
        <v>44115.0</v>
      </c>
      <c r="B219" s="626"/>
      <c r="C219" s="330"/>
      <c r="D219" s="330"/>
      <c r="E219" s="330"/>
      <c r="F219" s="330"/>
      <c r="G219" s="627"/>
      <c r="H219" s="627">
        <f t="shared" si="6"/>
        <v>0</v>
      </c>
      <c r="I219" s="552">
        <v>0.0</v>
      </c>
    </row>
    <row r="220" ht="15.75" customHeight="1">
      <c r="A220" s="626">
        <v>44116.0</v>
      </c>
      <c r="B220" s="626"/>
      <c r="C220" s="330"/>
      <c r="D220" s="330"/>
      <c r="E220" s="330"/>
      <c r="F220" s="330"/>
      <c r="G220" s="627"/>
      <c r="H220" s="627">
        <f t="shared" si="6"/>
        <v>0</v>
      </c>
      <c r="I220" s="552">
        <v>0.0</v>
      </c>
    </row>
    <row r="221" ht="15.75" customHeight="1">
      <c r="A221" s="626">
        <v>44117.0</v>
      </c>
      <c r="B221" s="626"/>
      <c r="C221" s="330"/>
      <c r="D221" s="330"/>
      <c r="E221" s="330"/>
      <c r="F221" s="330"/>
      <c r="G221" s="627"/>
      <c r="H221" s="627">
        <f t="shared" si="6"/>
        <v>0</v>
      </c>
      <c r="I221" s="552">
        <v>0.0</v>
      </c>
    </row>
    <row r="222" ht="15.75" customHeight="1">
      <c r="A222" s="626">
        <v>44118.0</v>
      </c>
      <c r="B222" s="626"/>
      <c r="C222" s="330"/>
      <c r="D222" s="330"/>
      <c r="E222" s="330"/>
      <c r="F222" s="330"/>
      <c r="G222" s="627"/>
      <c r="H222" s="627">
        <f t="shared" si="6"/>
        <v>0</v>
      </c>
      <c r="I222" s="552">
        <v>0.0</v>
      </c>
    </row>
    <row r="223" ht="15.75" customHeight="1">
      <c r="A223" s="626">
        <v>44119.0</v>
      </c>
      <c r="B223" s="626"/>
      <c r="C223" s="330">
        <v>1030.0</v>
      </c>
      <c r="D223" s="330"/>
      <c r="E223" s="330"/>
      <c r="F223" s="330"/>
      <c r="G223" s="627">
        <v>7.99</v>
      </c>
      <c r="H223" s="627">
        <f t="shared" si="6"/>
        <v>1037.99</v>
      </c>
      <c r="I223" s="552">
        <v>9.02</v>
      </c>
    </row>
    <row r="224" ht="15.75" customHeight="1">
      <c r="A224" s="626">
        <v>44120.0</v>
      </c>
      <c r="B224" s="626"/>
      <c r="C224" s="330"/>
      <c r="D224" s="330"/>
      <c r="E224" s="330"/>
      <c r="F224" s="330"/>
      <c r="G224" s="627"/>
      <c r="H224" s="627">
        <f t="shared" si="6"/>
        <v>0</v>
      </c>
      <c r="I224" s="552">
        <v>0.0</v>
      </c>
    </row>
    <row r="225" ht="15.75" customHeight="1">
      <c r="A225" s="626">
        <v>44121.0</v>
      </c>
      <c r="B225" s="626"/>
      <c r="C225" s="330">
        <v>790.0</v>
      </c>
      <c r="D225" s="330"/>
      <c r="E225" s="330"/>
      <c r="F225" s="330"/>
      <c r="G225" s="627">
        <v>4.49</v>
      </c>
      <c r="H225" s="627">
        <f t="shared" si="6"/>
        <v>794.49</v>
      </c>
      <c r="I225" s="552">
        <v>5.28</v>
      </c>
    </row>
    <row r="226" ht="15.75" customHeight="1">
      <c r="A226" s="626">
        <v>44122.0</v>
      </c>
      <c r="B226" s="626"/>
      <c r="C226" s="330"/>
      <c r="D226" s="330"/>
      <c r="E226" s="330"/>
      <c r="F226" s="330"/>
      <c r="G226" s="627"/>
      <c r="H226" s="627">
        <f t="shared" si="6"/>
        <v>0</v>
      </c>
      <c r="I226" s="552">
        <v>0.0</v>
      </c>
    </row>
    <row r="227" ht="15.75" customHeight="1">
      <c r="A227" s="626">
        <v>44123.0</v>
      </c>
      <c r="B227" s="626"/>
      <c r="C227" s="330"/>
      <c r="D227" s="330"/>
      <c r="E227" s="330"/>
      <c r="F227" s="330"/>
      <c r="G227" s="627"/>
      <c r="H227" s="627">
        <f t="shared" si="6"/>
        <v>0</v>
      </c>
      <c r="I227" s="552">
        <v>0.0</v>
      </c>
    </row>
    <row r="228" ht="15.75" customHeight="1">
      <c r="A228" s="626">
        <v>44124.0</v>
      </c>
      <c r="B228" s="626"/>
      <c r="C228" s="330">
        <v>790.0</v>
      </c>
      <c r="D228" s="330"/>
      <c r="E228" s="330"/>
      <c r="F228" s="330"/>
      <c r="G228" s="627"/>
      <c r="H228" s="627">
        <f t="shared" si="6"/>
        <v>790</v>
      </c>
      <c r="I228" s="552">
        <v>790.0</v>
      </c>
    </row>
    <row r="229" ht="15.75" customHeight="1">
      <c r="A229" s="626">
        <v>44125.0</v>
      </c>
      <c r="B229" s="626"/>
      <c r="C229" s="330"/>
      <c r="D229" s="330"/>
      <c r="E229" s="330"/>
      <c r="F229" s="330"/>
      <c r="G229" s="627"/>
      <c r="H229" s="627">
        <f t="shared" si="6"/>
        <v>0</v>
      </c>
      <c r="I229" s="552">
        <v>0.0</v>
      </c>
    </row>
    <row r="230" ht="15.75" customHeight="1">
      <c r="A230" s="626">
        <v>44126.0</v>
      </c>
      <c r="B230" s="330"/>
      <c r="C230" s="330"/>
      <c r="D230" s="330"/>
      <c r="E230" s="330"/>
      <c r="F230" s="330"/>
      <c r="G230" s="627"/>
      <c r="H230" s="627">
        <f t="shared" si="6"/>
        <v>0</v>
      </c>
      <c r="I230" s="552">
        <v>0.0</v>
      </c>
    </row>
    <row r="231" ht="15.75" customHeight="1">
      <c r="A231" s="626">
        <v>44127.0</v>
      </c>
      <c r="B231" s="330"/>
      <c r="C231" s="330"/>
      <c r="D231" s="330"/>
      <c r="E231" s="330"/>
      <c r="F231" s="330"/>
      <c r="G231" s="627"/>
      <c r="H231" s="627">
        <f t="shared" si="6"/>
        <v>0</v>
      </c>
      <c r="I231" s="552">
        <v>0.0</v>
      </c>
    </row>
    <row r="232" ht="15.75" customHeight="1">
      <c r="A232" s="626">
        <v>44128.0</v>
      </c>
      <c r="B232" s="330"/>
      <c r="C232" s="330">
        <v>5590.0</v>
      </c>
      <c r="D232" s="330"/>
      <c r="E232" s="330"/>
      <c r="F232" s="330"/>
      <c r="G232" s="627"/>
      <c r="H232" s="627">
        <f t="shared" si="6"/>
        <v>5590</v>
      </c>
      <c r="I232" s="552">
        <v>5.59</v>
      </c>
    </row>
    <row r="233" ht="15.75" customHeight="1">
      <c r="A233" s="626">
        <v>44129.0</v>
      </c>
      <c r="B233" s="330"/>
      <c r="C233" s="330">
        <f>1590+11190+5590</f>
        <v>18370</v>
      </c>
      <c r="D233" s="330"/>
      <c r="E233" s="330"/>
      <c r="F233" s="330"/>
      <c r="G233" s="627"/>
      <c r="H233" s="627">
        <f t="shared" si="6"/>
        <v>18370</v>
      </c>
      <c r="I233" s="552">
        <v>18.37</v>
      </c>
    </row>
    <row r="234" ht="15.75" customHeight="1">
      <c r="A234" s="626">
        <v>44130.0</v>
      </c>
      <c r="B234" s="330"/>
      <c r="C234" s="330"/>
      <c r="D234" s="330"/>
      <c r="E234" s="330"/>
      <c r="F234" s="330"/>
      <c r="G234" s="627"/>
      <c r="H234" s="627">
        <f t="shared" si="6"/>
        <v>0</v>
      </c>
      <c r="I234" s="552">
        <v>0.0</v>
      </c>
    </row>
    <row r="235" ht="15.75" customHeight="1">
      <c r="A235" s="626">
        <v>44131.0</v>
      </c>
      <c r="B235" s="330"/>
      <c r="C235" s="330"/>
      <c r="D235" s="330"/>
      <c r="E235" s="330"/>
      <c r="F235" s="330"/>
      <c r="G235" s="627"/>
      <c r="H235" s="627">
        <f t="shared" si="6"/>
        <v>0</v>
      </c>
      <c r="I235" s="552">
        <v>0.0</v>
      </c>
    </row>
    <row r="236" ht="15.75" customHeight="1">
      <c r="A236" s="626">
        <v>44132.0</v>
      </c>
      <c r="B236" s="330"/>
      <c r="C236" s="330"/>
      <c r="D236" s="330"/>
      <c r="E236" s="330"/>
      <c r="F236" s="330"/>
      <c r="G236" s="627"/>
      <c r="H236" s="627">
        <f t="shared" si="6"/>
        <v>0</v>
      </c>
      <c r="I236" s="552">
        <v>0.0</v>
      </c>
    </row>
    <row r="237" ht="15.75" customHeight="1">
      <c r="A237" s="626">
        <v>44133.0</v>
      </c>
      <c r="B237" s="330"/>
      <c r="C237" s="330">
        <v>1290.0</v>
      </c>
      <c r="D237" s="330"/>
      <c r="E237" s="330"/>
      <c r="F237" s="330"/>
      <c r="G237" s="627"/>
      <c r="H237" s="627">
        <f t="shared" si="6"/>
        <v>1290</v>
      </c>
      <c r="I237" s="552">
        <v>1.29</v>
      </c>
    </row>
    <row r="238" ht="15.75" customHeight="1">
      <c r="A238" s="626">
        <v>44134.0</v>
      </c>
      <c r="B238" s="330"/>
      <c r="C238" s="330"/>
      <c r="D238" s="330"/>
      <c r="E238" s="330"/>
      <c r="F238" s="330"/>
      <c r="G238" s="627"/>
      <c r="H238" s="627">
        <f t="shared" si="6"/>
        <v>0</v>
      </c>
      <c r="I238" s="552">
        <v>0.0</v>
      </c>
    </row>
    <row r="239" ht="15.75" customHeight="1">
      <c r="A239" s="626">
        <v>44135.0</v>
      </c>
      <c r="B239" s="330"/>
      <c r="C239" s="330">
        <v>15190.0</v>
      </c>
      <c r="D239" s="330"/>
      <c r="E239" s="330"/>
      <c r="F239" s="330"/>
      <c r="G239" s="627">
        <v>2.99</v>
      </c>
      <c r="H239" s="627">
        <f t="shared" si="6"/>
        <v>15192.99</v>
      </c>
      <c r="I239" s="552">
        <v>18.18</v>
      </c>
    </row>
    <row r="240" ht="15.75" customHeight="1">
      <c r="G240" s="630"/>
    </row>
    <row r="241" ht="15.75" customHeight="1">
      <c r="G241" s="630"/>
    </row>
    <row r="242" ht="15.75" customHeight="1">
      <c r="G242" s="630"/>
    </row>
    <row r="243" ht="15.75" customHeight="1">
      <c r="G243" s="630"/>
    </row>
    <row r="244" ht="15.75" customHeight="1">
      <c r="G244" s="630"/>
    </row>
    <row r="245" ht="15.75" customHeight="1">
      <c r="G245" s="630"/>
    </row>
    <row r="246" ht="15.75" customHeight="1">
      <c r="G246" s="630"/>
    </row>
    <row r="247" ht="15.75" customHeight="1">
      <c r="G247" s="630"/>
    </row>
    <row r="248" ht="15.75" customHeight="1">
      <c r="G248" s="630"/>
    </row>
    <row r="249" ht="15.75" customHeight="1">
      <c r="G249" s="630"/>
    </row>
    <row r="250" ht="15.75" customHeight="1">
      <c r="G250" s="630"/>
    </row>
    <row r="251" ht="15.75" customHeight="1">
      <c r="G251" s="630"/>
    </row>
    <row r="252" ht="15.75" customHeight="1">
      <c r="G252" s="630"/>
    </row>
    <row r="253" ht="15.75" customHeight="1">
      <c r="G253" s="630"/>
    </row>
    <row r="254" ht="15.75" customHeight="1">
      <c r="G254" s="630"/>
    </row>
    <row r="255" ht="15.75" customHeight="1">
      <c r="G255" s="630"/>
    </row>
    <row r="256" ht="15.75" customHeight="1">
      <c r="G256" s="630"/>
    </row>
    <row r="257" ht="15.75" customHeight="1">
      <c r="G257" s="630"/>
    </row>
    <row r="258" ht="15.75" customHeight="1">
      <c r="G258" s="630"/>
    </row>
    <row r="259" ht="15.75" customHeight="1">
      <c r="G259" s="630"/>
    </row>
    <row r="260" ht="15.75" customHeight="1">
      <c r="G260" s="630"/>
    </row>
    <row r="261" ht="15.75" customHeight="1">
      <c r="G261" s="630"/>
    </row>
    <row r="262" ht="15.75" customHeight="1">
      <c r="G262" s="630"/>
    </row>
    <row r="263" ht="15.75" customHeight="1">
      <c r="G263" s="630"/>
    </row>
    <row r="264" ht="15.75" customHeight="1">
      <c r="G264" s="630"/>
    </row>
    <row r="265" ht="15.75" customHeight="1">
      <c r="G265" s="630"/>
    </row>
    <row r="266" ht="15.75" customHeight="1">
      <c r="G266" s="630"/>
    </row>
    <row r="267" ht="15.75" customHeight="1">
      <c r="G267" s="630"/>
    </row>
    <row r="268" ht="15.75" customHeight="1">
      <c r="G268" s="630"/>
    </row>
    <row r="269" ht="15.75" customHeight="1">
      <c r="G269" s="630"/>
    </row>
    <row r="270" ht="15.75" customHeight="1">
      <c r="G270" s="630"/>
    </row>
    <row r="271" ht="15.75" customHeight="1">
      <c r="G271" s="630"/>
    </row>
    <row r="272" ht="15.75" customHeight="1">
      <c r="G272" s="630"/>
    </row>
    <row r="273" ht="15.75" customHeight="1">
      <c r="G273" s="630"/>
    </row>
    <row r="274" ht="15.75" customHeight="1">
      <c r="G274" s="630"/>
    </row>
    <row r="275" ht="15.75" customHeight="1">
      <c r="G275" s="630"/>
    </row>
    <row r="276" ht="15.75" customHeight="1">
      <c r="G276" s="630"/>
    </row>
    <row r="277" ht="15.75" customHeight="1">
      <c r="G277" s="630"/>
    </row>
    <row r="278" ht="15.75" customHeight="1">
      <c r="G278" s="630"/>
    </row>
    <row r="279" ht="15.75" customHeight="1">
      <c r="G279" s="630"/>
    </row>
    <row r="280" ht="15.75" customHeight="1">
      <c r="G280" s="630"/>
    </row>
    <row r="281" ht="15.75" customHeight="1">
      <c r="G281" s="630"/>
    </row>
    <row r="282" ht="15.75" customHeight="1">
      <c r="G282" s="630"/>
    </row>
    <row r="283" ht="15.75" customHeight="1">
      <c r="G283" s="630"/>
    </row>
    <row r="284" ht="15.75" customHeight="1">
      <c r="G284" s="630"/>
    </row>
    <row r="285" ht="15.75" customHeight="1">
      <c r="G285" s="630"/>
    </row>
    <row r="286" ht="15.75" customHeight="1">
      <c r="G286" s="630"/>
    </row>
    <row r="287" ht="15.75" customHeight="1">
      <c r="G287" s="630"/>
    </row>
    <row r="288" ht="15.75" customHeight="1">
      <c r="G288" s="630"/>
    </row>
    <row r="289" ht="15.75" customHeight="1">
      <c r="G289" s="630"/>
    </row>
    <row r="290" ht="15.75" customHeight="1">
      <c r="G290" s="630"/>
    </row>
    <row r="291" ht="15.75" customHeight="1">
      <c r="G291" s="630"/>
    </row>
    <row r="292" ht="15.75" customHeight="1">
      <c r="G292" s="630"/>
    </row>
    <row r="293" ht="15.75" customHeight="1">
      <c r="G293" s="630"/>
    </row>
    <row r="294" ht="15.75" customHeight="1">
      <c r="G294" s="630"/>
    </row>
    <row r="295" ht="15.75" customHeight="1">
      <c r="G295" s="630"/>
    </row>
    <row r="296" ht="15.75" customHeight="1">
      <c r="G296" s="630"/>
    </row>
    <row r="297" ht="15.75" customHeight="1">
      <c r="G297" s="630"/>
    </row>
    <row r="298" ht="15.75" customHeight="1">
      <c r="G298" s="630"/>
    </row>
    <row r="299" ht="15.75" customHeight="1">
      <c r="G299" s="630"/>
    </row>
    <row r="300" ht="15.75" customHeight="1">
      <c r="G300" s="630"/>
    </row>
    <row r="301" ht="15.75" customHeight="1">
      <c r="G301" s="630"/>
    </row>
    <row r="302" ht="15.75" customHeight="1">
      <c r="G302" s="630"/>
    </row>
    <row r="303" ht="15.75" customHeight="1">
      <c r="G303" s="630"/>
    </row>
    <row r="304" ht="15.75" customHeight="1">
      <c r="G304" s="630"/>
    </row>
    <row r="305" ht="15.75" customHeight="1">
      <c r="G305" s="630"/>
    </row>
    <row r="306" ht="15.75" customHeight="1">
      <c r="G306" s="630"/>
    </row>
    <row r="307" ht="15.75" customHeight="1">
      <c r="G307" s="630"/>
    </row>
    <row r="308" ht="15.75" customHeight="1">
      <c r="G308" s="630"/>
    </row>
    <row r="309" ht="15.75" customHeight="1">
      <c r="G309" s="630"/>
    </row>
    <row r="310" ht="15.75" customHeight="1">
      <c r="G310" s="630"/>
    </row>
    <row r="311" ht="15.75" customHeight="1">
      <c r="G311" s="630"/>
    </row>
    <row r="312" ht="15.75" customHeight="1">
      <c r="G312" s="630"/>
    </row>
    <row r="313" ht="15.75" customHeight="1">
      <c r="G313" s="630"/>
    </row>
    <row r="314" ht="15.75" customHeight="1">
      <c r="G314" s="630"/>
    </row>
    <row r="315" ht="15.75" customHeight="1">
      <c r="G315" s="630"/>
    </row>
    <row r="316" ht="15.75" customHeight="1">
      <c r="G316" s="630"/>
    </row>
    <row r="317" ht="15.75" customHeight="1">
      <c r="G317" s="630"/>
    </row>
    <row r="318" ht="15.75" customHeight="1">
      <c r="G318" s="630"/>
    </row>
    <row r="319" ht="15.75" customHeight="1">
      <c r="G319" s="630"/>
    </row>
    <row r="320" ht="15.75" customHeight="1">
      <c r="G320" s="630"/>
    </row>
    <row r="321" ht="15.75" customHeight="1">
      <c r="G321" s="630"/>
    </row>
    <row r="322" ht="15.75" customHeight="1">
      <c r="G322" s="630"/>
    </row>
    <row r="323" ht="15.75" customHeight="1">
      <c r="G323" s="630"/>
    </row>
    <row r="324" ht="15.75" customHeight="1">
      <c r="G324" s="630"/>
    </row>
    <row r="325" ht="15.75" customHeight="1">
      <c r="G325" s="630"/>
    </row>
    <row r="326" ht="15.75" customHeight="1">
      <c r="G326" s="630"/>
    </row>
    <row r="327" ht="15.75" customHeight="1">
      <c r="G327" s="630"/>
    </row>
    <row r="328" ht="15.75" customHeight="1">
      <c r="G328" s="630"/>
    </row>
    <row r="329" ht="15.75" customHeight="1">
      <c r="G329" s="630"/>
    </row>
    <row r="330" ht="15.75" customHeight="1">
      <c r="G330" s="630"/>
    </row>
    <row r="331" ht="15.75" customHeight="1">
      <c r="G331" s="630"/>
    </row>
    <row r="332" ht="15.75" customHeight="1">
      <c r="G332" s="630"/>
    </row>
    <row r="333" ht="15.75" customHeight="1">
      <c r="G333" s="630"/>
    </row>
    <row r="334" ht="15.75" customHeight="1">
      <c r="G334" s="630"/>
    </row>
    <row r="335" ht="15.75" customHeight="1">
      <c r="G335" s="630"/>
    </row>
    <row r="336" ht="15.75" customHeight="1">
      <c r="G336" s="630"/>
    </row>
    <row r="337" ht="15.75" customHeight="1">
      <c r="G337" s="630"/>
    </row>
    <row r="338" ht="15.75" customHeight="1">
      <c r="G338" s="630"/>
    </row>
    <row r="339" ht="15.75" customHeight="1">
      <c r="G339" s="630"/>
    </row>
    <row r="340" ht="15.75" customHeight="1">
      <c r="G340" s="630"/>
    </row>
    <row r="341" ht="15.75" customHeight="1">
      <c r="G341" s="630"/>
    </row>
    <row r="342" ht="15.75" customHeight="1">
      <c r="G342" s="630"/>
    </row>
    <row r="343" ht="15.75" customHeight="1">
      <c r="G343" s="630"/>
    </row>
    <row r="344" ht="15.75" customHeight="1">
      <c r="G344" s="630"/>
    </row>
    <row r="345" ht="15.75" customHeight="1">
      <c r="G345" s="630"/>
    </row>
    <row r="346" ht="15.75" customHeight="1">
      <c r="G346" s="630"/>
    </row>
    <row r="347" ht="15.75" customHeight="1">
      <c r="G347" s="630"/>
    </row>
    <row r="348" ht="15.75" customHeight="1">
      <c r="G348" s="630"/>
    </row>
    <row r="349" ht="15.75" customHeight="1">
      <c r="G349" s="630"/>
    </row>
    <row r="350" ht="15.75" customHeight="1">
      <c r="G350" s="630"/>
    </row>
    <row r="351" ht="15.75" customHeight="1">
      <c r="G351" s="630"/>
    </row>
    <row r="352" ht="15.75" customHeight="1">
      <c r="G352" s="630"/>
    </row>
    <row r="353" ht="15.75" customHeight="1">
      <c r="G353" s="630"/>
    </row>
    <row r="354" ht="15.75" customHeight="1">
      <c r="G354" s="630"/>
    </row>
    <row r="355" ht="15.75" customHeight="1">
      <c r="G355" s="630"/>
    </row>
    <row r="356" ht="15.75" customHeight="1">
      <c r="G356" s="630"/>
    </row>
    <row r="357" ht="15.75" customHeight="1">
      <c r="G357" s="630"/>
    </row>
    <row r="358" ht="15.75" customHeight="1">
      <c r="G358" s="630"/>
    </row>
    <row r="359" ht="15.75" customHeight="1">
      <c r="G359" s="630"/>
    </row>
    <row r="360" ht="15.75" customHeight="1">
      <c r="G360" s="630"/>
    </row>
    <row r="361" ht="15.75" customHeight="1">
      <c r="G361" s="630"/>
    </row>
    <row r="362" ht="15.75" customHeight="1">
      <c r="G362" s="630"/>
    </row>
    <row r="363" ht="15.75" customHeight="1">
      <c r="G363" s="630"/>
    </row>
    <row r="364" ht="15.75" customHeight="1">
      <c r="G364" s="630"/>
    </row>
    <row r="365" ht="15.75" customHeight="1">
      <c r="G365" s="630"/>
    </row>
    <row r="366" ht="15.75" customHeight="1">
      <c r="G366" s="630"/>
    </row>
    <row r="367" ht="15.75" customHeight="1">
      <c r="G367" s="630"/>
    </row>
    <row r="368" ht="15.75" customHeight="1">
      <c r="G368" s="630"/>
    </row>
    <row r="369" ht="15.75" customHeight="1">
      <c r="G369" s="630"/>
    </row>
    <row r="370" ht="15.75" customHeight="1">
      <c r="G370" s="630"/>
    </row>
    <row r="371" ht="15.75" customHeight="1">
      <c r="G371" s="630"/>
    </row>
    <row r="372" ht="15.75" customHeight="1">
      <c r="G372" s="630"/>
    </row>
    <row r="373" ht="15.75" customHeight="1">
      <c r="G373" s="630"/>
    </row>
    <row r="374" ht="15.75" customHeight="1">
      <c r="G374" s="630"/>
    </row>
    <row r="375" ht="15.75" customHeight="1">
      <c r="G375" s="630"/>
    </row>
    <row r="376" ht="15.75" customHeight="1">
      <c r="G376" s="630"/>
    </row>
    <row r="377" ht="15.75" customHeight="1">
      <c r="G377" s="630"/>
    </row>
    <row r="378" ht="15.75" customHeight="1">
      <c r="G378" s="630"/>
    </row>
    <row r="379" ht="15.75" customHeight="1">
      <c r="G379" s="630"/>
    </row>
    <row r="380" ht="15.75" customHeight="1">
      <c r="G380" s="630"/>
    </row>
    <row r="381" ht="15.75" customHeight="1">
      <c r="G381" s="630"/>
    </row>
    <row r="382" ht="15.75" customHeight="1">
      <c r="G382" s="630"/>
    </row>
    <row r="383" ht="15.75" customHeight="1">
      <c r="G383" s="630"/>
    </row>
    <row r="384" ht="15.75" customHeight="1">
      <c r="G384" s="630"/>
    </row>
    <row r="385" ht="15.75" customHeight="1">
      <c r="G385" s="630"/>
    </row>
    <row r="386" ht="15.75" customHeight="1">
      <c r="G386" s="630"/>
    </row>
    <row r="387" ht="15.75" customHeight="1">
      <c r="G387" s="630"/>
    </row>
    <row r="388" ht="15.75" customHeight="1">
      <c r="G388" s="630"/>
    </row>
    <row r="389" ht="15.75" customHeight="1">
      <c r="G389" s="630"/>
    </row>
    <row r="390" ht="15.75" customHeight="1">
      <c r="G390" s="630"/>
    </row>
    <row r="391" ht="15.75" customHeight="1">
      <c r="G391" s="630"/>
    </row>
    <row r="392" ht="15.75" customHeight="1">
      <c r="G392" s="630"/>
    </row>
    <row r="393" ht="15.75" customHeight="1">
      <c r="G393" s="630"/>
    </row>
    <row r="394" ht="15.75" customHeight="1">
      <c r="G394" s="630"/>
    </row>
    <row r="395" ht="15.75" customHeight="1">
      <c r="G395" s="630"/>
    </row>
    <row r="396" ht="15.75" customHeight="1">
      <c r="G396" s="630"/>
    </row>
    <row r="397" ht="15.75" customHeight="1">
      <c r="G397" s="630"/>
    </row>
    <row r="398" ht="15.75" customHeight="1">
      <c r="G398" s="630"/>
    </row>
    <row r="399" ht="15.75" customHeight="1">
      <c r="G399" s="630"/>
    </row>
    <row r="400" ht="15.75" customHeight="1">
      <c r="G400" s="630"/>
    </row>
    <row r="401" ht="15.75" customHeight="1">
      <c r="G401" s="630"/>
    </row>
    <row r="402" ht="15.75" customHeight="1">
      <c r="G402" s="630"/>
    </row>
    <row r="403" ht="15.75" customHeight="1">
      <c r="G403" s="630"/>
    </row>
    <row r="404" ht="15.75" customHeight="1">
      <c r="G404" s="630"/>
    </row>
    <row r="405" ht="15.75" customHeight="1">
      <c r="G405" s="630"/>
    </row>
    <row r="406" ht="15.75" customHeight="1">
      <c r="G406" s="630"/>
    </row>
    <row r="407" ht="15.75" customHeight="1">
      <c r="G407" s="630"/>
    </row>
    <row r="408" ht="15.75" customHeight="1">
      <c r="G408" s="630"/>
    </row>
    <row r="409" ht="15.75" customHeight="1">
      <c r="G409" s="630"/>
    </row>
    <row r="410" ht="15.75" customHeight="1">
      <c r="G410" s="630"/>
    </row>
    <row r="411" ht="15.75" customHeight="1">
      <c r="G411" s="630"/>
    </row>
    <row r="412" ht="15.75" customHeight="1">
      <c r="G412" s="630"/>
    </row>
    <row r="413" ht="15.75" customHeight="1">
      <c r="G413" s="630"/>
    </row>
    <row r="414" ht="15.75" customHeight="1">
      <c r="G414" s="630"/>
    </row>
    <row r="415" ht="15.75" customHeight="1">
      <c r="G415" s="630"/>
    </row>
    <row r="416" ht="15.75" customHeight="1">
      <c r="G416" s="630"/>
    </row>
    <row r="417" ht="15.75" customHeight="1">
      <c r="G417" s="630"/>
    </row>
    <row r="418" ht="15.75" customHeight="1">
      <c r="G418" s="630"/>
    </row>
    <row r="419" ht="15.75" customHeight="1">
      <c r="G419" s="630"/>
    </row>
    <row r="420" ht="15.75" customHeight="1">
      <c r="G420" s="630"/>
    </row>
    <row r="421" ht="15.75" customHeight="1">
      <c r="G421" s="630"/>
    </row>
    <row r="422" ht="15.75" customHeight="1">
      <c r="G422" s="630"/>
    </row>
    <row r="423" ht="15.75" customHeight="1">
      <c r="G423" s="630"/>
    </row>
    <row r="424" ht="15.75" customHeight="1">
      <c r="G424" s="630"/>
    </row>
    <row r="425" ht="15.75" customHeight="1">
      <c r="G425" s="630"/>
    </row>
    <row r="426" ht="15.75" customHeight="1">
      <c r="G426" s="630"/>
    </row>
    <row r="427" ht="15.75" customHeight="1">
      <c r="G427" s="630"/>
    </row>
    <row r="428" ht="15.75" customHeight="1">
      <c r="G428" s="630"/>
    </row>
    <row r="429" ht="15.75" customHeight="1">
      <c r="G429" s="630"/>
    </row>
    <row r="430" ht="15.75" customHeight="1">
      <c r="G430" s="630"/>
    </row>
    <row r="431" ht="15.75" customHeight="1">
      <c r="G431" s="630"/>
    </row>
    <row r="432" ht="15.75" customHeight="1">
      <c r="G432" s="630"/>
    </row>
    <row r="433" ht="15.75" customHeight="1">
      <c r="G433" s="630"/>
    </row>
    <row r="434" ht="15.75" customHeight="1">
      <c r="G434" s="630"/>
    </row>
    <row r="435" ht="15.75" customHeight="1">
      <c r="G435" s="630"/>
    </row>
    <row r="436" ht="15.75" customHeight="1">
      <c r="G436" s="630"/>
    </row>
    <row r="437" ht="15.75" customHeight="1">
      <c r="G437" s="630"/>
    </row>
    <row r="438" ht="15.75" customHeight="1">
      <c r="G438" s="630"/>
    </row>
    <row r="439" ht="15.75" customHeight="1">
      <c r="G439" s="630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43"/>
      <c r="C1" s="631"/>
      <c r="D1" s="644"/>
      <c r="E1" s="631"/>
      <c r="F1" s="631"/>
      <c r="G1" s="645"/>
      <c r="H1" s="631"/>
      <c r="I1" s="631"/>
      <c r="J1" s="646"/>
      <c r="K1" s="631"/>
      <c r="L1" s="631"/>
      <c r="M1" s="647"/>
    </row>
    <row r="2">
      <c r="A2" s="632"/>
      <c r="B2" s="658" t="s">
        <v>303</v>
      </c>
      <c r="C2" s="634"/>
      <c r="D2" s="635"/>
      <c r="E2" s="658" t="s">
        <v>202</v>
      </c>
      <c r="F2" s="634"/>
      <c r="G2" s="635"/>
      <c r="H2" s="658" t="s">
        <v>200</v>
      </c>
      <c r="I2" s="634"/>
      <c r="J2" s="635"/>
      <c r="K2" s="658" t="s">
        <v>304</v>
      </c>
      <c r="L2" s="634"/>
      <c r="M2" s="635"/>
    </row>
    <row r="3">
      <c r="A3" s="632"/>
      <c r="B3" s="659" t="s">
        <v>305</v>
      </c>
      <c r="C3" s="660" t="s">
        <v>306</v>
      </c>
      <c r="D3" s="661" t="s">
        <v>307</v>
      </c>
      <c r="E3" s="659" t="s">
        <v>305</v>
      </c>
      <c r="F3" s="660" t="s">
        <v>306</v>
      </c>
      <c r="G3" s="662" t="s">
        <v>307</v>
      </c>
      <c r="H3" s="659" t="s">
        <v>305</v>
      </c>
      <c r="I3" s="660" t="s">
        <v>306</v>
      </c>
      <c r="J3" s="663" t="s">
        <v>307</v>
      </c>
      <c r="K3" s="659" t="s">
        <v>305</v>
      </c>
      <c r="L3" s="660" t="s">
        <v>306</v>
      </c>
      <c r="M3" s="664"/>
    </row>
    <row r="4">
      <c r="A4" s="632"/>
      <c r="B4" s="636"/>
      <c r="C4" s="628"/>
      <c r="D4" s="637" t="s">
        <v>340</v>
      </c>
      <c r="E4" s="636"/>
      <c r="F4" s="628"/>
      <c r="G4" s="638" t="s">
        <v>341</v>
      </c>
      <c r="H4" s="636"/>
      <c r="I4" s="628"/>
      <c r="J4" s="639">
        <v>170.0</v>
      </c>
      <c r="K4" s="636"/>
      <c r="L4" s="628"/>
      <c r="M4" s="640" t="s">
        <v>342</v>
      </c>
    </row>
    <row r="5">
      <c r="A5" s="641">
        <v>43739.0</v>
      </c>
      <c r="B5" s="636"/>
      <c r="C5" s="628">
        <f>200+2500</f>
        <v>2700</v>
      </c>
      <c r="D5" s="637" t="str">
        <f t="shared" ref="D5:D22" si="1">C5+B5+D4</f>
        <v>#VALUE!</v>
      </c>
      <c r="E5" s="636"/>
      <c r="F5" s="628">
        <f>30+40</f>
        <v>70</v>
      </c>
      <c r="G5" s="638" t="str">
        <f t="shared" ref="G5:G63" si="2">+F5+E5+G4</f>
        <v>#VALUE!</v>
      </c>
      <c r="H5" s="636"/>
      <c r="I5" s="628"/>
      <c r="J5" s="639">
        <f t="shared" ref="J5:J30" si="3">+I5+H5+J4</f>
        <v>170</v>
      </c>
      <c r="K5" s="636"/>
      <c r="L5" s="628">
        <f>250</f>
        <v>250</v>
      </c>
      <c r="M5" s="640" t="str">
        <f t="shared" ref="M5:M26" si="4">+L5+K5+M4</f>
        <v>#VALUE!</v>
      </c>
    </row>
    <row r="6">
      <c r="A6" s="641">
        <v>43740.0</v>
      </c>
      <c r="B6" s="636" t="s">
        <v>343</v>
      </c>
      <c r="C6" s="631"/>
      <c r="D6" s="637" t="str">
        <f t="shared" si="1"/>
        <v>#VALUE!</v>
      </c>
      <c r="E6" s="636"/>
      <c r="F6" s="628">
        <f>125</f>
        <v>125</v>
      </c>
      <c r="G6" s="638" t="str">
        <f t="shared" si="2"/>
        <v>#VALUE!</v>
      </c>
      <c r="H6" s="636"/>
      <c r="I6" s="628"/>
      <c r="J6" s="639">
        <f t="shared" si="3"/>
        <v>170</v>
      </c>
      <c r="K6" s="636"/>
      <c r="L6" s="628">
        <f>300</f>
        <v>300</v>
      </c>
      <c r="M6" s="640" t="str">
        <f t="shared" si="4"/>
        <v>#VALUE!</v>
      </c>
    </row>
    <row r="7">
      <c r="A7" s="641">
        <v>43741.0</v>
      </c>
      <c r="B7" s="636"/>
      <c r="C7" s="628">
        <f>1500</f>
        <v>1500</v>
      </c>
      <c r="D7" s="637" t="str">
        <f t="shared" si="1"/>
        <v>#VALUE!</v>
      </c>
      <c r="E7" s="636"/>
      <c r="F7" s="628"/>
      <c r="G7" s="638" t="str">
        <f t="shared" si="2"/>
        <v>#VALUE!</v>
      </c>
      <c r="H7" s="636"/>
      <c r="I7" s="631">
        <f>100</f>
        <v>100</v>
      </c>
      <c r="J7" s="639">
        <f t="shared" si="3"/>
        <v>270</v>
      </c>
      <c r="K7" s="636" t="s">
        <v>321</v>
      </c>
      <c r="L7" s="628">
        <v>450.0</v>
      </c>
      <c r="M7" s="640" t="str">
        <f t="shared" si="4"/>
        <v>#VALUE!</v>
      </c>
      <c r="O7" s="631"/>
    </row>
    <row r="8">
      <c r="A8" s="641">
        <v>43742.0</v>
      </c>
      <c r="B8" s="636"/>
      <c r="C8" s="628">
        <f>2500+2000</f>
        <v>4500</v>
      </c>
      <c r="D8" s="637" t="str">
        <f t="shared" si="1"/>
        <v>#VALUE!</v>
      </c>
      <c r="E8" s="665" t="s">
        <v>322</v>
      </c>
      <c r="F8" s="628">
        <v>200.0</v>
      </c>
      <c r="G8" s="638" t="str">
        <f t="shared" si="2"/>
        <v>#VALUE!</v>
      </c>
      <c r="H8" s="636"/>
      <c r="I8" s="628"/>
      <c r="J8" s="639">
        <f t="shared" si="3"/>
        <v>270</v>
      </c>
      <c r="K8" s="636"/>
      <c r="L8" s="628"/>
      <c r="M8" s="640" t="str">
        <f t="shared" si="4"/>
        <v>#VALUE!</v>
      </c>
    </row>
    <row r="9">
      <c r="A9" s="641">
        <v>43743.0</v>
      </c>
      <c r="B9" s="636"/>
      <c r="C9" s="628">
        <f>2500</f>
        <v>2500</v>
      </c>
      <c r="D9" s="637" t="str">
        <f t="shared" si="1"/>
        <v>#VALUE!</v>
      </c>
      <c r="E9" s="636"/>
      <c r="F9" s="628"/>
      <c r="G9" s="638" t="str">
        <f t="shared" si="2"/>
        <v>#VALUE!</v>
      </c>
      <c r="H9" s="636"/>
      <c r="I9" s="628"/>
      <c r="J9" s="639">
        <f t="shared" si="3"/>
        <v>270</v>
      </c>
      <c r="K9" s="636"/>
      <c r="L9" s="628"/>
      <c r="M9" s="640" t="str">
        <f t="shared" si="4"/>
        <v>#VALUE!</v>
      </c>
    </row>
    <row r="10">
      <c r="A10" s="641">
        <v>43744.0</v>
      </c>
      <c r="B10" s="636"/>
      <c r="C10" s="628">
        <f>1400+10000+5000+2500</f>
        <v>18900</v>
      </c>
      <c r="D10" s="637" t="str">
        <f t="shared" si="1"/>
        <v>#VALUE!</v>
      </c>
      <c r="E10" s="636"/>
      <c r="F10" s="628">
        <f>70+220+60+100+80</f>
        <v>530</v>
      </c>
      <c r="G10" s="638" t="str">
        <f t="shared" si="2"/>
        <v>#VALUE!</v>
      </c>
      <c r="H10" s="636"/>
      <c r="I10" s="628"/>
      <c r="J10" s="639">
        <f t="shared" si="3"/>
        <v>270</v>
      </c>
      <c r="K10" s="636"/>
      <c r="L10" s="628">
        <f>200+50+300+300+200</f>
        <v>1050</v>
      </c>
      <c r="M10" s="640" t="str">
        <f t="shared" si="4"/>
        <v>#VALUE!</v>
      </c>
    </row>
    <row r="11">
      <c r="A11" s="641">
        <v>43745.0</v>
      </c>
      <c r="B11" s="636"/>
      <c r="C11" s="628"/>
      <c r="D11" s="637" t="str">
        <f t="shared" si="1"/>
        <v>#VALUE!</v>
      </c>
      <c r="E11" s="636"/>
      <c r="F11" s="628">
        <f>200</f>
        <v>200</v>
      </c>
      <c r="G11" s="638" t="str">
        <f t="shared" si="2"/>
        <v>#VALUE!</v>
      </c>
      <c r="H11" s="636"/>
      <c r="I11" s="628"/>
      <c r="J11" s="639">
        <f t="shared" si="3"/>
        <v>270</v>
      </c>
      <c r="K11" s="636"/>
      <c r="L11" s="628">
        <v>50.0</v>
      </c>
      <c r="M11" s="640" t="str">
        <f t="shared" si="4"/>
        <v>#VALUE!</v>
      </c>
    </row>
    <row r="12">
      <c r="A12" s="641">
        <v>43746.0</v>
      </c>
      <c r="B12" s="636"/>
      <c r="C12" s="628"/>
      <c r="D12" s="637" t="str">
        <f t="shared" si="1"/>
        <v>#VALUE!</v>
      </c>
      <c r="E12" s="636"/>
      <c r="F12" s="628">
        <f>50+20+100+80</f>
        <v>250</v>
      </c>
      <c r="G12" s="638" t="str">
        <f t="shared" si="2"/>
        <v>#VALUE!</v>
      </c>
      <c r="H12" s="636"/>
      <c r="I12" s="628"/>
      <c r="J12" s="639">
        <f t="shared" si="3"/>
        <v>270</v>
      </c>
      <c r="K12" s="636"/>
      <c r="L12" s="628">
        <f>250+200</f>
        <v>450</v>
      </c>
      <c r="M12" s="640" t="str">
        <f t="shared" si="4"/>
        <v>#VALUE!</v>
      </c>
    </row>
    <row r="13">
      <c r="A13" s="641">
        <v>43747.0</v>
      </c>
      <c r="B13" s="636"/>
      <c r="C13" s="628">
        <f>4000</f>
        <v>4000</v>
      </c>
      <c r="D13" s="637" t="str">
        <f t="shared" si="1"/>
        <v>#VALUE!</v>
      </c>
      <c r="E13" s="636"/>
      <c r="F13" s="628">
        <f>200</f>
        <v>200</v>
      </c>
      <c r="G13" s="638" t="str">
        <f t="shared" si="2"/>
        <v>#VALUE!</v>
      </c>
      <c r="H13" s="636"/>
      <c r="I13" s="628"/>
      <c r="J13" s="639">
        <f t="shared" si="3"/>
        <v>270</v>
      </c>
      <c r="K13" s="636"/>
      <c r="L13" s="628">
        <f t="shared" ref="L13:L14" si="5">350</f>
        <v>350</v>
      </c>
      <c r="M13" s="640" t="str">
        <f t="shared" si="4"/>
        <v>#VALUE!</v>
      </c>
    </row>
    <row r="14">
      <c r="A14" s="641">
        <v>43748.0</v>
      </c>
      <c r="B14" s="636">
        <f>-1300-3705-700</f>
        <v>-5705</v>
      </c>
      <c r="C14" s="628">
        <f>2000+2500</f>
        <v>4500</v>
      </c>
      <c r="D14" s="637" t="str">
        <f t="shared" si="1"/>
        <v>#VALUE!</v>
      </c>
      <c r="E14" s="636"/>
      <c r="F14" s="628">
        <f>20</f>
        <v>20</v>
      </c>
      <c r="G14" s="638" t="str">
        <f t="shared" si="2"/>
        <v>#VALUE!</v>
      </c>
      <c r="H14" s="636"/>
      <c r="I14" s="628">
        <f>100+30</f>
        <v>130</v>
      </c>
      <c r="J14" s="639">
        <f t="shared" si="3"/>
        <v>400</v>
      </c>
      <c r="K14" s="636"/>
      <c r="L14" s="628">
        <f t="shared" si="5"/>
        <v>350</v>
      </c>
      <c r="M14" s="640" t="str">
        <f t="shared" si="4"/>
        <v>#VALUE!</v>
      </c>
    </row>
    <row r="15">
      <c r="A15" s="641">
        <v>43749.0</v>
      </c>
      <c r="B15" s="636"/>
      <c r="C15" s="628">
        <f t="shared" ref="C15:C16" si="6">2000</f>
        <v>2000</v>
      </c>
      <c r="D15" s="637" t="str">
        <f t="shared" si="1"/>
        <v>#VALUE!</v>
      </c>
      <c r="E15" s="636"/>
      <c r="F15" s="628">
        <f>70+116+72</f>
        <v>258</v>
      </c>
      <c r="G15" s="638" t="str">
        <f t="shared" si="2"/>
        <v>#VALUE!</v>
      </c>
      <c r="H15" s="636"/>
      <c r="I15" s="628"/>
      <c r="J15" s="639">
        <f t="shared" si="3"/>
        <v>400</v>
      </c>
      <c r="K15" s="636"/>
      <c r="L15" s="628">
        <f>150+100+350+150</f>
        <v>750</v>
      </c>
      <c r="M15" s="640" t="str">
        <f t="shared" si="4"/>
        <v>#VALUE!</v>
      </c>
    </row>
    <row r="16">
      <c r="A16" s="641">
        <v>43750.0</v>
      </c>
      <c r="B16" s="636"/>
      <c r="C16" s="628">
        <f t="shared" si="6"/>
        <v>2000</v>
      </c>
      <c r="D16" s="637" t="str">
        <f t="shared" si="1"/>
        <v>#VALUE!</v>
      </c>
      <c r="E16" s="636"/>
      <c r="F16" s="628">
        <f>170</f>
        <v>170</v>
      </c>
      <c r="G16" s="638" t="str">
        <f t="shared" si="2"/>
        <v>#VALUE!</v>
      </c>
      <c r="H16" s="636"/>
      <c r="I16" s="628"/>
      <c r="J16" s="639">
        <f t="shared" si="3"/>
        <v>400</v>
      </c>
      <c r="K16" s="636"/>
      <c r="L16" s="628"/>
      <c r="M16" s="640" t="str">
        <f t="shared" si="4"/>
        <v>#VALUE!</v>
      </c>
    </row>
    <row r="17">
      <c r="A17" s="641">
        <v>43751.0</v>
      </c>
      <c r="B17" s="636"/>
      <c r="C17" s="628">
        <f>700+2500+2500</f>
        <v>5700</v>
      </c>
      <c r="D17" s="637" t="str">
        <f t="shared" si="1"/>
        <v>#VALUE!</v>
      </c>
      <c r="E17" s="636"/>
      <c r="F17" s="628">
        <f>20+100</f>
        <v>120</v>
      </c>
      <c r="G17" s="638" t="str">
        <f t="shared" si="2"/>
        <v>#VALUE!</v>
      </c>
      <c r="H17" s="636"/>
      <c r="I17" s="628">
        <v>100.0</v>
      </c>
      <c r="J17" s="639">
        <f t="shared" si="3"/>
        <v>500</v>
      </c>
      <c r="K17" s="636"/>
      <c r="L17" s="628">
        <f>120+320+100</f>
        <v>540</v>
      </c>
      <c r="M17" s="640" t="str">
        <f t="shared" si="4"/>
        <v>#VALUE!</v>
      </c>
    </row>
    <row r="18">
      <c r="A18" s="641">
        <v>43752.0</v>
      </c>
      <c r="B18" s="636"/>
      <c r="C18" s="628"/>
      <c r="D18" s="637" t="str">
        <f t="shared" si="1"/>
        <v>#VALUE!</v>
      </c>
      <c r="E18" s="636"/>
      <c r="F18" s="628"/>
      <c r="G18" s="638" t="str">
        <f t="shared" si="2"/>
        <v>#VALUE!</v>
      </c>
      <c r="H18" s="636"/>
      <c r="I18" s="628"/>
      <c r="J18" s="639">
        <f t="shared" si="3"/>
        <v>500</v>
      </c>
      <c r="K18" s="636"/>
      <c r="L18" s="628"/>
      <c r="M18" s="640" t="str">
        <f t="shared" si="4"/>
        <v>#VALUE!</v>
      </c>
    </row>
    <row r="19">
      <c r="A19" s="641">
        <v>43753.0</v>
      </c>
      <c r="B19" s="636"/>
      <c r="C19" s="628"/>
      <c r="D19" s="637" t="str">
        <f t="shared" si="1"/>
        <v>#VALUE!</v>
      </c>
      <c r="E19" s="636"/>
      <c r="F19" s="628"/>
      <c r="G19" s="638" t="str">
        <f t="shared" si="2"/>
        <v>#VALUE!</v>
      </c>
      <c r="H19" s="636"/>
      <c r="I19" s="628"/>
      <c r="J19" s="639">
        <f t="shared" si="3"/>
        <v>500</v>
      </c>
      <c r="K19" s="636"/>
      <c r="L19" s="628"/>
      <c r="M19" s="640" t="str">
        <f t="shared" si="4"/>
        <v>#VALUE!</v>
      </c>
    </row>
    <row r="20">
      <c r="A20" s="641">
        <v>43754.0</v>
      </c>
      <c r="B20" s="636" t="s">
        <v>344</v>
      </c>
      <c r="C20" s="628"/>
      <c r="D20" s="637" t="str">
        <f t="shared" si="1"/>
        <v>#VALUE!</v>
      </c>
      <c r="E20" s="636"/>
      <c r="F20" s="628"/>
      <c r="G20" s="638" t="str">
        <f t="shared" si="2"/>
        <v>#VALUE!</v>
      </c>
      <c r="H20" s="636"/>
      <c r="I20" s="628"/>
      <c r="J20" s="639">
        <f t="shared" si="3"/>
        <v>500</v>
      </c>
      <c r="K20" s="636"/>
      <c r="L20" s="628"/>
      <c r="M20" s="640" t="str">
        <f t="shared" si="4"/>
        <v>#VALUE!</v>
      </c>
    </row>
    <row r="21" ht="15.75" customHeight="1">
      <c r="A21" s="641">
        <v>43755.0</v>
      </c>
      <c r="B21" s="636"/>
      <c r="C21" s="628"/>
      <c r="D21" s="637" t="str">
        <f t="shared" si="1"/>
        <v>#VALUE!</v>
      </c>
      <c r="E21" s="636" t="s">
        <v>326</v>
      </c>
      <c r="F21" s="628"/>
      <c r="G21" s="638" t="str">
        <f t="shared" si="2"/>
        <v>#VALUE!</v>
      </c>
      <c r="H21" s="636">
        <v>-400.0</v>
      </c>
      <c r="I21" s="628"/>
      <c r="J21" s="639">
        <f t="shared" si="3"/>
        <v>100</v>
      </c>
      <c r="K21" s="636" t="s">
        <v>327</v>
      </c>
      <c r="L21" s="628"/>
      <c r="M21" s="640" t="str">
        <f t="shared" si="4"/>
        <v>#VALUE!</v>
      </c>
    </row>
    <row r="22" ht="15.75" customHeight="1">
      <c r="A22" s="641">
        <v>43756.0</v>
      </c>
      <c r="B22" s="636" t="s">
        <v>345</v>
      </c>
      <c r="C22" s="628"/>
      <c r="D22" s="637" t="str">
        <f t="shared" si="1"/>
        <v>#VALUE!</v>
      </c>
      <c r="E22" s="636"/>
      <c r="F22" s="628"/>
      <c r="G22" s="638" t="str">
        <f t="shared" si="2"/>
        <v>#VALUE!</v>
      </c>
      <c r="H22" s="636"/>
      <c r="I22" s="628"/>
      <c r="J22" s="639">
        <f t="shared" si="3"/>
        <v>100</v>
      </c>
      <c r="K22" s="636"/>
      <c r="L22" s="628"/>
      <c r="M22" s="640" t="str">
        <f t="shared" si="4"/>
        <v>#VALUE!</v>
      </c>
    </row>
    <row r="23" ht="15.75" customHeight="1">
      <c r="A23" s="641">
        <v>43757.0</v>
      </c>
      <c r="B23" s="636"/>
      <c r="C23" s="628"/>
      <c r="D23" s="637" t="str">
        <f t="shared" ref="D23:D63" si="7">+D22+B23+C23</f>
        <v>#VALUE!</v>
      </c>
      <c r="E23" s="631"/>
      <c r="F23" s="628"/>
      <c r="G23" s="638" t="str">
        <f t="shared" si="2"/>
        <v>#VALUE!</v>
      </c>
      <c r="H23" s="636"/>
      <c r="I23" s="628"/>
      <c r="J23" s="639">
        <f t="shared" si="3"/>
        <v>100</v>
      </c>
      <c r="K23" s="636"/>
      <c r="L23" s="628"/>
      <c r="M23" s="640" t="str">
        <f t="shared" si="4"/>
        <v>#VALUE!</v>
      </c>
    </row>
    <row r="24" ht="15.75" customHeight="1">
      <c r="A24" s="641">
        <v>43758.0</v>
      </c>
      <c r="B24" s="636"/>
      <c r="C24" s="628"/>
      <c r="D24" s="637" t="str">
        <f t="shared" si="7"/>
        <v>#VALUE!</v>
      </c>
      <c r="E24" s="636"/>
      <c r="F24" s="628"/>
      <c r="G24" s="638" t="str">
        <f t="shared" si="2"/>
        <v>#VALUE!</v>
      </c>
      <c r="H24" s="636"/>
      <c r="I24" s="628"/>
      <c r="J24" s="639">
        <f t="shared" si="3"/>
        <v>100</v>
      </c>
      <c r="K24" s="636"/>
      <c r="L24" s="628"/>
      <c r="M24" s="640" t="str">
        <f t="shared" si="4"/>
        <v>#VALUE!</v>
      </c>
    </row>
    <row r="25" ht="15.75" customHeight="1">
      <c r="A25" s="641">
        <v>43759.0</v>
      </c>
      <c r="B25" s="636"/>
      <c r="C25" s="628">
        <f>10000+1000+900+1000+500+2500</f>
        <v>15900</v>
      </c>
      <c r="D25" s="666" t="str">
        <f t="shared" si="7"/>
        <v>#VALUE!</v>
      </c>
      <c r="E25" s="667"/>
      <c r="F25" s="668">
        <f>1300+100+100+100+100+80+30+29</f>
        <v>1839</v>
      </c>
      <c r="G25" s="669" t="str">
        <f t="shared" si="2"/>
        <v>#VALUE!</v>
      </c>
      <c r="H25" s="667"/>
      <c r="I25" s="668">
        <v>165.6</v>
      </c>
      <c r="J25" s="670">
        <f t="shared" si="3"/>
        <v>265.6</v>
      </c>
      <c r="K25" s="667"/>
      <c r="L25" s="668">
        <f>400+1400+60+50+20+6</f>
        <v>1936</v>
      </c>
      <c r="M25" s="671" t="str">
        <f t="shared" si="4"/>
        <v>#VALUE!</v>
      </c>
    </row>
    <row r="26" ht="15.75" customHeight="1">
      <c r="A26" s="641">
        <v>43762.0</v>
      </c>
      <c r="B26" s="636" t="s">
        <v>346</v>
      </c>
      <c r="C26" s="628"/>
      <c r="D26" s="637" t="str">
        <f t="shared" si="7"/>
        <v>#VALUE!</v>
      </c>
      <c r="E26" s="636"/>
      <c r="F26" s="628"/>
      <c r="G26" s="638" t="str">
        <f t="shared" si="2"/>
        <v>#VALUE!</v>
      </c>
      <c r="H26" s="636"/>
      <c r="I26" s="628"/>
      <c r="J26" s="639">
        <f t="shared" si="3"/>
        <v>265.6</v>
      </c>
      <c r="K26" s="636"/>
      <c r="L26" s="628"/>
      <c r="M26" s="640" t="str">
        <f t="shared" si="4"/>
        <v>#VALUE!</v>
      </c>
    </row>
    <row r="27" ht="15.75" customHeight="1">
      <c r="A27" s="641">
        <v>43766.0</v>
      </c>
      <c r="B27" s="636" t="s">
        <v>347</v>
      </c>
      <c r="C27" s="628">
        <f>8000+26000+200</f>
        <v>34200</v>
      </c>
      <c r="D27" s="637" t="str">
        <f t="shared" si="7"/>
        <v>#VALUE!</v>
      </c>
      <c r="E27" s="636"/>
      <c r="F27" s="628">
        <f>1200+200+360+20+10+2</f>
        <v>1792</v>
      </c>
      <c r="G27" s="638" t="str">
        <f t="shared" si="2"/>
        <v>#VALUE!</v>
      </c>
      <c r="H27" s="636"/>
      <c r="I27" s="628">
        <f>20+15+50+50+166</f>
        <v>301</v>
      </c>
      <c r="J27" s="639">
        <f t="shared" si="3"/>
        <v>566.6</v>
      </c>
      <c r="K27" s="636"/>
      <c r="L27" s="628">
        <f>1000+900+40+60</f>
        <v>2000</v>
      </c>
      <c r="M27" s="640" t="str">
        <f t="shared" ref="M27:M63" si="8">+M26+K27+L27</f>
        <v>#VALUE!</v>
      </c>
    </row>
    <row r="28" ht="15.75" customHeight="1">
      <c r="A28" s="641">
        <v>43767.0</v>
      </c>
      <c r="B28" s="636"/>
      <c r="C28" s="628"/>
      <c r="D28" s="637" t="str">
        <f t="shared" si="7"/>
        <v>#VALUE!</v>
      </c>
      <c r="E28" s="636" t="s">
        <v>348</v>
      </c>
      <c r="F28" s="628"/>
      <c r="G28" s="638" t="str">
        <f t="shared" si="2"/>
        <v>#VALUE!</v>
      </c>
      <c r="H28" s="636">
        <v>-560.0</v>
      </c>
      <c r="I28" s="628"/>
      <c r="J28" s="639">
        <f t="shared" si="3"/>
        <v>6.6</v>
      </c>
      <c r="K28" s="636" t="s">
        <v>349</v>
      </c>
      <c r="L28" s="628"/>
      <c r="M28" s="640" t="str">
        <f t="shared" si="8"/>
        <v>#VALUE!</v>
      </c>
    </row>
    <row r="29" ht="15.75" customHeight="1">
      <c r="A29" s="641">
        <v>43768.0</v>
      </c>
      <c r="B29" s="636"/>
      <c r="C29" s="628"/>
      <c r="D29" s="637" t="str">
        <f t="shared" si="7"/>
        <v>#VALUE!</v>
      </c>
      <c r="E29" s="636"/>
      <c r="F29" s="628"/>
      <c r="G29" s="638" t="str">
        <f t="shared" si="2"/>
        <v>#VALUE!</v>
      </c>
      <c r="H29" s="636"/>
      <c r="I29" s="628"/>
      <c r="J29" s="639">
        <f t="shared" si="3"/>
        <v>6.6</v>
      </c>
      <c r="K29" s="636"/>
      <c r="L29" s="628"/>
      <c r="M29" s="640" t="str">
        <f t="shared" si="8"/>
        <v>#VALUE!</v>
      </c>
    </row>
    <row r="30" ht="15.75" customHeight="1">
      <c r="A30" s="641">
        <v>43769.0</v>
      </c>
      <c r="B30" s="636" t="s">
        <v>347</v>
      </c>
      <c r="C30" s="628"/>
      <c r="D30" s="637" t="str">
        <f t="shared" si="7"/>
        <v>#VALUE!</v>
      </c>
      <c r="E30" s="636"/>
      <c r="F30" s="628"/>
      <c r="G30" s="638" t="str">
        <f t="shared" si="2"/>
        <v>#VALUE!</v>
      </c>
      <c r="H30" s="636"/>
      <c r="I30" s="628"/>
      <c r="J30" s="639">
        <f t="shared" si="3"/>
        <v>6.6</v>
      </c>
      <c r="K30" s="636"/>
      <c r="L30" s="628"/>
      <c r="M30" s="640" t="str">
        <f t="shared" si="8"/>
        <v>#VALUE!</v>
      </c>
    </row>
    <row r="31" ht="15.75" customHeight="1">
      <c r="A31" s="641">
        <v>43770.0</v>
      </c>
      <c r="B31" s="636" t="s">
        <v>323</v>
      </c>
      <c r="C31" s="628"/>
      <c r="D31" s="637" t="str">
        <f t="shared" si="7"/>
        <v>#VALUE!</v>
      </c>
      <c r="E31" s="636"/>
      <c r="F31" s="628"/>
      <c r="G31" s="638" t="str">
        <f t="shared" si="2"/>
        <v>#VALUE!</v>
      </c>
      <c r="H31" s="636"/>
      <c r="I31" s="628"/>
      <c r="J31" s="639">
        <f t="shared" ref="J31:J112" si="9">+J30+H31+I31</f>
        <v>6.6</v>
      </c>
      <c r="K31" s="636"/>
      <c r="L31" s="628"/>
      <c r="M31" s="640" t="str">
        <f t="shared" si="8"/>
        <v>#VALUE!</v>
      </c>
    </row>
    <row r="32" ht="15.75" customHeight="1">
      <c r="A32" s="641">
        <v>43773.0</v>
      </c>
      <c r="B32" s="636"/>
      <c r="C32" s="628">
        <f>5000+2200+5000+2500+2500+15000+620+5000+5000+5000+20000</f>
        <v>67820</v>
      </c>
      <c r="D32" s="637" t="str">
        <f t="shared" si="7"/>
        <v>#VALUE!</v>
      </c>
      <c r="E32" s="636"/>
      <c r="F32" s="628">
        <f>80+100+280+60+200+250+80+20+81+230+1699+45+177+120+100+183+266+10+170</f>
        <v>4151</v>
      </c>
      <c r="G32" s="638" t="str">
        <f t="shared" si="2"/>
        <v>#VALUE!</v>
      </c>
      <c r="H32" s="636"/>
      <c r="I32" s="628">
        <f>72+50+20+10+100+30</f>
        <v>282</v>
      </c>
      <c r="J32" s="639">
        <f t="shared" si="9"/>
        <v>288.6</v>
      </c>
      <c r="K32" s="636"/>
      <c r="L32" s="628">
        <f>100+60+80+350+100</f>
        <v>690</v>
      </c>
      <c r="M32" s="640" t="str">
        <f t="shared" si="8"/>
        <v>#VALUE!</v>
      </c>
    </row>
    <row r="33" ht="15.75" customHeight="1">
      <c r="A33" s="641">
        <v>43774.0</v>
      </c>
      <c r="B33" s="636" t="s">
        <v>350</v>
      </c>
      <c r="C33" s="628"/>
      <c r="D33" s="637" t="str">
        <f t="shared" si="7"/>
        <v>#VALUE!</v>
      </c>
      <c r="E33" s="636" t="s">
        <v>351</v>
      </c>
      <c r="F33" s="628"/>
      <c r="G33" s="638" t="str">
        <f t="shared" si="2"/>
        <v>#VALUE!</v>
      </c>
      <c r="H33" s="636">
        <v>-280.0</v>
      </c>
      <c r="I33" s="628"/>
      <c r="J33" s="639">
        <f t="shared" si="9"/>
        <v>8.6</v>
      </c>
      <c r="K33" s="636">
        <v>-760.0</v>
      </c>
      <c r="L33" s="628"/>
      <c r="M33" s="640" t="str">
        <f t="shared" si="8"/>
        <v>#VALUE!</v>
      </c>
    </row>
    <row r="34" ht="15.75" customHeight="1">
      <c r="A34" s="641">
        <v>43775.0</v>
      </c>
      <c r="B34" s="636">
        <f>-(1200+13520)</f>
        <v>-14720</v>
      </c>
      <c r="C34" s="628" t="s">
        <v>352</v>
      </c>
      <c r="D34" s="637" t="str">
        <f t="shared" si="7"/>
        <v>#VALUE!</v>
      </c>
      <c r="E34" s="636"/>
      <c r="F34" s="628"/>
      <c r="G34" s="638" t="str">
        <f t="shared" si="2"/>
        <v>#VALUE!</v>
      </c>
      <c r="H34" s="636"/>
      <c r="I34" s="628"/>
      <c r="J34" s="639">
        <f t="shared" si="9"/>
        <v>8.6</v>
      </c>
      <c r="K34" s="636"/>
      <c r="L34" s="628"/>
      <c r="M34" s="640" t="str">
        <f t="shared" si="8"/>
        <v>#VALUE!</v>
      </c>
    </row>
    <row r="35" ht="15.75" customHeight="1">
      <c r="A35" s="641">
        <v>43776.0</v>
      </c>
      <c r="B35" s="636" t="s">
        <v>353</v>
      </c>
      <c r="C35" s="628"/>
      <c r="D35" s="637" t="str">
        <f t="shared" si="7"/>
        <v>#VALUE!</v>
      </c>
      <c r="E35" s="636"/>
      <c r="F35" s="628"/>
      <c r="G35" s="638" t="str">
        <f t="shared" si="2"/>
        <v>#VALUE!</v>
      </c>
      <c r="H35" s="636"/>
      <c r="I35" s="628"/>
      <c r="J35" s="639">
        <f t="shared" si="9"/>
        <v>8.6</v>
      </c>
      <c r="K35" s="636"/>
      <c r="L35" s="628"/>
      <c r="M35" s="640" t="str">
        <f t="shared" si="8"/>
        <v>#VALUE!</v>
      </c>
    </row>
    <row r="36" ht="15.75" customHeight="1">
      <c r="A36" s="641">
        <v>43780.0</v>
      </c>
      <c r="B36" s="636" t="s">
        <v>354</v>
      </c>
      <c r="C36" s="672">
        <f>30000+30900</f>
        <v>60900</v>
      </c>
      <c r="D36" s="637" t="str">
        <f t="shared" si="7"/>
        <v>#VALUE!</v>
      </c>
      <c r="E36" s="636"/>
      <c r="F36" s="628" t="s">
        <v>355</v>
      </c>
      <c r="G36" s="638" t="str">
        <f t="shared" si="2"/>
        <v>#VALUE!</v>
      </c>
      <c r="H36" s="636"/>
      <c r="I36" s="628">
        <v>270.0</v>
      </c>
      <c r="J36" s="639">
        <f t="shared" si="9"/>
        <v>278.6</v>
      </c>
      <c r="K36" s="636"/>
      <c r="L36" s="628" t="s">
        <v>356</v>
      </c>
      <c r="M36" s="640" t="str">
        <f t="shared" si="8"/>
        <v>#VALUE!</v>
      </c>
      <c r="N36" s="673">
        <v>30000.0</v>
      </c>
      <c r="O36" s="222" t="s">
        <v>357</v>
      </c>
    </row>
    <row r="37" ht="15.75" customHeight="1">
      <c r="A37" s="641">
        <v>43781.0</v>
      </c>
      <c r="B37" s="636" t="s">
        <v>358</v>
      </c>
      <c r="C37" s="628"/>
      <c r="D37" s="637" t="str">
        <f t="shared" si="7"/>
        <v>#VALUE!</v>
      </c>
      <c r="E37" s="636" t="s">
        <v>359</v>
      </c>
      <c r="F37" s="628"/>
      <c r="G37" s="638" t="str">
        <f t="shared" si="2"/>
        <v>#VALUE!</v>
      </c>
      <c r="H37" s="636"/>
      <c r="I37" s="628"/>
      <c r="J37" s="639">
        <f t="shared" si="9"/>
        <v>278.6</v>
      </c>
      <c r="K37" s="636"/>
      <c r="L37" s="628"/>
      <c r="M37" s="640" t="str">
        <f t="shared" si="8"/>
        <v>#VALUE!</v>
      </c>
    </row>
    <row r="38" ht="15.75" customHeight="1">
      <c r="A38" s="641">
        <v>43782.0</v>
      </c>
      <c r="B38" s="636">
        <v>-800.0</v>
      </c>
      <c r="C38" s="628"/>
      <c r="D38" s="637" t="str">
        <f t="shared" si="7"/>
        <v>#VALUE!</v>
      </c>
      <c r="E38" s="636"/>
      <c r="F38" s="628"/>
      <c r="G38" s="638" t="str">
        <f t="shared" si="2"/>
        <v>#VALUE!</v>
      </c>
      <c r="H38" s="636"/>
      <c r="I38" s="628"/>
      <c r="J38" s="639">
        <f t="shared" si="9"/>
        <v>278.6</v>
      </c>
      <c r="K38" s="636"/>
      <c r="L38" s="628"/>
      <c r="M38" s="640" t="str">
        <f t="shared" si="8"/>
        <v>#VALUE!</v>
      </c>
    </row>
    <row r="39" ht="15.75" customHeight="1">
      <c r="A39" s="626">
        <v>43788.0</v>
      </c>
      <c r="B39" s="628" t="s">
        <v>360</v>
      </c>
      <c r="C39" s="672">
        <f>34500+100000+30000</f>
        <v>164500</v>
      </c>
      <c r="D39" s="637" t="str">
        <f t="shared" si="7"/>
        <v>#VALUE!</v>
      </c>
      <c r="E39" s="628"/>
      <c r="F39" s="628">
        <f>600+200+500+200+80+30+20+7</f>
        <v>1637</v>
      </c>
      <c r="G39" s="638" t="str">
        <f t="shared" si="2"/>
        <v>#VALUE!</v>
      </c>
      <c r="H39" s="628"/>
      <c r="I39" s="628">
        <f>440+140+70+1.5</f>
        <v>651.5</v>
      </c>
      <c r="J39" s="639">
        <f t="shared" si="9"/>
        <v>930.1</v>
      </c>
      <c r="K39" s="628"/>
      <c r="L39" s="628">
        <f>630</f>
        <v>630</v>
      </c>
      <c r="M39" s="640" t="str">
        <f t="shared" si="8"/>
        <v>#VALUE!</v>
      </c>
      <c r="N39" s="673">
        <v>130000.0</v>
      </c>
      <c r="O39" s="222" t="s">
        <v>357</v>
      </c>
      <c r="P39" s="222" t="s">
        <v>361</v>
      </c>
    </row>
    <row r="40" ht="15.75" customHeight="1">
      <c r="A40" s="626">
        <v>43790.0</v>
      </c>
      <c r="B40" s="628">
        <f>-(50000+2450+170+90)</f>
        <v>-52710</v>
      </c>
      <c r="C40" s="674"/>
      <c r="D40" s="637" t="str">
        <f t="shared" si="7"/>
        <v>#VALUE!</v>
      </c>
      <c r="E40" s="628" t="s">
        <v>362</v>
      </c>
      <c r="F40" s="628"/>
      <c r="G40" s="638" t="str">
        <f t="shared" si="2"/>
        <v>#VALUE!</v>
      </c>
      <c r="H40" s="628"/>
      <c r="I40" s="628"/>
      <c r="J40" s="639">
        <f t="shared" si="9"/>
        <v>930.1</v>
      </c>
      <c r="K40" s="628"/>
      <c r="L40" s="628"/>
      <c r="M40" s="640" t="str">
        <f t="shared" si="8"/>
        <v>#VALUE!</v>
      </c>
    </row>
    <row r="41" ht="15.75" customHeight="1">
      <c r="A41" s="626">
        <v>43791.0</v>
      </c>
      <c r="B41" s="628">
        <f>-(2800+300)</f>
        <v>-3100</v>
      </c>
      <c r="C41" s="628"/>
      <c r="D41" s="637" t="str">
        <f t="shared" si="7"/>
        <v>#VALUE!</v>
      </c>
      <c r="E41" s="628"/>
      <c r="F41" s="628"/>
      <c r="G41" s="638" t="str">
        <f t="shared" si="2"/>
        <v>#VALUE!</v>
      </c>
      <c r="H41" s="628"/>
      <c r="I41" s="628"/>
      <c r="J41" s="639">
        <f t="shared" si="9"/>
        <v>930.1</v>
      </c>
      <c r="K41" s="628"/>
      <c r="L41" s="628"/>
      <c r="M41" s="640" t="str">
        <f t="shared" si="8"/>
        <v>#VALUE!</v>
      </c>
    </row>
    <row r="42" ht="15.75" customHeight="1">
      <c r="A42" s="626">
        <v>43794.0</v>
      </c>
      <c r="B42" s="628" t="s">
        <v>363</v>
      </c>
      <c r="C42" s="628" t="s">
        <v>364</v>
      </c>
      <c r="D42" s="637" t="str">
        <f t="shared" si="7"/>
        <v>#VALUE!</v>
      </c>
      <c r="E42" s="628"/>
      <c r="F42" s="628">
        <f>1300+450+500+500+120+90+10+3</f>
        <v>2973</v>
      </c>
      <c r="G42" s="638" t="str">
        <f t="shared" si="2"/>
        <v>#VALUE!</v>
      </c>
      <c r="H42" s="628"/>
      <c r="I42" s="628">
        <f>450+85+8.4</f>
        <v>543.4</v>
      </c>
      <c r="J42" s="639">
        <f t="shared" si="9"/>
        <v>1473.5</v>
      </c>
      <c r="K42" s="628"/>
      <c r="L42" s="628">
        <f>2900+44</f>
        <v>2944</v>
      </c>
      <c r="M42" s="640" t="str">
        <f t="shared" si="8"/>
        <v>#VALUE!</v>
      </c>
    </row>
    <row r="43" ht="15.75" customHeight="1">
      <c r="A43" s="626">
        <v>43795.0</v>
      </c>
      <c r="B43" s="628" t="s">
        <v>323</v>
      </c>
      <c r="C43" s="628"/>
      <c r="D43" s="637" t="str">
        <f t="shared" si="7"/>
        <v>#VALUE!</v>
      </c>
      <c r="E43" s="628"/>
      <c r="F43" s="631"/>
      <c r="G43" s="638" t="str">
        <f t="shared" si="2"/>
        <v>#VALUE!</v>
      </c>
      <c r="H43" s="628"/>
      <c r="I43" s="628"/>
      <c r="J43" s="639">
        <f t="shared" si="9"/>
        <v>1473.5</v>
      </c>
      <c r="K43" s="675" t="s">
        <v>365</v>
      </c>
      <c r="L43" s="628"/>
      <c r="M43" s="640" t="str">
        <f t="shared" si="8"/>
        <v>#VALUE!</v>
      </c>
      <c r="O43" s="676" t="s">
        <v>366</v>
      </c>
    </row>
    <row r="44" ht="15.75" customHeight="1">
      <c r="A44" s="626">
        <v>43796.0</v>
      </c>
      <c r="B44" s="628" t="s">
        <v>367</v>
      </c>
      <c r="C44" s="628"/>
      <c r="D44" s="637" t="str">
        <f t="shared" si="7"/>
        <v>#VALUE!</v>
      </c>
      <c r="E44" s="675" t="s">
        <v>327</v>
      </c>
      <c r="F44" s="675"/>
      <c r="G44" s="638" t="str">
        <f t="shared" si="2"/>
        <v>#VALUE!</v>
      </c>
      <c r="H44" s="675"/>
      <c r="I44" s="675"/>
      <c r="J44" s="639">
        <f t="shared" si="9"/>
        <v>1473.5</v>
      </c>
      <c r="K44" s="628"/>
      <c r="L44" s="628"/>
      <c r="M44" s="640" t="str">
        <f t="shared" si="8"/>
        <v>#VALUE!</v>
      </c>
    </row>
    <row r="45" ht="15.75" customHeight="1">
      <c r="A45" s="626">
        <v>43797.0</v>
      </c>
      <c r="B45" s="628"/>
      <c r="C45" s="674"/>
      <c r="D45" s="637" t="str">
        <f t="shared" si="7"/>
        <v>#VALUE!</v>
      </c>
      <c r="E45" s="628"/>
      <c r="F45" s="628"/>
      <c r="G45" s="638" t="str">
        <f t="shared" si="2"/>
        <v>#VALUE!</v>
      </c>
      <c r="H45" s="628"/>
      <c r="I45" s="628"/>
      <c r="J45" s="639">
        <f t="shared" si="9"/>
        <v>1473.5</v>
      </c>
      <c r="K45" s="628"/>
      <c r="L45" s="628"/>
      <c r="M45" s="640" t="str">
        <f t="shared" si="8"/>
        <v>#VALUE!</v>
      </c>
    </row>
    <row r="46" ht="15.75" customHeight="1">
      <c r="A46" s="626">
        <v>43798.0</v>
      </c>
      <c r="B46" s="628"/>
      <c r="C46" s="628"/>
      <c r="D46" s="637" t="str">
        <f t="shared" si="7"/>
        <v>#VALUE!</v>
      </c>
      <c r="E46" s="628"/>
      <c r="F46" s="628"/>
      <c r="G46" s="638" t="str">
        <f t="shared" si="2"/>
        <v>#VALUE!</v>
      </c>
      <c r="H46" s="628"/>
      <c r="I46" s="628"/>
      <c r="J46" s="639">
        <f t="shared" si="9"/>
        <v>1473.5</v>
      </c>
      <c r="K46" s="628"/>
      <c r="L46" s="628"/>
      <c r="M46" s="640" t="str">
        <f t="shared" si="8"/>
        <v>#VALUE!</v>
      </c>
    </row>
    <row r="47" ht="15.75" customHeight="1">
      <c r="A47" s="626">
        <v>43801.0</v>
      </c>
      <c r="B47" s="628" t="s">
        <v>368</v>
      </c>
      <c r="C47" s="672">
        <f>90000+7000+20000+500+2700</f>
        <v>120200</v>
      </c>
      <c r="D47" s="637" t="str">
        <f t="shared" si="7"/>
        <v>#VALUE!</v>
      </c>
      <c r="E47" s="628"/>
      <c r="F47" s="628" t="s">
        <v>369</v>
      </c>
      <c r="G47" s="638" t="str">
        <f t="shared" si="2"/>
        <v>#VALUE!</v>
      </c>
      <c r="H47" s="628"/>
      <c r="I47" s="628">
        <f>400+120+10</f>
        <v>530</v>
      </c>
      <c r="J47" s="639">
        <f t="shared" si="9"/>
        <v>2003.5</v>
      </c>
      <c r="K47" s="628"/>
      <c r="L47" s="628">
        <f>850+750+17</f>
        <v>1617</v>
      </c>
      <c r="M47" s="640" t="str">
        <f t="shared" si="8"/>
        <v>#VALUE!</v>
      </c>
      <c r="N47" s="673">
        <f>60000+30000</f>
        <v>90000</v>
      </c>
      <c r="O47" s="222" t="s">
        <v>357</v>
      </c>
    </row>
    <row r="48" ht="15.75" customHeight="1">
      <c r="A48" s="626">
        <v>43802.0</v>
      </c>
      <c r="B48" s="628">
        <f>-(50000+2170)</f>
        <v>-52170</v>
      </c>
      <c r="C48" s="628"/>
      <c r="D48" s="637" t="str">
        <f t="shared" si="7"/>
        <v>#VALUE!</v>
      </c>
      <c r="E48" s="628" t="s">
        <v>370</v>
      </c>
      <c r="F48" s="628"/>
      <c r="G48" s="638" t="str">
        <f t="shared" si="2"/>
        <v>#VALUE!</v>
      </c>
      <c r="H48" s="628" t="s">
        <v>371</v>
      </c>
      <c r="I48" s="628"/>
      <c r="J48" s="639" t="str">
        <f t="shared" si="9"/>
        <v>#VALUE!</v>
      </c>
      <c r="K48" s="628"/>
      <c r="L48" s="628"/>
      <c r="M48" s="640" t="str">
        <f t="shared" si="8"/>
        <v>#VALUE!</v>
      </c>
    </row>
    <row r="49" ht="15.75" customHeight="1">
      <c r="A49" s="626">
        <v>43803.0</v>
      </c>
      <c r="B49" s="628" t="s">
        <v>326</v>
      </c>
      <c r="C49" s="628"/>
      <c r="D49" s="637" t="str">
        <f t="shared" si="7"/>
        <v>#VALUE!</v>
      </c>
      <c r="E49" s="628"/>
      <c r="F49" s="628"/>
      <c r="G49" s="638" t="str">
        <f t="shared" si="2"/>
        <v>#VALUE!</v>
      </c>
      <c r="H49" s="628"/>
      <c r="I49" s="628"/>
      <c r="J49" s="639" t="str">
        <f t="shared" si="9"/>
        <v>#VALUE!</v>
      </c>
      <c r="K49" s="628"/>
      <c r="L49" s="628"/>
      <c r="M49" s="640" t="str">
        <f t="shared" si="8"/>
        <v>#VALUE!</v>
      </c>
    </row>
    <row r="50" ht="15.75" customHeight="1">
      <c r="A50" s="626">
        <v>43804.0</v>
      </c>
      <c r="B50" s="628">
        <f>-(67800+2000)</f>
        <v>-69800</v>
      </c>
      <c r="C50" s="628"/>
      <c r="D50" s="637" t="str">
        <f t="shared" si="7"/>
        <v>#VALUE!</v>
      </c>
      <c r="E50" s="628"/>
      <c r="F50" s="628"/>
      <c r="G50" s="638" t="str">
        <f t="shared" si="2"/>
        <v>#VALUE!</v>
      </c>
      <c r="H50" s="628"/>
      <c r="I50" s="628"/>
      <c r="J50" s="639" t="str">
        <f t="shared" si="9"/>
        <v>#VALUE!</v>
      </c>
      <c r="K50" s="628"/>
      <c r="L50" s="628"/>
      <c r="M50" s="640" t="str">
        <f t="shared" si="8"/>
        <v>#VALUE!</v>
      </c>
    </row>
    <row r="51" ht="15.75" customHeight="1">
      <c r="A51" s="626">
        <v>43805.0</v>
      </c>
      <c r="B51" s="628">
        <f>-(2000+400)</f>
        <v>-2400</v>
      </c>
      <c r="C51" s="628"/>
      <c r="D51" s="637" t="str">
        <f t="shared" si="7"/>
        <v>#VALUE!</v>
      </c>
      <c r="E51" s="628"/>
      <c r="F51" s="628"/>
      <c r="G51" s="638" t="str">
        <f t="shared" si="2"/>
        <v>#VALUE!</v>
      </c>
      <c r="H51" s="628"/>
      <c r="I51" s="628"/>
      <c r="J51" s="639" t="str">
        <f t="shared" si="9"/>
        <v>#VALUE!</v>
      </c>
      <c r="K51" s="628"/>
      <c r="L51" s="628"/>
      <c r="M51" s="640" t="str">
        <f t="shared" si="8"/>
        <v>#VALUE!</v>
      </c>
    </row>
    <row r="52" ht="15.75" customHeight="1">
      <c r="A52" s="626">
        <v>43808.0</v>
      </c>
      <c r="B52" s="628"/>
      <c r="C52" s="628">
        <f>600+2500+6800+2000+13700</f>
        <v>25600</v>
      </c>
      <c r="D52" s="637" t="str">
        <f t="shared" si="7"/>
        <v>#VALUE!</v>
      </c>
      <c r="E52" s="628"/>
      <c r="F52" s="628">
        <f>110+100+506+246+260+1110</f>
        <v>2332</v>
      </c>
      <c r="G52" s="638" t="str">
        <f t="shared" si="2"/>
        <v>#VALUE!</v>
      </c>
      <c r="H52" s="628"/>
      <c r="I52" s="628">
        <f>260+35</f>
        <v>295</v>
      </c>
      <c r="J52" s="639" t="str">
        <f t="shared" si="9"/>
        <v>#VALUE!</v>
      </c>
      <c r="K52" s="628"/>
      <c r="L52" s="628">
        <f>100</f>
        <v>100</v>
      </c>
      <c r="M52" s="640" t="str">
        <f t="shared" si="8"/>
        <v>#VALUE!</v>
      </c>
    </row>
    <row r="53" ht="15.75" customHeight="1">
      <c r="A53" s="626">
        <v>43810.0</v>
      </c>
      <c r="B53" s="628">
        <f>-(13840+1030+3037.2)</f>
        <v>-17907.2</v>
      </c>
      <c r="C53" s="628"/>
      <c r="D53" s="637" t="str">
        <f t="shared" si="7"/>
        <v>#VALUE!</v>
      </c>
      <c r="E53" s="628" t="s">
        <v>372</v>
      </c>
      <c r="F53" s="631"/>
      <c r="G53" s="638" t="str">
        <f t="shared" si="2"/>
        <v>#VALUE!</v>
      </c>
      <c r="H53" s="628"/>
      <c r="I53" s="628"/>
      <c r="J53" s="639" t="str">
        <f t="shared" si="9"/>
        <v>#VALUE!</v>
      </c>
      <c r="K53" s="628"/>
      <c r="L53" s="628"/>
      <c r="M53" s="640" t="str">
        <f t="shared" si="8"/>
        <v>#VALUE!</v>
      </c>
    </row>
    <row r="54" ht="15.75" customHeight="1">
      <c r="A54" s="626">
        <v>43812.0</v>
      </c>
      <c r="B54" s="628">
        <f>-(400+2100+500+1400+2800)</f>
        <v>-7200</v>
      </c>
      <c r="C54" s="628"/>
      <c r="D54" s="637" t="str">
        <f t="shared" si="7"/>
        <v>#VALUE!</v>
      </c>
      <c r="E54" s="628"/>
      <c r="F54" s="628"/>
      <c r="G54" s="638" t="str">
        <f t="shared" si="2"/>
        <v>#VALUE!</v>
      </c>
      <c r="H54" s="628"/>
      <c r="I54" s="628"/>
      <c r="J54" s="639" t="str">
        <f t="shared" si="9"/>
        <v>#VALUE!</v>
      </c>
      <c r="K54" s="628"/>
      <c r="L54" s="628"/>
      <c r="M54" s="640" t="str">
        <f t="shared" si="8"/>
        <v>#VALUE!</v>
      </c>
    </row>
    <row r="55" ht="15.75" customHeight="1">
      <c r="A55" s="626">
        <v>43815.0</v>
      </c>
      <c r="B55" s="631" t="s">
        <v>373</v>
      </c>
      <c r="C55" s="628">
        <f>7500+3000+2500+7500+2700+2500+1900+2600+2500+3700+4900+5000+5000</f>
        <v>51300</v>
      </c>
      <c r="D55" s="637" t="str">
        <f t="shared" si="7"/>
        <v>#VALUE!</v>
      </c>
      <c r="E55" s="628"/>
      <c r="F55" s="628">
        <f>400+150+200+90+10+9</f>
        <v>859</v>
      </c>
      <c r="G55" s="638" t="str">
        <f t="shared" si="2"/>
        <v>#VALUE!</v>
      </c>
      <c r="H55" s="628"/>
      <c r="I55" s="628">
        <f>500+200+25</f>
        <v>725</v>
      </c>
      <c r="J55" s="639" t="str">
        <f t="shared" si="9"/>
        <v>#VALUE!</v>
      </c>
      <c r="K55" s="628"/>
      <c r="L55" s="628">
        <v>500.0</v>
      </c>
      <c r="M55" s="640" t="str">
        <f t="shared" si="8"/>
        <v>#VALUE!</v>
      </c>
    </row>
    <row r="56" ht="15.75" customHeight="1">
      <c r="A56" s="626">
        <v>43811.0</v>
      </c>
      <c r="B56" s="628" t="s">
        <v>354</v>
      </c>
      <c r="C56" s="628"/>
      <c r="D56" s="637" t="str">
        <f t="shared" si="7"/>
        <v>#VALUE!</v>
      </c>
      <c r="E56" s="628"/>
      <c r="F56" s="628"/>
      <c r="G56" s="638" t="str">
        <f t="shared" si="2"/>
        <v>#VALUE!</v>
      </c>
      <c r="H56" s="628"/>
      <c r="I56" s="628"/>
      <c r="J56" s="639" t="str">
        <f t="shared" si="9"/>
        <v>#VALUE!</v>
      </c>
      <c r="K56" s="628"/>
      <c r="L56" s="628"/>
      <c r="M56" s="640" t="str">
        <f t="shared" si="8"/>
        <v>#VALUE!</v>
      </c>
    </row>
    <row r="57" ht="15.75" customHeight="1">
      <c r="A57" s="626">
        <v>43817.0</v>
      </c>
      <c r="B57" s="628">
        <v>-650.0</v>
      </c>
      <c r="C57" s="631"/>
      <c r="D57" s="637" t="str">
        <f t="shared" si="7"/>
        <v>#VALUE!</v>
      </c>
      <c r="E57" s="628"/>
      <c r="F57" s="628"/>
      <c r="G57" s="638" t="str">
        <f t="shared" si="2"/>
        <v>#VALUE!</v>
      </c>
      <c r="H57" s="628" t="s">
        <v>354</v>
      </c>
      <c r="I57" s="628"/>
      <c r="J57" s="639" t="str">
        <f t="shared" si="9"/>
        <v>#VALUE!</v>
      </c>
      <c r="K57" s="628" t="s">
        <v>374</v>
      </c>
      <c r="L57" s="628"/>
      <c r="M57" s="640" t="str">
        <f t="shared" si="8"/>
        <v>#VALUE!</v>
      </c>
    </row>
    <row r="58" ht="15.75" customHeight="1">
      <c r="A58" s="626">
        <v>43818.0</v>
      </c>
      <c r="B58" s="628">
        <f>-(11050+3600)</f>
        <v>-14650</v>
      </c>
      <c r="C58" s="628"/>
      <c r="D58" s="637" t="str">
        <f t="shared" si="7"/>
        <v>#VALUE!</v>
      </c>
      <c r="E58" s="628">
        <v>-900.0</v>
      </c>
      <c r="F58" s="628"/>
      <c r="G58" s="638" t="str">
        <f t="shared" si="2"/>
        <v>#VALUE!</v>
      </c>
      <c r="H58" s="628"/>
      <c r="I58" s="628"/>
      <c r="J58" s="639" t="str">
        <f t="shared" si="9"/>
        <v>#VALUE!</v>
      </c>
      <c r="K58" s="628"/>
      <c r="L58" s="628"/>
      <c r="M58" s="640" t="str">
        <f t="shared" si="8"/>
        <v>#VALUE!</v>
      </c>
    </row>
    <row r="59" ht="15.75" customHeight="1">
      <c r="A59" s="626">
        <v>43819.0</v>
      </c>
      <c r="B59" s="628" t="s">
        <v>375</v>
      </c>
      <c r="C59" s="628"/>
      <c r="D59" s="637" t="str">
        <f t="shared" si="7"/>
        <v>#VALUE!</v>
      </c>
      <c r="E59" s="628"/>
      <c r="F59" s="628"/>
      <c r="G59" s="638" t="str">
        <f t="shared" si="2"/>
        <v>#VALUE!</v>
      </c>
      <c r="H59" s="628"/>
      <c r="I59" s="628"/>
      <c r="J59" s="639" t="str">
        <f t="shared" si="9"/>
        <v>#VALUE!</v>
      </c>
      <c r="K59" s="628"/>
      <c r="L59" s="628"/>
      <c r="M59" s="640" t="str">
        <f t="shared" si="8"/>
        <v>#VALUE!</v>
      </c>
    </row>
    <row r="60" ht="15.75" customHeight="1">
      <c r="A60" s="626">
        <v>43825.0</v>
      </c>
      <c r="B60" s="628">
        <f>-(3550+2730+2340+1600+3300+3040+3040+4700+2540)</f>
        <v>-26840</v>
      </c>
      <c r="C60" s="628">
        <f>16000+700+200</f>
        <v>16900</v>
      </c>
      <c r="D60" s="637" t="str">
        <f t="shared" si="7"/>
        <v>#VALUE!</v>
      </c>
      <c r="E60" s="628"/>
      <c r="F60" s="628"/>
      <c r="G60" s="638" t="str">
        <f t="shared" si="2"/>
        <v>#VALUE!</v>
      </c>
      <c r="H60" s="628"/>
      <c r="I60" s="628"/>
      <c r="J60" s="639" t="str">
        <f t="shared" si="9"/>
        <v>#VALUE!</v>
      </c>
      <c r="K60" s="628"/>
      <c r="L60" s="628"/>
      <c r="M60" s="640" t="str">
        <f t="shared" si="8"/>
        <v>#VALUE!</v>
      </c>
    </row>
    <row r="61" ht="15.75" customHeight="1">
      <c r="A61" s="626">
        <v>43826.0</v>
      </c>
      <c r="B61" s="628">
        <f>-(3600+550)</f>
        <v>-4150</v>
      </c>
      <c r="C61" s="628">
        <f>2500+5000+6500</f>
        <v>14000</v>
      </c>
      <c r="D61" s="637" t="str">
        <f t="shared" si="7"/>
        <v>#VALUE!</v>
      </c>
      <c r="E61" s="628"/>
      <c r="F61" s="628">
        <f>351+1033+437+757+194+458+1669+154+40</f>
        <v>5093</v>
      </c>
      <c r="G61" s="638" t="str">
        <f t="shared" si="2"/>
        <v>#VALUE!</v>
      </c>
      <c r="H61" s="628"/>
      <c r="I61" s="628">
        <f>20+40</f>
        <v>60</v>
      </c>
      <c r="J61" s="639" t="str">
        <f t="shared" si="9"/>
        <v>#VALUE!</v>
      </c>
      <c r="K61" s="628"/>
      <c r="L61" s="628">
        <f>250</f>
        <v>250</v>
      </c>
      <c r="M61" s="640" t="str">
        <f t="shared" si="8"/>
        <v>#VALUE!</v>
      </c>
    </row>
    <row r="62" ht="15.75" customHeight="1">
      <c r="A62" s="626">
        <v>43832.0</v>
      </c>
      <c r="B62" s="628" t="s">
        <v>376</v>
      </c>
      <c r="C62" s="628">
        <f>5000+2000+14000</f>
        <v>21000</v>
      </c>
      <c r="D62" s="637" t="str">
        <f t="shared" si="7"/>
        <v>#VALUE!</v>
      </c>
      <c r="E62" s="628" t="s">
        <v>377</v>
      </c>
      <c r="F62" s="628" t="s">
        <v>378</v>
      </c>
      <c r="G62" s="638" t="str">
        <f t="shared" si="2"/>
        <v>#VALUE!</v>
      </c>
      <c r="H62" s="628"/>
      <c r="I62" s="628">
        <v>10.0</v>
      </c>
      <c r="J62" s="639" t="str">
        <f t="shared" si="9"/>
        <v>#VALUE!</v>
      </c>
      <c r="K62" s="628"/>
      <c r="L62" s="628">
        <v>70.0</v>
      </c>
      <c r="M62" s="640" t="str">
        <f t="shared" si="8"/>
        <v>#VALUE!</v>
      </c>
    </row>
    <row r="63" ht="15.75" customHeight="1">
      <c r="A63" s="626">
        <v>3.0</v>
      </c>
      <c r="B63" s="628" t="s">
        <v>379</v>
      </c>
      <c r="C63" s="628" t="s">
        <v>380</v>
      </c>
      <c r="D63" s="677" t="str">
        <f t="shared" si="7"/>
        <v>#VALUE!</v>
      </c>
      <c r="E63" s="628"/>
      <c r="F63" s="628"/>
      <c r="G63" s="678" t="str">
        <f t="shared" si="2"/>
        <v>#VALUE!</v>
      </c>
      <c r="H63" s="628"/>
      <c r="I63" s="628"/>
      <c r="J63" s="679" t="str">
        <f t="shared" si="9"/>
        <v>#VALUE!</v>
      </c>
      <c r="K63" s="628"/>
      <c r="L63" s="628"/>
      <c r="M63" s="680" t="str">
        <f t="shared" si="8"/>
        <v>#VALUE!</v>
      </c>
    </row>
    <row r="64" ht="15.75" customHeight="1">
      <c r="A64" s="626">
        <v>43836.0</v>
      </c>
      <c r="B64" s="628"/>
      <c r="C64" s="628" t="s">
        <v>381</v>
      </c>
      <c r="D64" s="677" t="str">
        <f t="shared" ref="D64:D134" si="10">D63+B64+C64</f>
        <v>#VALUE!</v>
      </c>
      <c r="E64" s="628"/>
      <c r="F64" s="628" t="s">
        <v>382</v>
      </c>
      <c r="G64" s="678" t="str">
        <f t="shared" ref="G64:G134" si="11">+G63+E64+F64</f>
        <v>#VALUE!</v>
      </c>
      <c r="H64" s="628"/>
      <c r="I64" s="628">
        <v>335.0</v>
      </c>
      <c r="J64" s="679" t="str">
        <f t="shared" si="9"/>
        <v>#VALUE!</v>
      </c>
      <c r="K64" s="628"/>
      <c r="L64" s="628">
        <v>995.5</v>
      </c>
      <c r="M64" s="680" t="str">
        <f t="shared" ref="M64:M134" si="12">M63+K64+L64</f>
        <v>#VALUE!</v>
      </c>
      <c r="O64" s="222" t="s">
        <v>186</v>
      </c>
      <c r="P64" s="222">
        <f>80+110+350</f>
        <v>540</v>
      </c>
    </row>
    <row r="65" ht="15.75" customHeight="1">
      <c r="A65" s="626">
        <v>43837.0</v>
      </c>
      <c r="B65" s="628">
        <f>-(1750+25500+17000+590+1100)</f>
        <v>-45940</v>
      </c>
      <c r="C65" s="628"/>
      <c r="D65" s="637" t="str">
        <f t="shared" si="10"/>
        <v>#VALUE!</v>
      </c>
      <c r="E65" s="628"/>
      <c r="F65" s="628"/>
      <c r="G65" s="681" t="str">
        <f t="shared" si="11"/>
        <v>#VALUE!</v>
      </c>
      <c r="H65" s="628"/>
      <c r="I65" s="628"/>
      <c r="J65" s="679" t="str">
        <f t="shared" si="9"/>
        <v>#VALUE!</v>
      </c>
      <c r="K65" s="628"/>
      <c r="L65" s="628"/>
      <c r="M65" s="680" t="str">
        <f t="shared" si="12"/>
        <v>#VALUE!</v>
      </c>
      <c r="O65" s="222" t="s">
        <v>329</v>
      </c>
      <c r="P65" s="222">
        <f>200+535+100+140+150+80+136+120+70+310+47</f>
        <v>1888</v>
      </c>
    </row>
    <row r="66" ht="15.75" customHeight="1">
      <c r="A66" s="626">
        <v>43838.0</v>
      </c>
      <c r="B66" s="628">
        <f>-(1800+730)</f>
        <v>-2530</v>
      </c>
      <c r="C66" s="628"/>
      <c r="D66" s="637" t="str">
        <f t="shared" si="10"/>
        <v>#VALUE!</v>
      </c>
      <c r="E66" s="628"/>
      <c r="F66" s="628"/>
      <c r="G66" s="681" t="str">
        <f t="shared" si="11"/>
        <v>#VALUE!</v>
      </c>
      <c r="H66" s="628"/>
      <c r="I66" s="628"/>
      <c r="J66" s="679" t="str">
        <f t="shared" si="9"/>
        <v>#VALUE!</v>
      </c>
      <c r="K66" s="628"/>
      <c r="L66" s="628"/>
      <c r="M66" s="680" t="str">
        <f t="shared" si="12"/>
        <v>#VALUE!</v>
      </c>
      <c r="O66" s="222" t="s">
        <v>383</v>
      </c>
      <c r="P66" s="222">
        <f>9000+2500+1400</f>
        <v>12900</v>
      </c>
    </row>
    <row r="67" ht="15.75" customHeight="1">
      <c r="A67" s="626">
        <v>43839.0</v>
      </c>
      <c r="B67" s="628" t="s">
        <v>384</v>
      </c>
      <c r="C67" s="628"/>
      <c r="D67" s="637" t="str">
        <f t="shared" si="10"/>
        <v>#VALUE!</v>
      </c>
      <c r="E67" s="628" t="s">
        <v>385</v>
      </c>
      <c r="F67" s="628"/>
      <c r="G67" s="681" t="str">
        <f t="shared" si="11"/>
        <v>#VALUE!</v>
      </c>
      <c r="H67" s="628"/>
      <c r="I67" s="628"/>
      <c r="J67" s="679" t="str">
        <f t="shared" si="9"/>
        <v>#VALUE!</v>
      </c>
      <c r="K67" s="628"/>
      <c r="L67" s="628"/>
      <c r="M67" s="680" t="str">
        <f t="shared" si="12"/>
        <v>#VALUE!</v>
      </c>
      <c r="O67" s="222" t="s">
        <v>185</v>
      </c>
      <c r="P67" s="222">
        <v>0.0</v>
      </c>
    </row>
    <row r="68" ht="15.75" customHeight="1">
      <c r="A68" s="626">
        <v>43840.0</v>
      </c>
      <c r="B68" s="628">
        <f>-(150+150+230+3520)</f>
        <v>-4050</v>
      </c>
      <c r="C68" s="628"/>
      <c r="D68" s="637" t="str">
        <f t="shared" si="10"/>
        <v>#VALUE!</v>
      </c>
      <c r="E68" s="628"/>
      <c r="F68" s="628" t="s">
        <v>338</v>
      </c>
      <c r="G68" s="681" t="str">
        <f t="shared" si="11"/>
        <v>#VALUE!</v>
      </c>
      <c r="H68" s="628"/>
      <c r="I68" s="628"/>
      <c r="J68" s="679" t="str">
        <f t="shared" si="9"/>
        <v>#VALUE!</v>
      </c>
      <c r="K68" s="628"/>
      <c r="L68" s="628"/>
      <c r="M68" s="680" t="str">
        <f t="shared" si="12"/>
        <v>#VALUE!</v>
      </c>
    </row>
    <row r="69" ht="15.75" customHeight="1">
      <c r="A69" s="626">
        <v>43843.0</v>
      </c>
      <c r="B69" s="628">
        <f>-(1200+10000)</f>
        <v>-11200</v>
      </c>
      <c r="C69" s="628">
        <f>4000+10500+2500+5000+5000+2000+5000+1300+4000</f>
        <v>39300</v>
      </c>
      <c r="D69" s="637" t="str">
        <f t="shared" si="10"/>
        <v>#VALUE!</v>
      </c>
      <c r="E69" s="628"/>
      <c r="F69" s="628">
        <f>180+412+80+20+132+20+200+300+80+90</f>
        <v>1514</v>
      </c>
      <c r="G69" s="681" t="str">
        <f t="shared" si="11"/>
        <v>#VALUE!</v>
      </c>
      <c r="H69" s="628"/>
      <c r="I69" s="628">
        <f>100+45+65</f>
        <v>210</v>
      </c>
      <c r="J69" s="679" t="str">
        <f t="shared" si="9"/>
        <v>#VALUE!</v>
      </c>
      <c r="K69" s="628"/>
      <c r="L69" s="628"/>
      <c r="M69" s="680" t="str">
        <f t="shared" si="12"/>
        <v>#VALUE!</v>
      </c>
    </row>
    <row r="70" ht="15.75" customHeight="1">
      <c r="A70" s="626">
        <v>43845.0</v>
      </c>
      <c r="B70" s="628" t="s">
        <v>386</v>
      </c>
      <c r="C70" s="628"/>
      <c r="D70" s="637" t="str">
        <f t="shared" si="10"/>
        <v>#VALUE!</v>
      </c>
      <c r="E70" s="628" t="s">
        <v>326</v>
      </c>
      <c r="F70" s="628"/>
      <c r="G70" s="681" t="str">
        <f t="shared" si="11"/>
        <v>#VALUE!</v>
      </c>
      <c r="H70" s="628"/>
      <c r="I70" s="628"/>
      <c r="J70" s="679" t="str">
        <f t="shared" si="9"/>
        <v>#VALUE!</v>
      </c>
      <c r="K70" s="628"/>
      <c r="L70" s="628"/>
      <c r="M70" s="680" t="str">
        <f t="shared" si="12"/>
        <v>#VALUE!</v>
      </c>
    </row>
    <row r="71" ht="15.75" customHeight="1">
      <c r="A71" s="626">
        <v>43846.0</v>
      </c>
      <c r="B71" s="628">
        <f>-(13500+17000+17000+31200+6000+8000)</f>
        <v>-92700</v>
      </c>
      <c r="C71" s="628" t="s">
        <v>387</v>
      </c>
      <c r="D71" s="637" t="str">
        <f t="shared" si="10"/>
        <v>#VALUE!</v>
      </c>
      <c r="E71" s="628"/>
      <c r="F71" s="628"/>
      <c r="G71" s="681" t="str">
        <f t="shared" si="11"/>
        <v>#VALUE!</v>
      </c>
      <c r="H71" s="628"/>
      <c r="I71" s="628"/>
      <c r="J71" s="679" t="str">
        <f t="shared" si="9"/>
        <v>#VALUE!</v>
      </c>
      <c r="K71" s="628"/>
      <c r="L71" s="628"/>
      <c r="M71" s="680" t="str">
        <f t="shared" si="12"/>
        <v>#VALUE!</v>
      </c>
    </row>
    <row r="72" ht="15.75" customHeight="1">
      <c r="A72" s="626">
        <v>43847.0</v>
      </c>
      <c r="B72" s="628" t="s">
        <v>388</v>
      </c>
      <c r="C72" s="628"/>
      <c r="D72" s="637" t="str">
        <f t="shared" si="10"/>
        <v>#VALUE!</v>
      </c>
      <c r="E72" s="628"/>
      <c r="F72" s="628"/>
      <c r="G72" s="681" t="str">
        <f t="shared" si="11"/>
        <v>#VALUE!</v>
      </c>
      <c r="H72" s="628"/>
      <c r="I72" s="628"/>
      <c r="J72" s="679" t="str">
        <f t="shared" si="9"/>
        <v>#VALUE!</v>
      </c>
      <c r="K72" s="628"/>
      <c r="L72" s="628"/>
      <c r="M72" s="680" t="str">
        <f t="shared" si="12"/>
        <v>#VALUE!</v>
      </c>
    </row>
    <row r="73" ht="15.75" customHeight="1">
      <c r="A73" s="626">
        <v>43850.0</v>
      </c>
      <c r="B73" s="628"/>
      <c r="C73" s="628">
        <f>7000+5000+2500+4000+5000+1300+2500</f>
        <v>27300</v>
      </c>
      <c r="D73" s="637" t="str">
        <f t="shared" si="10"/>
        <v>#VALUE!</v>
      </c>
      <c r="E73" s="628"/>
      <c r="F73" s="628">
        <f>51+270+220+100+130+90+70+105+67</f>
        <v>1103</v>
      </c>
      <c r="G73" s="681" t="str">
        <f t="shared" si="11"/>
        <v>#VALUE!</v>
      </c>
      <c r="H73" s="628"/>
      <c r="I73" s="628">
        <f>250+20+30+80</f>
        <v>380</v>
      </c>
      <c r="J73" s="679" t="str">
        <f t="shared" si="9"/>
        <v>#VALUE!</v>
      </c>
      <c r="K73" s="628"/>
      <c r="L73" s="628">
        <v>670.0</v>
      </c>
      <c r="M73" s="680" t="str">
        <f t="shared" si="12"/>
        <v>#VALUE!</v>
      </c>
    </row>
    <row r="74" ht="15.75" customHeight="1">
      <c r="A74" s="626">
        <v>43851.0</v>
      </c>
      <c r="B74" s="628">
        <f>-(150+200+3650+5000+2050)</f>
        <v>-11050</v>
      </c>
      <c r="C74" s="628"/>
      <c r="D74" s="637" t="str">
        <f t="shared" si="10"/>
        <v>#VALUE!</v>
      </c>
      <c r="E74" s="628">
        <f>-(660+900)</f>
        <v>-1560</v>
      </c>
      <c r="F74" s="628"/>
      <c r="G74" s="681" t="str">
        <f t="shared" si="11"/>
        <v>#VALUE!</v>
      </c>
      <c r="H74" s="628" t="s">
        <v>389</v>
      </c>
      <c r="I74" s="628"/>
      <c r="J74" s="679" t="str">
        <f t="shared" si="9"/>
        <v>#VALUE!</v>
      </c>
      <c r="K74" s="628" t="s">
        <v>326</v>
      </c>
      <c r="L74" s="628"/>
      <c r="M74" s="680" t="str">
        <f t="shared" si="12"/>
        <v>#VALUE!</v>
      </c>
    </row>
    <row r="75" ht="15.75" customHeight="1">
      <c r="A75" s="626">
        <v>43852.0</v>
      </c>
      <c r="B75" s="628" t="s">
        <v>390</v>
      </c>
      <c r="C75" s="628"/>
      <c r="D75" s="637" t="str">
        <f t="shared" si="10"/>
        <v>#VALUE!</v>
      </c>
      <c r="E75" s="628"/>
      <c r="F75" s="628"/>
      <c r="G75" s="681" t="str">
        <f t="shared" si="11"/>
        <v>#VALUE!</v>
      </c>
      <c r="H75" s="628"/>
      <c r="I75" s="628"/>
      <c r="J75" s="679" t="str">
        <f t="shared" si="9"/>
        <v>#VALUE!</v>
      </c>
      <c r="K75" s="628"/>
      <c r="L75" s="628"/>
      <c r="M75" s="680" t="str">
        <f t="shared" si="12"/>
        <v>#VALUE!</v>
      </c>
    </row>
    <row r="76" ht="15.75" customHeight="1">
      <c r="A76" s="626">
        <v>43853.0</v>
      </c>
      <c r="B76" s="628">
        <f>-(22500+9000+175+80+400+80)</f>
        <v>-32235</v>
      </c>
      <c r="C76" s="628"/>
      <c r="D76" s="637" t="str">
        <f t="shared" si="10"/>
        <v>#VALUE!</v>
      </c>
      <c r="E76" s="628"/>
      <c r="F76" s="628"/>
      <c r="G76" s="681" t="str">
        <f t="shared" si="11"/>
        <v>#VALUE!</v>
      </c>
      <c r="H76" s="628"/>
      <c r="I76" s="628"/>
      <c r="J76" s="679" t="str">
        <f t="shared" si="9"/>
        <v>#VALUE!</v>
      </c>
      <c r="K76" s="628"/>
      <c r="L76" s="628"/>
      <c r="M76" s="680" t="str">
        <f t="shared" si="12"/>
        <v>#VALUE!</v>
      </c>
    </row>
    <row r="77" ht="15.75" customHeight="1">
      <c r="A77" s="626">
        <v>43854.0</v>
      </c>
      <c r="B77" s="628">
        <f>-(5000+3950)</f>
        <v>-8950</v>
      </c>
      <c r="C77" s="628"/>
      <c r="D77" s="637" t="str">
        <f t="shared" si="10"/>
        <v>#VALUE!</v>
      </c>
      <c r="E77" s="628"/>
      <c r="F77" s="628"/>
      <c r="G77" s="681" t="str">
        <f t="shared" si="11"/>
        <v>#VALUE!</v>
      </c>
      <c r="H77" s="628"/>
      <c r="I77" s="628"/>
      <c r="J77" s="679" t="str">
        <f t="shared" si="9"/>
        <v>#VALUE!</v>
      </c>
      <c r="K77" s="628"/>
      <c r="L77" s="628"/>
      <c r="M77" s="680" t="str">
        <f t="shared" si="12"/>
        <v>#VALUE!</v>
      </c>
    </row>
    <row r="78" ht="15.75" customHeight="1">
      <c r="A78" s="626">
        <v>43858.0</v>
      </c>
      <c r="B78" s="628">
        <f>-(6700+35035)</f>
        <v>-41735</v>
      </c>
      <c r="C78" s="628" t="s">
        <v>391</v>
      </c>
      <c r="D78" s="637" t="str">
        <f t="shared" si="10"/>
        <v>#VALUE!</v>
      </c>
      <c r="E78" s="628" t="s">
        <v>392</v>
      </c>
      <c r="F78" s="628" t="s">
        <v>393</v>
      </c>
      <c r="G78" s="681" t="str">
        <f t="shared" si="11"/>
        <v>#VALUE!</v>
      </c>
      <c r="H78" s="628"/>
      <c r="I78" s="628">
        <v>540.0</v>
      </c>
      <c r="J78" s="679" t="str">
        <f t="shared" si="9"/>
        <v>#VALUE!</v>
      </c>
      <c r="K78" s="628"/>
      <c r="L78" s="628"/>
      <c r="M78" s="680" t="str">
        <f t="shared" si="12"/>
        <v>#VALUE!</v>
      </c>
    </row>
    <row r="79" ht="15.75" customHeight="1">
      <c r="A79" s="626">
        <v>43859.0</v>
      </c>
      <c r="B79" s="628">
        <f>-(4000+250)</f>
        <v>-4250</v>
      </c>
      <c r="C79" s="628"/>
      <c r="D79" s="637" t="str">
        <f t="shared" si="10"/>
        <v>#VALUE!</v>
      </c>
      <c r="E79" s="628"/>
      <c r="F79" s="628"/>
      <c r="G79" s="681" t="str">
        <f t="shared" si="11"/>
        <v>#VALUE!</v>
      </c>
      <c r="H79" s="628"/>
      <c r="I79" s="628"/>
      <c r="J79" s="679" t="str">
        <f t="shared" si="9"/>
        <v>#VALUE!</v>
      </c>
      <c r="K79" s="628"/>
      <c r="L79" s="628"/>
      <c r="M79" s="680" t="str">
        <f t="shared" si="12"/>
        <v>#VALUE!</v>
      </c>
      <c r="O79" s="222">
        <f>21217+3000</f>
        <v>24217</v>
      </c>
      <c r="P79" s="222">
        <f>O79/2</f>
        <v>12108.5</v>
      </c>
    </row>
    <row r="80" ht="15.75" customHeight="1">
      <c r="A80" s="626">
        <v>43861.0</v>
      </c>
      <c r="B80" s="628">
        <f>-(3320+8500+11500)</f>
        <v>-23320</v>
      </c>
      <c r="C80" s="628"/>
      <c r="D80" s="637" t="str">
        <f t="shared" si="10"/>
        <v>#VALUE!</v>
      </c>
      <c r="E80" s="628"/>
      <c r="F80" s="628"/>
      <c r="G80" s="681" t="str">
        <f t="shared" si="11"/>
        <v>#VALUE!</v>
      </c>
      <c r="H80" s="628"/>
      <c r="I80" s="628"/>
      <c r="J80" s="679" t="str">
        <f t="shared" si="9"/>
        <v>#VALUE!</v>
      </c>
      <c r="K80" s="628"/>
      <c r="L80" s="628"/>
      <c r="M80" s="680" t="str">
        <f t="shared" si="12"/>
        <v>#VALUE!</v>
      </c>
    </row>
    <row r="81" ht="15.75" customHeight="1">
      <c r="A81" s="626">
        <v>43864.0</v>
      </c>
      <c r="B81" s="628" t="s">
        <v>394</v>
      </c>
      <c r="C81" s="628">
        <f>2500+7500+5000+2500+5000+7500+2000+5000+7500+30000</f>
        <v>74500</v>
      </c>
      <c r="D81" s="637" t="str">
        <f t="shared" si="10"/>
        <v>#VALUE!</v>
      </c>
      <c r="E81" s="628"/>
      <c r="F81" s="628">
        <f>158+25+134+175+150+340+51+120+45+320</f>
        <v>1518</v>
      </c>
      <c r="G81" s="681" t="str">
        <f t="shared" si="11"/>
        <v>#VALUE!</v>
      </c>
      <c r="H81" s="628"/>
      <c r="I81" s="628">
        <f>20+10+70+120</f>
        <v>220</v>
      </c>
      <c r="J81" s="679" t="str">
        <f t="shared" si="9"/>
        <v>#VALUE!</v>
      </c>
      <c r="K81" s="628"/>
      <c r="L81" s="628">
        <f>25+7+302</f>
        <v>334</v>
      </c>
      <c r="M81" s="680" t="str">
        <f t="shared" si="12"/>
        <v>#VALUE!</v>
      </c>
    </row>
    <row r="82" ht="15.75" customHeight="1">
      <c r="A82" s="626">
        <v>43865.0</v>
      </c>
      <c r="B82" s="628" t="s">
        <v>354</v>
      </c>
      <c r="C82" s="628" t="s">
        <v>395</v>
      </c>
      <c r="D82" s="637" t="str">
        <f t="shared" si="10"/>
        <v>#VALUE!</v>
      </c>
      <c r="E82" s="628" t="s">
        <v>396</v>
      </c>
      <c r="F82" s="628"/>
      <c r="G82" s="681" t="str">
        <f t="shared" si="11"/>
        <v>#VALUE!</v>
      </c>
      <c r="H82" s="628">
        <v>-740.0</v>
      </c>
      <c r="I82" s="628"/>
      <c r="J82" s="679" t="str">
        <f t="shared" si="9"/>
        <v>#VALUE!</v>
      </c>
      <c r="K82" s="628">
        <v>-336.0</v>
      </c>
      <c r="L82" s="628"/>
      <c r="M82" s="680" t="str">
        <f t="shared" si="12"/>
        <v>#VALUE!</v>
      </c>
    </row>
    <row r="83" ht="15.75" customHeight="1">
      <c r="A83" s="626">
        <v>43866.0</v>
      </c>
      <c r="B83" s="628">
        <f>-(1800+17700+1300+6000+5900+5300+16900+7000+18200)</f>
        <v>-80100</v>
      </c>
      <c r="C83" s="628"/>
      <c r="D83" s="637" t="str">
        <f t="shared" si="10"/>
        <v>#VALUE!</v>
      </c>
      <c r="E83" s="628"/>
      <c r="F83" s="628"/>
      <c r="G83" s="681" t="str">
        <f t="shared" si="11"/>
        <v>#VALUE!</v>
      </c>
      <c r="H83" s="628"/>
      <c r="I83" s="628"/>
      <c r="J83" s="679" t="str">
        <f t="shared" si="9"/>
        <v>#VALUE!</v>
      </c>
      <c r="K83" s="628"/>
      <c r="L83" s="628"/>
      <c r="M83" s="680" t="str">
        <f t="shared" si="12"/>
        <v>#VALUE!</v>
      </c>
    </row>
    <row r="84" ht="15.75" customHeight="1">
      <c r="A84" s="626">
        <v>43867.0</v>
      </c>
      <c r="B84" s="628">
        <f>-(16900+2000+18200)</f>
        <v>-37100</v>
      </c>
      <c r="C84" s="628" t="s">
        <v>397</v>
      </c>
      <c r="D84" s="637" t="str">
        <f t="shared" si="10"/>
        <v>#VALUE!</v>
      </c>
      <c r="E84" s="628"/>
      <c r="F84" s="628"/>
      <c r="G84" s="681" t="str">
        <f t="shared" si="11"/>
        <v>#VALUE!</v>
      </c>
      <c r="H84" s="628"/>
      <c r="I84" s="628"/>
      <c r="J84" s="679" t="str">
        <f t="shared" si="9"/>
        <v>#VALUE!</v>
      </c>
      <c r="K84" s="628"/>
      <c r="L84" s="628"/>
      <c r="M84" s="680" t="str">
        <f t="shared" si="12"/>
        <v>#VALUE!</v>
      </c>
    </row>
    <row r="85" ht="15.75" customHeight="1">
      <c r="A85" s="626">
        <v>43868.0</v>
      </c>
      <c r="B85" s="628">
        <f>-(30000+3700)</f>
        <v>-33700</v>
      </c>
      <c r="C85" s="628"/>
      <c r="D85" s="637" t="str">
        <f t="shared" si="10"/>
        <v>#VALUE!</v>
      </c>
      <c r="E85" s="628"/>
      <c r="F85" s="628"/>
      <c r="G85" s="681" t="str">
        <f t="shared" si="11"/>
        <v>#VALUE!</v>
      </c>
      <c r="H85" s="628"/>
      <c r="I85" s="628"/>
      <c r="J85" s="679" t="str">
        <f t="shared" si="9"/>
        <v>#VALUE!</v>
      </c>
      <c r="K85" s="628"/>
      <c r="L85" s="628"/>
      <c r="M85" s="680" t="str">
        <f t="shared" si="12"/>
        <v>#VALUE!</v>
      </c>
    </row>
    <row r="86" ht="15.75" customHeight="1">
      <c r="A86" s="626">
        <v>43871.0</v>
      </c>
      <c r="B86" s="628" t="s">
        <v>398</v>
      </c>
      <c r="C86" s="628">
        <f>17500+6000+18000</f>
        <v>41500</v>
      </c>
      <c r="D86" s="637" t="str">
        <f t="shared" si="10"/>
        <v>#VALUE!</v>
      </c>
      <c r="E86" s="628"/>
      <c r="F86" s="628">
        <f>20+180+103+785+50+25+200+175+30+130+225</f>
        <v>1923</v>
      </c>
      <c r="G86" s="681" t="str">
        <f t="shared" si="11"/>
        <v>#VALUE!</v>
      </c>
      <c r="H86" s="628"/>
      <c r="I86" s="628">
        <f>20+150+30+520+31+110+24+75+71</f>
        <v>1031</v>
      </c>
      <c r="J86" s="679" t="str">
        <f t="shared" si="9"/>
        <v>#VALUE!</v>
      </c>
      <c r="K86" s="628"/>
      <c r="L86" s="628">
        <f>150+180+50</f>
        <v>380</v>
      </c>
      <c r="M86" s="680" t="str">
        <f t="shared" si="12"/>
        <v>#VALUE!</v>
      </c>
    </row>
    <row r="87" ht="15.75" customHeight="1">
      <c r="A87" s="626">
        <v>43872.0</v>
      </c>
      <c r="B87" s="628" t="s">
        <v>399</v>
      </c>
      <c r="C87" s="628"/>
      <c r="D87" s="637" t="str">
        <f t="shared" si="10"/>
        <v>#VALUE!</v>
      </c>
      <c r="E87" s="628" t="s">
        <v>400</v>
      </c>
      <c r="F87" s="628"/>
      <c r="G87" s="681" t="str">
        <f t="shared" si="11"/>
        <v>#VALUE!</v>
      </c>
      <c r="H87" s="628" t="s">
        <v>401</v>
      </c>
      <c r="I87" s="628"/>
      <c r="J87" s="679" t="str">
        <f t="shared" si="9"/>
        <v>#VALUE!</v>
      </c>
      <c r="K87" s="628">
        <v>-360.0</v>
      </c>
      <c r="L87" s="628"/>
      <c r="M87" s="680" t="str">
        <f t="shared" si="12"/>
        <v>#VALUE!</v>
      </c>
    </row>
    <row r="88" ht="15.75" customHeight="1">
      <c r="A88" s="626">
        <v>43874.0</v>
      </c>
      <c r="B88" s="628" t="s">
        <v>402</v>
      </c>
      <c r="C88" s="628"/>
      <c r="D88" s="637" t="str">
        <f t="shared" si="10"/>
        <v>#VALUE!</v>
      </c>
      <c r="E88" s="628"/>
      <c r="F88" s="628"/>
      <c r="G88" s="681" t="str">
        <f t="shared" si="11"/>
        <v>#VALUE!</v>
      </c>
      <c r="H88" s="628"/>
      <c r="I88" s="628"/>
      <c r="J88" s="679" t="str">
        <f t="shared" si="9"/>
        <v>#VALUE!</v>
      </c>
      <c r="K88" s="628"/>
      <c r="L88" s="628"/>
      <c r="M88" s="680" t="str">
        <f t="shared" si="12"/>
        <v>#VALUE!</v>
      </c>
    </row>
    <row r="89" ht="15.75" customHeight="1">
      <c r="A89" s="626">
        <v>43878.0</v>
      </c>
      <c r="B89" s="628" t="s">
        <v>403</v>
      </c>
      <c r="C89" s="628">
        <f>18400+78250+78250+30000</f>
        <v>204900</v>
      </c>
      <c r="D89" s="637" t="str">
        <f t="shared" si="10"/>
        <v>#VALUE!</v>
      </c>
      <c r="E89" s="628" t="s">
        <v>404</v>
      </c>
      <c r="F89" s="628">
        <f>200+23+300+140+580</f>
        <v>1243</v>
      </c>
      <c r="G89" s="681" t="str">
        <f t="shared" si="11"/>
        <v>#VALUE!</v>
      </c>
      <c r="H89" s="628">
        <v>-80.0</v>
      </c>
      <c r="I89" s="628">
        <v>81.0</v>
      </c>
      <c r="J89" s="679" t="str">
        <f t="shared" si="9"/>
        <v>#VALUE!</v>
      </c>
      <c r="K89" s="628">
        <v>-90.0</v>
      </c>
      <c r="L89" s="628">
        <v>90.0</v>
      </c>
      <c r="M89" s="680" t="str">
        <f t="shared" si="12"/>
        <v>#VALUE!</v>
      </c>
    </row>
    <row r="90" ht="15.75" customHeight="1">
      <c r="A90" s="626">
        <v>43879.0</v>
      </c>
      <c r="B90" s="628" t="s">
        <v>405</v>
      </c>
      <c r="C90" s="628"/>
      <c r="D90" s="637" t="str">
        <f t="shared" si="10"/>
        <v>#VALUE!</v>
      </c>
      <c r="E90" s="628"/>
      <c r="F90" s="628"/>
      <c r="G90" s="681" t="str">
        <f t="shared" si="11"/>
        <v>#VALUE!</v>
      </c>
      <c r="H90" s="628"/>
      <c r="I90" s="628"/>
      <c r="J90" s="679" t="str">
        <f t="shared" si="9"/>
        <v>#VALUE!</v>
      </c>
      <c r="K90" s="628"/>
      <c r="L90" s="628"/>
      <c r="M90" s="680" t="str">
        <f t="shared" si="12"/>
        <v>#VALUE!</v>
      </c>
    </row>
    <row r="91" ht="15.75" customHeight="1">
      <c r="A91" s="626">
        <v>43880.0</v>
      </c>
      <c r="B91" s="628">
        <f>-(1080+420+9000+200)</f>
        <v>-10700</v>
      </c>
      <c r="C91" s="628" t="s">
        <v>406</v>
      </c>
      <c r="D91" s="637" t="str">
        <f t="shared" si="10"/>
        <v>#VALUE!</v>
      </c>
      <c r="E91" s="628"/>
      <c r="F91" s="628"/>
      <c r="G91" s="681" t="str">
        <f t="shared" si="11"/>
        <v>#VALUE!</v>
      </c>
      <c r="H91" s="628"/>
      <c r="I91" s="628"/>
      <c r="J91" s="679" t="str">
        <f t="shared" si="9"/>
        <v>#VALUE!</v>
      </c>
      <c r="K91" s="628"/>
      <c r="L91" s="628"/>
      <c r="M91" s="680" t="str">
        <f t="shared" si="12"/>
        <v>#VALUE!</v>
      </c>
    </row>
    <row r="92" ht="15.75" customHeight="1">
      <c r="A92" s="626">
        <v>43881.0</v>
      </c>
      <c r="B92" s="628">
        <f>-(2255+2000+200)</f>
        <v>-4455</v>
      </c>
      <c r="C92" s="628"/>
      <c r="D92" s="637" t="str">
        <f t="shared" si="10"/>
        <v>#VALUE!</v>
      </c>
      <c r="E92" s="628"/>
      <c r="F92" s="628">
        <f>70+97+50+90+100+225+170</f>
        <v>802</v>
      </c>
      <c r="G92" s="681" t="str">
        <f t="shared" si="11"/>
        <v>#VALUE!</v>
      </c>
      <c r="H92" s="628"/>
      <c r="I92" s="628">
        <f>10+86+143</f>
        <v>239</v>
      </c>
      <c r="J92" s="679" t="str">
        <f t="shared" si="9"/>
        <v>#VALUE!</v>
      </c>
      <c r="K92" s="628"/>
      <c r="L92" s="628"/>
      <c r="M92" s="680" t="str">
        <f t="shared" si="12"/>
        <v>#VALUE!</v>
      </c>
    </row>
    <row r="93" ht="15.75" customHeight="1">
      <c r="A93" s="626">
        <v>43882.0</v>
      </c>
      <c r="B93" s="628">
        <f>-(90000+2500+510+2350)</f>
        <v>-95360</v>
      </c>
      <c r="C93" s="628">
        <f>10000+4000+10000+10000+5000+5000+4000</f>
        <v>48000</v>
      </c>
      <c r="D93" s="637" t="str">
        <f t="shared" si="10"/>
        <v>#VALUE!</v>
      </c>
      <c r="E93" s="628"/>
      <c r="F93" s="628"/>
      <c r="G93" s="681" t="str">
        <f t="shared" si="11"/>
        <v>#VALUE!</v>
      </c>
      <c r="H93" s="628"/>
      <c r="I93" s="628"/>
      <c r="J93" s="679" t="str">
        <f t="shared" si="9"/>
        <v>#VALUE!</v>
      </c>
      <c r="K93" s="628"/>
      <c r="L93" s="628"/>
      <c r="M93" s="680" t="str">
        <f t="shared" si="12"/>
        <v>#VALUE!</v>
      </c>
    </row>
    <row r="94" ht="15.75" customHeight="1">
      <c r="A94" s="626">
        <v>43887.0</v>
      </c>
      <c r="B94" s="628">
        <f>-(200+800+8500)</f>
        <v>-9500</v>
      </c>
      <c r="C94" s="628" t="s">
        <v>397</v>
      </c>
      <c r="D94" s="637" t="str">
        <f t="shared" si="10"/>
        <v>#VALUE!</v>
      </c>
      <c r="E94" s="628"/>
      <c r="F94" s="628"/>
      <c r="G94" s="681" t="str">
        <f t="shared" si="11"/>
        <v>#VALUE!</v>
      </c>
      <c r="H94" s="628"/>
      <c r="I94" s="628"/>
      <c r="J94" s="679" t="str">
        <f t="shared" si="9"/>
        <v>#VALUE!</v>
      </c>
      <c r="K94" s="628"/>
      <c r="L94" s="628"/>
      <c r="M94" s="680" t="str">
        <f t="shared" si="12"/>
        <v>#VALUE!</v>
      </c>
    </row>
    <row r="95" ht="15.75" customHeight="1">
      <c r="A95" s="626">
        <v>43888.0</v>
      </c>
      <c r="B95" s="628">
        <f>-(23700+560)</f>
        <v>-24260</v>
      </c>
      <c r="C95" s="628"/>
      <c r="D95" s="637" t="str">
        <f t="shared" si="10"/>
        <v>#VALUE!</v>
      </c>
      <c r="E95" s="628"/>
      <c r="F95" s="628"/>
      <c r="G95" s="681" t="str">
        <f t="shared" si="11"/>
        <v>#VALUE!</v>
      </c>
      <c r="H95" s="628"/>
      <c r="I95" s="628"/>
      <c r="J95" s="679" t="str">
        <f t="shared" si="9"/>
        <v>#VALUE!</v>
      </c>
      <c r="K95" s="628"/>
      <c r="L95" s="628"/>
      <c r="M95" s="680" t="str">
        <f t="shared" si="12"/>
        <v>#VALUE!</v>
      </c>
    </row>
    <row r="96" ht="15.75" customHeight="1">
      <c r="A96" s="626">
        <v>43889.0</v>
      </c>
      <c r="B96" s="628"/>
      <c r="C96" s="628">
        <f>5000+2500+4000+4000+10000+5000</f>
        <v>30500</v>
      </c>
      <c r="D96" s="637" t="str">
        <f t="shared" si="10"/>
        <v>#VALUE!</v>
      </c>
      <c r="E96" s="628"/>
      <c r="F96" s="628">
        <f>60+100+87+137+76+44+207+129+100+63+170+40+200+100+101+348+165</f>
        <v>2127</v>
      </c>
      <c r="G96" s="681" t="str">
        <f t="shared" si="11"/>
        <v>#VALUE!</v>
      </c>
      <c r="H96" s="628"/>
      <c r="I96" s="628"/>
      <c r="J96" s="679" t="str">
        <f t="shared" si="9"/>
        <v>#VALUE!</v>
      </c>
      <c r="K96" s="628"/>
      <c r="L96" s="628">
        <f>300+100+324+200+150+470+228+275+600</f>
        <v>2647</v>
      </c>
      <c r="M96" s="680" t="str">
        <f t="shared" si="12"/>
        <v>#VALUE!</v>
      </c>
    </row>
    <row r="97" ht="15.75" customHeight="1">
      <c r="A97" s="626">
        <v>43892.0</v>
      </c>
      <c r="B97" s="628">
        <f>-(800+650)</f>
        <v>-1450</v>
      </c>
      <c r="C97" s="628"/>
      <c r="D97" s="637" t="str">
        <f t="shared" si="10"/>
        <v>#VALUE!</v>
      </c>
      <c r="E97" s="628"/>
      <c r="F97" s="628"/>
      <c r="G97" s="681" t="str">
        <f t="shared" si="11"/>
        <v>#VALUE!</v>
      </c>
      <c r="H97" s="628"/>
      <c r="I97" s="628"/>
      <c r="J97" s="679" t="str">
        <f t="shared" si="9"/>
        <v>#VALUE!</v>
      </c>
      <c r="K97" s="628"/>
      <c r="L97" s="628"/>
      <c r="M97" s="680" t="str">
        <f t="shared" si="12"/>
        <v>#VALUE!</v>
      </c>
    </row>
    <row r="98" ht="15.75" customHeight="1">
      <c r="A98" s="626">
        <v>43893.0</v>
      </c>
      <c r="B98" s="628">
        <f>-(7800+1500)</f>
        <v>-9300</v>
      </c>
      <c r="C98" s="628">
        <f>10000+6000+15000+20000</f>
        <v>51000</v>
      </c>
      <c r="D98" s="637" t="str">
        <f t="shared" si="10"/>
        <v>#VALUE!</v>
      </c>
      <c r="E98" s="628"/>
      <c r="F98" s="628">
        <f>20+208+210+100+325+140+100+32+85</f>
        <v>1220</v>
      </c>
      <c r="G98" s="681" t="str">
        <f t="shared" si="11"/>
        <v>#VALUE!</v>
      </c>
      <c r="H98" s="628"/>
      <c r="I98" s="628">
        <f>60+65+20</f>
        <v>145</v>
      </c>
      <c r="J98" s="679" t="str">
        <f t="shared" si="9"/>
        <v>#VALUE!</v>
      </c>
      <c r="K98" s="628"/>
      <c r="L98" s="628">
        <f>315+250</f>
        <v>565</v>
      </c>
      <c r="M98" s="680" t="str">
        <f t="shared" si="12"/>
        <v>#VALUE!</v>
      </c>
    </row>
    <row r="99" ht="15.75" customHeight="1">
      <c r="A99" s="626">
        <v>43894.0</v>
      </c>
      <c r="B99" s="628">
        <f>-(13300+101600+35750+650+560)</f>
        <v>-151860</v>
      </c>
      <c r="C99" s="628"/>
      <c r="D99" s="637" t="str">
        <f t="shared" si="10"/>
        <v>#VALUE!</v>
      </c>
      <c r="E99" s="628" t="s">
        <v>407</v>
      </c>
      <c r="F99" s="628"/>
      <c r="G99" s="681" t="str">
        <f t="shared" si="11"/>
        <v>#VALUE!</v>
      </c>
      <c r="H99" s="628">
        <v>-380.0</v>
      </c>
      <c r="I99" s="628"/>
      <c r="J99" s="679" t="str">
        <f t="shared" si="9"/>
        <v>#VALUE!</v>
      </c>
      <c r="K99" s="628" t="s">
        <v>408</v>
      </c>
      <c r="L99" s="628"/>
      <c r="M99" s="680" t="str">
        <f t="shared" si="12"/>
        <v>#VALUE!</v>
      </c>
    </row>
    <row r="100" ht="15.75" customHeight="1">
      <c r="A100" s="626">
        <v>43895.0</v>
      </c>
      <c r="B100" s="628">
        <f>-(1200+17200)</f>
        <v>-18400</v>
      </c>
      <c r="C100" s="628"/>
      <c r="D100" s="637" t="str">
        <f t="shared" si="10"/>
        <v>#VALUE!</v>
      </c>
      <c r="E100" s="628"/>
      <c r="F100" s="628"/>
      <c r="G100" s="681" t="str">
        <f t="shared" si="11"/>
        <v>#VALUE!</v>
      </c>
      <c r="H100" s="628"/>
      <c r="I100" s="628"/>
      <c r="J100" s="679" t="str">
        <f t="shared" si="9"/>
        <v>#VALUE!</v>
      </c>
      <c r="K100" s="628"/>
      <c r="L100" s="628"/>
      <c r="M100" s="680" t="str">
        <f t="shared" si="12"/>
        <v>#VALUE!</v>
      </c>
    </row>
    <row r="101" ht="15.75" customHeight="1">
      <c r="A101" s="626">
        <v>43896.0</v>
      </c>
      <c r="B101" s="628"/>
      <c r="C101" s="628">
        <f>2500+2500+5000</f>
        <v>10000</v>
      </c>
      <c r="D101" s="637" t="str">
        <f t="shared" si="10"/>
        <v>#VALUE!</v>
      </c>
      <c r="E101" s="628"/>
      <c r="F101" s="628">
        <f>210+45+355+25+89</f>
        <v>724</v>
      </c>
      <c r="G101" s="681" t="str">
        <f t="shared" si="11"/>
        <v>#VALUE!</v>
      </c>
      <c r="H101" s="628"/>
      <c r="I101" s="628">
        <v>265.0</v>
      </c>
      <c r="J101" s="679" t="str">
        <f t="shared" si="9"/>
        <v>#VALUE!</v>
      </c>
      <c r="K101" s="628"/>
      <c r="L101" s="628"/>
      <c r="M101" s="680" t="str">
        <f t="shared" si="12"/>
        <v>#VALUE!</v>
      </c>
    </row>
    <row r="102" ht="15.75" customHeight="1">
      <c r="A102" s="626">
        <v>43899.0</v>
      </c>
      <c r="B102" s="628"/>
      <c r="C102" s="628">
        <f>4800+1900+5000+7500</f>
        <v>19200</v>
      </c>
      <c r="D102" s="637" t="str">
        <f t="shared" si="10"/>
        <v>#VALUE!</v>
      </c>
      <c r="E102" s="628" t="s">
        <v>409</v>
      </c>
      <c r="F102" s="628">
        <f>100+320+32+20+75+120+500</f>
        <v>1167</v>
      </c>
      <c r="G102" s="681" t="str">
        <f t="shared" si="11"/>
        <v>#VALUE!</v>
      </c>
      <c r="H102" s="628">
        <v>-285.0</v>
      </c>
      <c r="I102" s="628">
        <v>20.0</v>
      </c>
      <c r="J102" s="679" t="str">
        <f t="shared" si="9"/>
        <v>#VALUE!</v>
      </c>
      <c r="K102" s="628">
        <v>-200.0</v>
      </c>
      <c r="L102" s="628">
        <v>200.0</v>
      </c>
      <c r="M102" s="680" t="str">
        <f t="shared" si="12"/>
        <v>#VALUE!</v>
      </c>
    </row>
    <row r="103" ht="15.75" customHeight="1">
      <c r="A103" s="626">
        <v>43900.0</v>
      </c>
      <c r="B103" s="628">
        <f>-(1920+1800)</f>
        <v>-3720</v>
      </c>
      <c r="C103" s="628"/>
      <c r="D103" s="637" t="str">
        <f t="shared" si="10"/>
        <v>#VALUE!</v>
      </c>
      <c r="E103" s="628"/>
      <c r="F103" s="628"/>
      <c r="G103" s="681" t="str">
        <f t="shared" si="11"/>
        <v>#VALUE!</v>
      </c>
      <c r="H103" s="628"/>
      <c r="I103" s="628"/>
      <c r="J103" s="679" t="str">
        <f t="shared" si="9"/>
        <v>#VALUE!</v>
      </c>
      <c r="K103" s="628"/>
      <c r="L103" s="628"/>
      <c r="M103" s="680" t="str">
        <f t="shared" si="12"/>
        <v>#VALUE!</v>
      </c>
    </row>
    <row r="104" ht="15.75" customHeight="1">
      <c r="A104" s="626">
        <v>43901.0</v>
      </c>
      <c r="B104" s="628" t="s">
        <v>410</v>
      </c>
      <c r="C104" s="628"/>
      <c r="D104" s="637" t="str">
        <f t="shared" si="10"/>
        <v>#VALUE!</v>
      </c>
      <c r="E104" s="628"/>
      <c r="F104" s="628"/>
      <c r="G104" s="681" t="str">
        <f t="shared" si="11"/>
        <v>#VALUE!</v>
      </c>
      <c r="H104" s="628"/>
      <c r="I104" s="628"/>
      <c r="J104" s="679" t="str">
        <f t="shared" si="9"/>
        <v>#VALUE!</v>
      </c>
      <c r="K104" s="628"/>
      <c r="L104" s="628"/>
      <c r="M104" s="680" t="str">
        <f t="shared" si="12"/>
        <v>#VALUE!</v>
      </c>
    </row>
    <row r="105" ht="15.75" customHeight="1">
      <c r="A105" s="626">
        <v>43902.0</v>
      </c>
      <c r="B105" s="628">
        <f>-(3100+40000+500)</f>
        <v>-43600</v>
      </c>
      <c r="C105" s="628"/>
      <c r="D105" s="637" t="str">
        <f t="shared" si="10"/>
        <v>#VALUE!</v>
      </c>
      <c r="E105" s="628"/>
      <c r="F105" s="628"/>
      <c r="G105" s="681" t="str">
        <f t="shared" si="11"/>
        <v>#VALUE!</v>
      </c>
      <c r="H105" s="628"/>
      <c r="I105" s="628"/>
      <c r="J105" s="679" t="str">
        <f t="shared" si="9"/>
        <v>#VALUE!</v>
      </c>
      <c r="K105" s="628"/>
      <c r="L105" s="628"/>
      <c r="M105" s="680" t="str">
        <f t="shared" si="12"/>
        <v>#VALUE!</v>
      </c>
    </row>
    <row r="106" ht="15.75" customHeight="1">
      <c r="A106" s="626">
        <v>43903.0</v>
      </c>
      <c r="B106" s="628">
        <f>-(2500+600+1300)</f>
        <v>-4400</v>
      </c>
      <c r="C106" s="628"/>
      <c r="D106" s="637" t="str">
        <f t="shared" si="10"/>
        <v>#VALUE!</v>
      </c>
      <c r="E106" s="628"/>
      <c r="F106" s="628"/>
      <c r="G106" s="681" t="str">
        <f t="shared" si="11"/>
        <v>#VALUE!</v>
      </c>
      <c r="H106" s="628"/>
      <c r="I106" s="628"/>
      <c r="J106" s="679" t="str">
        <f t="shared" si="9"/>
        <v>#VALUE!</v>
      </c>
      <c r="K106" s="628"/>
      <c r="L106" s="628"/>
      <c r="M106" s="680" t="str">
        <f t="shared" si="12"/>
        <v>#VALUE!</v>
      </c>
    </row>
    <row r="107" ht="15.75" customHeight="1">
      <c r="A107" s="626">
        <v>43906.0</v>
      </c>
      <c r="B107" s="628">
        <f>-(21200+2520)</f>
        <v>-23720</v>
      </c>
      <c r="C107" s="628">
        <f>12500+10000+1500+27500+7500+6400</f>
        <v>65400</v>
      </c>
      <c r="D107" s="637" t="str">
        <f t="shared" si="10"/>
        <v>#VALUE!</v>
      </c>
      <c r="E107" s="628" t="s">
        <v>411</v>
      </c>
      <c r="F107" s="628">
        <f>254+306+70+140+440+300+35</f>
        <v>1545</v>
      </c>
      <c r="G107" s="681" t="str">
        <f t="shared" si="11"/>
        <v>#VALUE!</v>
      </c>
      <c r="H107" s="628">
        <v>-30.0</v>
      </c>
      <c r="I107" s="628">
        <f>30</f>
        <v>30</v>
      </c>
      <c r="J107" s="679" t="str">
        <f t="shared" si="9"/>
        <v>#VALUE!</v>
      </c>
      <c r="K107" s="628">
        <v>-593.0</v>
      </c>
      <c r="L107" s="628">
        <f>400+114+50+29</f>
        <v>593</v>
      </c>
      <c r="M107" s="680" t="str">
        <f t="shared" si="12"/>
        <v>#VALUE!</v>
      </c>
    </row>
    <row r="108" ht="15.75" customHeight="1">
      <c r="A108" s="626">
        <v>43907.0</v>
      </c>
      <c r="B108" s="628">
        <f>-(11040+3600+500+113300+740)</f>
        <v>-129180</v>
      </c>
      <c r="C108" s="628" t="s">
        <v>412</v>
      </c>
      <c r="D108" s="637" t="str">
        <f t="shared" si="10"/>
        <v>#VALUE!</v>
      </c>
      <c r="E108" s="628"/>
      <c r="F108" s="628"/>
      <c r="G108" s="681" t="str">
        <f t="shared" si="11"/>
        <v>#VALUE!</v>
      </c>
      <c r="H108" s="628"/>
      <c r="I108" s="628"/>
      <c r="J108" s="679" t="str">
        <f t="shared" si="9"/>
        <v>#VALUE!</v>
      </c>
      <c r="K108" s="628"/>
      <c r="L108" s="628"/>
      <c r="M108" s="680" t="str">
        <f t="shared" si="12"/>
        <v>#VALUE!</v>
      </c>
    </row>
    <row r="109" ht="15.75" customHeight="1">
      <c r="A109" s="626">
        <v>43908.0</v>
      </c>
      <c r="B109" s="628">
        <f>-(3500+1600+2000+530)</f>
        <v>-7630</v>
      </c>
      <c r="C109" s="628"/>
      <c r="D109" s="637" t="str">
        <f t="shared" si="10"/>
        <v>#VALUE!</v>
      </c>
      <c r="E109" s="628"/>
      <c r="F109" s="628"/>
      <c r="G109" s="681" t="str">
        <f t="shared" si="11"/>
        <v>#VALUE!</v>
      </c>
      <c r="H109" s="628"/>
      <c r="I109" s="628"/>
      <c r="J109" s="679" t="str">
        <f t="shared" si="9"/>
        <v>#VALUE!</v>
      </c>
      <c r="K109" s="628"/>
      <c r="L109" s="628"/>
      <c r="M109" s="680" t="str">
        <f t="shared" si="12"/>
        <v>#VALUE!</v>
      </c>
    </row>
    <row r="110" ht="15.75" customHeight="1">
      <c r="A110" s="626">
        <v>43909.0</v>
      </c>
      <c r="B110" s="628">
        <f>-(16700+1200+412.8)</f>
        <v>-18312.8</v>
      </c>
      <c r="C110" s="628"/>
      <c r="D110" s="637" t="str">
        <f t="shared" si="10"/>
        <v>#VALUE!</v>
      </c>
      <c r="E110" s="628"/>
      <c r="F110" s="628"/>
      <c r="G110" s="681" t="str">
        <f t="shared" si="11"/>
        <v>#VALUE!</v>
      </c>
      <c r="H110" s="628"/>
      <c r="I110" s="628"/>
      <c r="J110" s="679" t="str">
        <f t="shared" si="9"/>
        <v>#VALUE!</v>
      </c>
      <c r="K110" s="628"/>
      <c r="L110" s="628"/>
      <c r="M110" s="680" t="str">
        <f t="shared" si="12"/>
        <v>#VALUE!</v>
      </c>
    </row>
    <row r="111" ht="15.75" customHeight="1">
      <c r="A111" s="626">
        <v>43942.0</v>
      </c>
      <c r="B111" s="628"/>
      <c r="C111" s="628">
        <f>7500</f>
        <v>7500</v>
      </c>
      <c r="D111" s="637" t="str">
        <f t="shared" si="10"/>
        <v>#VALUE!</v>
      </c>
      <c r="E111" s="628"/>
      <c r="F111" s="628">
        <f>140+140+55</f>
        <v>335</v>
      </c>
      <c r="G111" s="681" t="str">
        <f t="shared" si="11"/>
        <v>#VALUE!</v>
      </c>
      <c r="H111" s="628"/>
      <c r="I111" s="628"/>
      <c r="J111" s="679" t="str">
        <f t="shared" si="9"/>
        <v>#VALUE!</v>
      </c>
      <c r="K111" s="628"/>
      <c r="L111" s="628"/>
      <c r="M111" s="680" t="str">
        <f t="shared" si="12"/>
        <v>#VALUE!</v>
      </c>
    </row>
    <row r="112" ht="15.75" customHeight="1">
      <c r="A112" s="626"/>
      <c r="B112" s="628" t="s">
        <v>413</v>
      </c>
      <c r="C112" s="628"/>
      <c r="D112" s="637" t="str">
        <f t="shared" si="10"/>
        <v>#VALUE!</v>
      </c>
      <c r="E112" s="628">
        <v>-335.0</v>
      </c>
      <c r="F112" s="628"/>
      <c r="G112" s="681" t="str">
        <f t="shared" si="11"/>
        <v>#VALUE!</v>
      </c>
      <c r="H112" s="628"/>
      <c r="I112" s="628"/>
      <c r="J112" s="679" t="str">
        <f t="shared" si="9"/>
        <v>#VALUE!</v>
      </c>
      <c r="K112" s="628"/>
      <c r="L112" s="628"/>
      <c r="M112" s="680" t="str">
        <f t="shared" si="12"/>
        <v>#VALUE!</v>
      </c>
    </row>
    <row r="113" ht="15.75" customHeight="1">
      <c r="A113" s="626">
        <v>44108.0</v>
      </c>
      <c r="B113" s="628"/>
      <c r="C113" s="628">
        <f>5000</f>
        <v>5000</v>
      </c>
      <c r="D113" s="637" t="str">
        <f t="shared" si="10"/>
        <v>#VALUE!</v>
      </c>
      <c r="E113" s="628"/>
      <c r="F113" s="628"/>
      <c r="G113" s="681" t="str">
        <f t="shared" si="11"/>
        <v>#VALUE!</v>
      </c>
      <c r="H113" s="628"/>
      <c r="I113" s="628"/>
      <c r="J113" s="679"/>
      <c r="K113" s="628"/>
      <c r="L113" s="628"/>
      <c r="M113" s="680" t="str">
        <f t="shared" si="12"/>
        <v>#VALUE!</v>
      </c>
    </row>
    <row r="114" ht="15.75" customHeight="1">
      <c r="A114" s="626">
        <v>44109.0</v>
      </c>
      <c r="B114" s="628"/>
      <c r="C114" s="628">
        <f>2500+2500+3000</f>
        <v>8000</v>
      </c>
      <c r="D114" s="637" t="str">
        <f t="shared" si="10"/>
        <v>#VALUE!</v>
      </c>
      <c r="E114" s="628"/>
      <c r="F114" s="628"/>
      <c r="G114" s="681" t="str">
        <f t="shared" si="11"/>
        <v>#VALUE!</v>
      </c>
      <c r="H114" s="628"/>
      <c r="I114" s="628">
        <f>10</f>
        <v>10</v>
      </c>
      <c r="J114" s="679">
        <f t="shared" ref="J114:J134" si="13">+J113+H114+I114</f>
        <v>10</v>
      </c>
      <c r="K114" s="628"/>
      <c r="L114" s="628"/>
      <c r="M114" s="680" t="str">
        <f t="shared" si="12"/>
        <v>#VALUE!</v>
      </c>
    </row>
    <row r="115" ht="15.75" customHeight="1">
      <c r="A115" s="626">
        <v>44117.0</v>
      </c>
      <c r="B115" s="628"/>
      <c r="C115" s="628">
        <f>1000+1500+1600</f>
        <v>4100</v>
      </c>
      <c r="D115" s="637" t="str">
        <f t="shared" si="10"/>
        <v>#VALUE!</v>
      </c>
      <c r="E115" s="628"/>
      <c r="F115" s="628"/>
      <c r="G115" s="681" t="str">
        <f t="shared" si="11"/>
        <v>#VALUE!</v>
      </c>
      <c r="H115" s="628"/>
      <c r="I115" s="628"/>
      <c r="J115" s="679">
        <f t="shared" si="13"/>
        <v>10</v>
      </c>
      <c r="K115" s="628"/>
      <c r="L115" s="628"/>
      <c r="M115" s="680" t="str">
        <f t="shared" si="12"/>
        <v>#VALUE!</v>
      </c>
    </row>
    <row r="116" ht="15.75" customHeight="1">
      <c r="A116" s="626">
        <v>44120.0</v>
      </c>
      <c r="B116" s="628"/>
      <c r="C116" s="628" t="s">
        <v>414</v>
      </c>
      <c r="D116" s="637" t="str">
        <f t="shared" si="10"/>
        <v>#VALUE!</v>
      </c>
      <c r="E116" s="628"/>
      <c r="F116" s="628"/>
      <c r="G116" s="681" t="str">
        <f t="shared" si="11"/>
        <v>#VALUE!</v>
      </c>
      <c r="H116" s="628"/>
      <c r="I116" s="628"/>
      <c r="J116" s="679">
        <f t="shared" si="13"/>
        <v>10</v>
      </c>
      <c r="K116" s="628"/>
      <c r="L116" s="628"/>
      <c r="M116" s="680" t="str">
        <f t="shared" si="12"/>
        <v>#VALUE!</v>
      </c>
    </row>
    <row r="117" ht="15.75" customHeight="1">
      <c r="A117" s="626">
        <v>44124.0</v>
      </c>
      <c r="B117" s="628"/>
      <c r="C117" s="628">
        <v>700.0</v>
      </c>
      <c r="D117" s="637" t="str">
        <f t="shared" si="10"/>
        <v>#VALUE!</v>
      </c>
      <c r="E117" s="628"/>
      <c r="F117" s="628"/>
      <c r="G117" s="681" t="str">
        <f t="shared" si="11"/>
        <v>#VALUE!</v>
      </c>
      <c r="H117" s="628"/>
      <c r="I117" s="628"/>
      <c r="J117" s="679">
        <f t="shared" si="13"/>
        <v>10</v>
      </c>
      <c r="K117" s="628"/>
      <c r="L117" s="628"/>
      <c r="M117" s="680" t="str">
        <f t="shared" si="12"/>
        <v>#VALUE!</v>
      </c>
    </row>
    <row r="118" ht="15.75" customHeight="1">
      <c r="A118" s="626">
        <v>44128.0</v>
      </c>
      <c r="B118" s="628"/>
      <c r="C118" s="628" t="s">
        <v>337</v>
      </c>
      <c r="D118" s="637" t="str">
        <f t="shared" si="10"/>
        <v>#VALUE!</v>
      </c>
      <c r="E118" s="628"/>
      <c r="F118" s="628"/>
      <c r="G118" s="681" t="str">
        <f t="shared" si="11"/>
        <v>#VALUE!</v>
      </c>
      <c r="H118" s="628"/>
      <c r="I118" s="628"/>
      <c r="J118" s="679">
        <f t="shared" si="13"/>
        <v>10</v>
      </c>
      <c r="K118" s="628"/>
      <c r="L118" s="628"/>
      <c r="M118" s="680" t="str">
        <f t="shared" si="12"/>
        <v>#VALUE!</v>
      </c>
    </row>
    <row r="119" ht="15.75" customHeight="1">
      <c r="A119" s="626">
        <v>44129.0</v>
      </c>
      <c r="B119" s="628"/>
      <c r="C119" s="628">
        <f>800+16000+2200</f>
        <v>19000</v>
      </c>
      <c r="D119" s="637" t="str">
        <f t="shared" si="10"/>
        <v>#VALUE!</v>
      </c>
      <c r="E119" s="628"/>
      <c r="F119" s="628"/>
      <c r="G119" s="681" t="str">
        <f t="shared" si="11"/>
        <v>#VALUE!</v>
      </c>
      <c r="H119" s="628"/>
      <c r="I119" s="628"/>
      <c r="J119" s="679">
        <f t="shared" si="13"/>
        <v>10</v>
      </c>
      <c r="K119" s="628"/>
      <c r="L119" s="628"/>
      <c r="M119" s="680" t="str">
        <f t="shared" si="12"/>
        <v>#VALUE!</v>
      </c>
    </row>
    <row r="120" ht="15.75" customHeight="1">
      <c r="A120" s="626"/>
      <c r="B120" s="628"/>
      <c r="C120" s="628"/>
      <c r="D120" s="637" t="str">
        <f t="shared" si="10"/>
        <v>#VALUE!</v>
      </c>
      <c r="E120" s="628"/>
      <c r="F120" s="628"/>
      <c r="G120" s="681" t="str">
        <f t="shared" si="11"/>
        <v>#VALUE!</v>
      </c>
      <c r="H120" s="628"/>
      <c r="I120" s="628"/>
      <c r="J120" s="679">
        <f t="shared" si="13"/>
        <v>10</v>
      </c>
      <c r="K120" s="628"/>
      <c r="L120" s="628"/>
      <c r="M120" s="680" t="str">
        <f t="shared" si="12"/>
        <v>#VALUE!</v>
      </c>
    </row>
    <row r="121" ht="15.75" customHeight="1">
      <c r="A121" s="626"/>
      <c r="B121" s="628"/>
      <c r="C121" s="628"/>
      <c r="D121" s="637" t="str">
        <f t="shared" si="10"/>
        <v>#VALUE!</v>
      </c>
      <c r="E121" s="628"/>
      <c r="F121" s="628"/>
      <c r="G121" s="681" t="str">
        <f t="shared" si="11"/>
        <v>#VALUE!</v>
      </c>
      <c r="H121" s="628"/>
      <c r="I121" s="628"/>
      <c r="J121" s="679">
        <f t="shared" si="13"/>
        <v>10</v>
      </c>
      <c r="K121" s="628"/>
      <c r="L121" s="628"/>
      <c r="M121" s="680" t="str">
        <f t="shared" si="12"/>
        <v>#VALUE!</v>
      </c>
    </row>
    <row r="122" ht="15.75" customHeight="1">
      <c r="A122" s="626"/>
      <c r="B122" s="628"/>
      <c r="C122" s="628"/>
      <c r="D122" s="637" t="str">
        <f t="shared" si="10"/>
        <v>#VALUE!</v>
      </c>
      <c r="E122" s="628"/>
      <c r="F122" s="628"/>
      <c r="G122" s="681" t="str">
        <f t="shared" si="11"/>
        <v>#VALUE!</v>
      </c>
      <c r="H122" s="628"/>
      <c r="I122" s="628"/>
      <c r="J122" s="679">
        <f t="shared" si="13"/>
        <v>10</v>
      </c>
      <c r="K122" s="628"/>
      <c r="L122" s="628"/>
      <c r="M122" s="680" t="str">
        <f t="shared" si="12"/>
        <v>#VALUE!</v>
      </c>
    </row>
    <row r="123" ht="15.75" customHeight="1">
      <c r="A123" s="626"/>
      <c r="B123" s="628"/>
      <c r="C123" s="628"/>
      <c r="D123" s="637" t="str">
        <f t="shared" si="10"/>
        <v>#VALUE!</v>
      </c>
      <c r="E123" s="628"/>
      <c r="F123" s="628"/>
      <c r="G123" s="681" t="str">
        <f t="shared" si="11"/>
        <v>#VALUE!</v>
      </c>
      <c r="H123" s="628"/>
      <c r="I123" s="628"/>
      <c r="J123" s="679">
        <f t="shared" si="13"/>
        <v>10</v>
      </c>
      <c r="K123" s="628"/>
      <c r="L123" s="628"/>
      <c r="M123" s="680" t="str">
        <f t="shared" si="12"/>
        <v>#VALUE!</v>
      </c>
    </row>
    <row r="124" ht="15.75" customHeight="1">
      <c r="A124" s="626"/>
      <c r="B124" s="628"/>
      <c r="C124" s="628"/>
      <c r="D124" s="637" t="str">
        <f t="shared" si="10"/>
        <v>#VALUE!</v>
      </c>
      <c r="E124" s="628"/>
      <c r="F124" s="628"/>
      <c r="G124" s="681" t="str">
        <f t="shared" si="11"/>
        <v>#VALUE!</v>
      </c>
      <c r="H124" s="628"/>
      <c r="I124" s="628"/>
      <c r="J124" s="679">
        <f t="shared" si="13"/>
        <v>10</v>
      </c>
      <c r="K124" s="628"/>
      <c r="L124" s="628"/>
      <c r="M124" s="680" t="str">
        <f t="shared" si="12"/>
        <v>#VALUE!</v>
      </c>
    </row>
    <row r="125" ht="15.75" customHeight="1">
      <c r="A125" s="626"/>
      <c r="B125" s="628"/>
      <c r="C125" s="628"/>
      <c r="D125" s="637" t="str">
        <f t="shared" si="10"/>
        <v>#VALUE!</v>
      </c>
      <c r="E125" s="628"/>
      <c r="F125" s="628"/>
      <c r="G125" s="681" t="str">
        <f t="shared" si="11"/>
        <v>#VALUE!</v>
      </c>
      <c r="H125" s="628"/>
      <c r="I125" s="628"/>
      <c r="J125" s="679">
        <f t="shared" si="13"/>
        <v>10</v>
      </c>
      <c r="K125" s="628"/>
      <c r="L125" s="628"/>
      <c r="M125" s="680" t="str">
        <f t="shared" si="12"/>
        <v>#VALUE!</v>
      </c>
    </row>
    <row r="126" ht="15.75" customHeight="1">
      <c r="A126" s="626"/>
      <c r="B126" s="628"/>
      <c r="C126" s="628"/>
      <c r="D126" s="637" t="str">
        <f t="shared" si="10"/>
        <v>#VALUE!</v>
      </c>
      <c r="E126" s="628"/>
      <c r="F126" s="628"/>
      <c r="G126" s="681" t="str">
        <f t="shared" si="11"/>
        <v>#VALUE!</v>
      </c>
      <c r="H126" s="628"/>
      <c r="I126" s="628"/>
      <c r="J126" s="679">
        <f t="shared" si="13"/>
        <v>10</v>
      </c>
      <c r="K126" s="628"/>
      <c r="L126" s="628"/>
      <c r="M126" s="680" t="str">
        <f t="shared" si="12"/>
        <v>#VALUE!</v>
      </c>
    </row>
    <row r="127" ht="15.75" customHeight="1">
      <c r="A127" s="626"/>
      <c r="B127" s="628"/>
      <c r="C127" s="628"/>
      <c r="D127" s="637" t="str">
        <f t="shared" si="10"/>
        <v>#VALUE!</v>
      </c>
      <c r="E127" s="628"/>
      <c r="F127" s="628"/>
      <c r="G127" s="681" t="str">
        <f t="shared" si="11"/>
        <v>#VALUE!</v>
      </c>
      <c r="H127" s="628"/>
      <c r="I127" s="628"/>
      <c r="J127" s="679">
        <f t="shared" si="13"/>
        <v>10</v>
      </c>
      <c r="K127" s="628"/>
      <c r="L127" s="628"/>
      <c r="M127" s="680" t="str">
        <f t="shared" si="12"/>
        <v>#VALUE!</v>
      </c>
    </row>
    <row r="128" ht="15.75" customHeight="1">
      <c r="A128" s="626"/>
      <c r="B128" s="628"/>
      <c r="C128" s="628"/>
      <c r="D128" s="637" t="str">
        <f t="shared" si="10"/>
        <v>#VALUE!</v>
      </c>
      <c r="E128" s="628"/>
      <c r="F128" s="628"/>
      <c r="G128" s="681" t="str">
        <f t="shared" si="11"/>
        <v>#VALUE!</v>
      </c>
      <c r="H128" s="628"/>
      <c r="I128" s="628"/>
      <c r="J128" s="679">
        <f t="shared" si="13"/>
        <v>10</v>
      </c>
      <c r="K128" s="628"/>
      <c r="L128" s="628"/>
      <c r="M128" s="680" t="str">
        <f t="shared" si="12"/>
        <v>#VALUE!</v>
      </c>
    </row>
    <row r="129" ht="15.75" customHeight="1">
      <c r="A129" s="626"/>
      <c r="B129" s="628"/>
      <c r="C129" s="628"/>
      <c r="D129" s="637" t="str">
        <f t="shared" si="10"/>
        <v>#VALUE!</v>
      </c>
      <c r="E129" s="628"/>
      <c r="F129" s="628"/>
      <c r="G129" s="681" t="str">
        <f t="shared" si="11"/>
        <v>#VALUE!</v>
      </c>
      <c r="H129" s="628"/>
      <c r="I129" s="628"/>
      <c r="J129" s="679">
        <f t="shared" si="13"/>
        <v>10</v>
      </c>
      <c r="K129" s="628"/>
      <c r="L129" s="628"/>
      <c r="M129" s="680" t="str">
        <f t="shared" si="12"/>
        <v>#VALUE!</v>
      </c>
    </row>
    <row r="130" ht="15.75" customHeight="1">
      <c r="A130" s="626"/>
      <c r="B130" s="628"/>
      <c r="C130" s="628"/>
      <c r="D130" s="637" t="str">
        <f t="shared" si="10"/>
        <v>#VALUE!</v>
      </c>
      <c r="E130" s="628"/>
      <c r="F130" s="628"/>
      <c r="G130" s="681" t="str">
        <f t="shared" si="11"/>
        <v>#VALUE!</v>
      </c>
      <c r="H130" s="628"/>
      <c r="I130" s="628"/>
      <c r="J130" s="679">
        <f t="shared" si="13"/>
        <v>10</v>
      </c>
      <c r="K130" s="628"/>
      <c r="L130" s="628"/>
      <c r="M130" s="680" t="str">
        <f t="shared" si="12"/>
        <v>#VALUE!</v>
      </c>
    </row>
    <row r="131" ht="15.75" customHeight="1">
      <c r="A131" s="626"/>
      <c r="B131" s="628"/>
      <c r="C131" s="628"/>
      <c r="D131" s="637" t="str">
        <f t="shared" si="10"/>
        <v>#VALUE!</v>
      </c>
      <c r="E131" s="628"/>
      <c r="F131" s="628"/>
      <c r="G131" s="681" t="str">
        <f t="shared" si="11"/>
        <v>#VALUE!</v>
      </c>
      <c r="H131" s="628"/>
      <c r="I131" s="628"/>
      <c r="J131" s="679">
        <f t="shared" si="13"/>
        <v>10</v>
      </c>
      <c r="K131" s="628"/>
      <c r="L131" s="628"/>
      <c r="M131" s="680" t="str">
        <f t="shared" si="12"/>
        <v>#VALUE!</v>
      </c>
    </row>
    <row r="132" ht="15.75" customHeight="1">
      <c r="A132" s="626"/>
      <c r="B132" s="628"/>
      <c r="C132" s="628"/>
      <c r="D132" s="637" t="str">
        <f t="shared" si="10"/>
        <v>#VALUE!</v>
      </c>
      <c r="E132" s="628"/>
      <c r="F132" s="628"/>
      <c r="G132" s="681" t="str">
        <f t="shared" si="11"/>
        <v>#VALUE!</v>
      </c>
      <c r="H132" s="628"/>
      <c r="I132" s="628"/>
      <c r="J132" s="679">
        <f t="shared" si="13"/>
        <v>10</v>
      </c>
      <c r="K132" s="628"/>
      <c r="L132" s="628"/>
      <c r="M132" s="680" t="str">
        <f t="shared" si="12"/>
        <v>#VALUE!</v>
      </c>
    </row>
    <row r="133" ht="15.75" customHeight="1">
      <c r="A133" s="626"/>
      <c r="B133" s="628"/>
      <c r="C133" s="628"/>
      <c r="D133" s="637" t="str">
        <f t="shared" si="10"/>
        <v>#VALUE!</v>
      </c>
      <c r="E133" s="628"/>
      <c r="F133" s="628"/>
      <c r="G133" s="681" t="str">
        <f t="shared" si="11"/>
        <v>#VALUE!</v>
      </c>
      <c r="H133" s="628"/>
      <c r="I133" s="628"/>
      <c r="J133" s="679">
        <f t="shared" si="13"/>
        <v>10</v>
      </c>
      <c r="K133" s="628"/>
      <c r="L133" s="628"/>
      <c r="M133" s="680" t="str">
        <f t="shared" si="12"/>
        <v>#VALUE!</v>
      </c>
    </row>
    <row r="134" ht="15.75" customHeight="1">
      <c r="A134" s="626"/>
      <c r="B134" s="628"/>
      <c r="C134" s="628"/>
      <c r="D134" s="637" t="str">
        <f t="shared" si="10"/>
        <v>#VALUE!</v>
      </c>
      <c r="E134" s="628"/>
      <c r="F134" s="628"/>
      <c r="G134" s="681" t="str">
        <f t="shared" si="11"/>
        <v>#VALUE!</v>
      </c>
      <c r="H134" s="628"/>
      <c r="I134" s="628"/>
      <c r="J134" s="679">
        <f t="shared" si="13"/>
        <v>10</v>
      </c>
      <c r="K134" s="628"/>
      <c r="L134" s="628"/>
      <c r="M134" s="680" t="str">
        <f t="shared" si="12"/>
        <v>#VALUE!</v>
      </c>
    </row>
    <row r="135" ht="15.75" customHeight="1">
      <c r="B135" s="643"/>
      <c r="C135" s="631"/>
      <c r="D135" s="644"/>
      <c r="E135" s="631"/>
      <c r="F135" s="631"/>
      <c r="G135" s="645"/>
      <c r="H135" s="631"/>
      <c r="I135" s="631"/>
      <c r="J135" s="646"/>
      <c r="K135" s="631"/>
      <c r="L135" s="631"/>
      <c r="M135" s="647"/>
    </row>
    <row r="136" ht="15.75" customHeight="1">
      <c r="B136" s="643"/>
      <c r="C136" s="631"/>
      <c r="D136" s="644"/>
      <c r="E136" s="631"/>
      <c r="F136" s="631"/>
      <c r="G136" s="645"/>
      <c r="H136" s="631"/>
      <c r="I136" s="631"/>
      <c r="J136" s="646"/>
      <c r="K136" s="631"/>
      <c r="L136" s="631"/>
      <c r="M136" s="647"/>
    </row>
    <row r="137" ht="15.75" customHeight="1">
      <c r="B137" s="643"/>
      <c r="C137" s="631"/>
      <c r="D137" s="644"/>
      <c r="E137" s="631"/>
      <c r="F137" s="631"/>
      <c r="G137" s="645"/>
      <c r="H137" s="631"/>
      <c r="I137" s="631"/>
      <c r="J137" s="646"/>
      <c r="K137" s="631"/>
      <c r="L137" s="631"/>
      <c r="M137" s="647"/>
    </row>
    <row r="138" ht="15.75" customHeight="1">
      <c r="B138" s="643"/>
      <c r="C138" s="631"/>
      <c r="D138" s="644"/>
      <c r="E138" s="631"/>
      <c r="F138" s="631"/>
      <c r="G138" s="645"/>
      <c r="H138" s="631"/>
      <c r="I138" s="631"/>
      <c r="J138" s="646"/>
      <c r="K138" s="631"/>
      <c r="L138" s="631"/>
      <c r="M138" s="647"/>
    </row>
    <row r="139" ht="15.75" customHeight="1">
      <c r="B139" s="643"/>
      <c r="C139" s="631"/>
      <c r="D139" s="644"/>
      <c r="E139" s="631"/>
      <c r="F139" s="631"/>
      <c r="G139" s="645"/>
      <c r="H139" s="631"/>
      <c r="I139" s="631"/>
      <c r="J139" s="646"/>
      <c r="K139" s="631"/>
      <c r="L139" s="631"/>
      <c r="M139" s="647"/>
    </row>
    <row r="140" ht="15.75" customHeight="1">
      <c r="B140" s="643"/>
      <c r="C140" s="631"/>
      <c r="D140" s="644"/>
      <c r="E140" s="631"/>
      <c r="F140" s="631"/>
      <c r="G140" s="645"/>
      <c r="H140" s="631"/>
      <c r="I140" s="631"/>
      <c r="J140" s="646"/>
      <c r="K140" s="631"/>
      <c r="L140" s="631"/>
      <c r="M140" s="647"/>
    </row>
    <row r="141" ht="15.75" customHeight="1">
      <c r="B141" s="643"/>
      <c r="C141" s="631"/>
      <c r="D141" s="644"/>
      <c r="E141" s="631"/>
      <c r="F141" s="631"/>
      <c r="G141" s="645"/>
      <c r="H141" s="631"/>
      <c r="I141" s="631"/>
      <c r="J141" s="646"/>
      <c r="K141" s="631"/>
      <c r="L141" s="631"/>
      <c r="M141" s="647"/>
    </row>
    <row r="142" ht="15.75" customHeight="1">
      <c r="B142" s="643"/>
      <c r="C142" s="631"/>
      <c r="D142" s="644"/>
      <c r="E142" s="631"/>
      <c r="F142" s="631"/>
      <c r="G142" s="645"/>
      <c r="H142" s="631"/>
      <c r="I142" s="631"/>
      <c r="J142" s="646"/>
      <c r="K142" s="631"/>
      <c r="L142" s="631"/>
      <c r="M142" s="647"/>
    </row>
    <row r="143" ht="15.75" customHeight="1">
      <c r="B143" s="643"/>
      <c r="C143" s="631"/>
      <c r="D143" s="644"/>
      <c r="E143" s="631"/>
      <c r="F143" s="631"/>
      <c r="G143" s="645"/>
      <c r="H143" s="631"/>
      <c r="I143" s="631"/>
      <c r="J143" s="646"/>
      <c r="K143" s="631"/>
      <c r="L143" s="631"/>
      <c r="M143" s="647"/>
    </row>
    <row r="144" ht="15.75" customHeight="1">
      <c r="B144" s="643"/>
      <c r="C144" s="631"/>
      <c r="D144" s="644"/>
      <c r="E144" s="631"/>
      <c r="F144" s="631"/>
      <c r="G144" s="645"/>
      <c r="H144" s="631"/>
      <c r="I144" s="631"/>
      <c r="J144" s="646"/>
      <c r="K144" s="631"/>
      <c r="L144" s="631"/>
      <c r="M144" s="647"/>
    </row>
    <row r="145" ht="15.75" customHeight="1">
      <c r="B145" s="643"/>
      <c r="C145" s="631"/>
      <c r="D145" s="644"/>
      <c r="E145" s="631"/>
      <c r="F145" s="631"/>
      <c r="G145" s="645"/>
      <c r="H145" s="631"/>
      <c r="I145" s="631"/>
      <c r="J145" s="646"/>
      <c r="K145" s="631"/>
      <c r="L145" s="631"/>
      <c r="M145" s="647"/>
    </row>
    <row r="146" ht="15.75" customHeight="1">
      <c r="B146" s="643"/>
      <c r="C146" s="631"/>
      <c r="D146" s="644"/>
      <c r="E146" s="631"/>
      <c r="F146" s="631"/>
      <c r="G146" s="645"/>
      <c r="H146" s="631"/>
      <c r="I146" s="631"/>
      <c r="J146" s="646"/>
      <c r="K146" s="631"/>
      <c r="L146" s="631"/>
      <c r="M146" s="647"/>
    </row>
    <row r="147" ht="15.75" customHeight="1">
      <c r="B147" s="643"/>
      <c r="C147" s="631"/>
      <c r="D147" s="644"/>
      <c r="E147" s="631"/>
      <c r="F147" s="631"/>
      <c r="G147" s="645"/>
      <c r="H147" s="631"/>
      <c r="I147" s="631"/>
      <c r="J147" s="646"/>
      <c r="K147" s="631"/>
      <c r="L147" s="631"/>
      <c r="M147" s="647"/>
    </row>
    <row r="148" ht="15.75" customHeight="1">
      <c r="B148" s="643"/>
      <c r="C148" s="631"/>
      <c r="D148" s="644"/>
      <c r="E148" s="631"/>
      <c r="F148" s="631"/>
      <c r="G148" s="645"/>
      <c r="H148" s="631"/>
      <c r="I148" s="631"/>
      <c r="J148" s="646"/>
      <c r="K148" s="631"/>
      <c r="L148" s="631"/>
      <c r="M148" s="647"/>
    </row>
    <row r="149" ht="15.75" customHeight="1">
      <c r="B149" s="643"/>
      <c r="C149" s="631"/>
      <c r="D149" s="644"/>
      <c r="E149" s="631"/>
      <c r="F149" s="631"/>
      <c r="G149" s="645"/>
      <c r="H149" s="631"/>
      <c r="I149" s="631"/>
      <c r="J149" s="646"/>
      <c r="K149" s="631"/>
      <c r="L149" s="631"/>
      <c r="M149" s="647"/>
    </row>
    <row r="150" ht="15.75" customHeight="1">
      <c r="B150" s="643"/>
      <c r="C150" s="631"/>
      <c r="D150" s="644"/>
      <c r="E150" s="631"/>
      <c r="F150" s="631"/>
      <c r="G150" s="645"/>
      <c r="H150" s="631"/>
      <c r="I150" s="631"/>
      <c r="J150" s="646"/>
      <c r="K150" s="631"/>
      <c r="L150" s="631"/>
      <c r="M150" s="647"/>
    </row>
    <row r="151" ht="15.75" customHeight="1">
      <c r="B151" s="643"/>
      <c r="C151" s="631"/>
      <c r="D151" s="644"/>
      <c r="E151" s="631"/>
      <c r="F151" s="631"/>
      <c r="G151" s="645"/>
      <c r="H151" s="631"/>
      <c r="I151" s="631"/>
      <c r="J151" s="646"/>
      <c r="K151" s="631"/>
      <c r="L151" s="631"/>
      <c r="M151" s="647"/>
    </row>
    <row r="152" ht="15.75" customHeight="1">
      <c r="B152" s="643"/>
      <c r="C152" s="631"/>
      <c r="D152" s="644"/>
      <c r="E152" s="631"/>
      <c r="F152" s="631"/>
      <c r="G152" s="645"/>
      <c r="H152" s="631"/>
      <c r="I152" s="631"/>
      <c r="J152" s="646"/>
      <c r="K152" s="631"/>
      <c r="L152" s="631"/>
      <c r="M152" s="647"/>
    </row>
    <row r="153" ht="15.75" customHeight="1">
      <c r="B153" s="643"/>
      <c r="C153" s="631"/>
      <c r="D153" s="644"/>
      <c r="E153" s="631"/>
      <c r="F153" s="631"/>
      <c r="G153" s="645"/>
      <c r="H153" s="631"/>
      <c r="I153" s="631"/>
      <c r="J153" s="646"/>
      <c r="K153" s="631"/>
      <c r="L153" s="631"/>
      <c r="M153" s="647"/>
    </row>
    <row r="154" ht="15.75" customHeight="1">
      <c r="B154" s="643"/>
      <c r="C154" s="631"/>
      <c r="D154" s="644"/>
      <c r="E154" s="631"/>
      <c r="F154" s="631"/>
      <c r="G154" s="645"/>
      <c r="H154" s="631"/>
      <c r="I154" s="631"/>
      <c r="J154" s="646"/>
      <c r="K154" s="631"/>
      <c r="L154" s="631"/>
      <c r="M154" s="647"/>
    </row>
    <row r="155" ht="15.75" customHeight="1">
      <c r="B155" s="643"/>
      <c r="C155" s="631"/>
      <c r="D155" s="644"/>
      <c r="E155" s="631"/>
      <c r="F155" s="631"/>
      <c r="G155" s="645"/>
      <c r="H155" s="631"/>
      <c r="I155" s="631"/>
      <c r="J155" s="646"/>
      <c r="K155" s="631"/>
      <c r="L155" s="631"/>
      <c r="M155" s="647"/>
    </row>
    <row r="156" ht="15.75" customHeight="1">
      <c r="B156" s="643"/>
      <c r="C156" s="631"/>
      <c r="D156" s="644"/>
      <c r="E156" s="631"/>
      <c r="F156" s="631"/>
      <c r="G156" s="645"/>
      <c r="H156" s="631"/>
      <c r="I156" s="631"/>
      <c r="J156" s="646"/>
      <c r="K156" s="631"/>
      <c r="L156" s="631"/>
      <c r="M156" s="647"/>
    </row>
    <row r="157" ht="15.75" customHeight="1">
      <c r="B157" s="643"/>
      <c r="C157" s="631"/>
      <c r="D157" s="644"/>
      <c r="E157" s="631"/>
      <c r="F157" s="631"/>
      <c r="G157" s="645"/>
      <c r="H157" s="631"/>
      <c r="I157" s="631"/>
      <c r="J157" s="646"/>
      <c r="K157" s="631"/>
      <c r="L157" s="631"/>
      <c r="M157" s="647"/>
    </row>
    <row r="158" ht="15.75" customHeight="1">
      <c r="B158" s="643"/>
      <c r="C158" s="631"/>
      <c r="D158" s="644"/>
      <c r="E158" s="631"/>
      <c r="F158" s="631"/>
      <c r="G158" s="645"/>
      <c r="H158" s="631"/>
      <c r="I158" s="631"/>
      <c r="J158" s="646"/>
      <c r="K158" s="631"/>
      <c r="L158" s="631"/>
      <c r="M158" s="647"/>
    </row>
    <row r="159" ht="15.75" customHeight="1">
      <c r="B159" s="643"/>
      <c r="C159" s="631"/>
      <c r="D159" s="644"/>
      <c r="E159" s="631"/>
      <c r="F159" s="631"/>
      <c r="G159" s="645"/>
      <c r="H159" s="631"/>
      <c r="I159" s="631"/>
      <c r="J159" s="646"/>
      <c r="K159" s="631"/>
      <c r="L159" s="631"/>
      <c r="M159" s="647"/>
    </row>
    <row r="160" ht="15.75" customHeight="1">
      <c r="B160" s="643"/>
      <c r="C160" s="631"/>
      <c r="D160" s="644"/>
      <c r="E160" s="631"/>
      <c r="F160" s="631"/>
      <c r="G160" s="645"/>
      <c r="H160" s="631"/>
      <c r="I160" s="631"/>
      <c r="J160" s="646"/>
      <c r="K160" s="631"/>
      <c r="L160" s="631"/>
      <c r="M160" s="647"/>
    </row>
    <row r="161" ht="15.75" customHeight="1">
      <c r="B161" s="643"/>
      <c r="C161" s="631"/>
      <c r="D161" s="644"/>
      <c r="E161" s="631"/>
      <c r="F161" s="631"/>
      <c r="G161" s="645"/>
      <c r="H161" s="631"/>
      <c r="I161" s="631"/>
      <c r="J161" s="646"/>
      <c r="K161" s="631"/>
      <c r="L161" s="631"/>
      <c r="M161" s="647"/>
    </row>
    <row r="162" ht="15.75" customHeight="1">
      <c r="B162" s="643"/>
      <c r="C162" s="631"/>
      <c r="D162" s="644"/>
      <c r="E162" s="631"/>
      <c r="F162" s="631"/>
      <c r="G162" s="645"/>
      <c r="H162" s="631"/>
      <c r="I162" s="631"/>
      <c r="J162" s="646"/>
      <c r="K162" s="631"/>
      <c r="L162" s="631"/>
      <c r="M162" s="647"/>
    </row>
    <row r="163" ht="15.75" customHeight="1">
      <c r="B163" s="643"/>
      <c r="C163" s="631"/>
      <c r="D163" s="644"/>
      <c r="E163" s="631"/>
      <c r="F163" s="631"/>
      <c r="G163" s="645"/>
      <c r="H163" s="631"/>
      <c r="I163" s="631"/>
      <c r="J163" s="646"/>
      <c r="K163" s="631"/>
      <c r="L163" s="631"/>
      <c r="M163" s="647"/>
    </row>
    <row r="164" ht="15.75" customHeight="1">
      <c r="B164" s="643"/>
      <c r="C164" s="631"/>
      <c r="D164" s="644"/>
      <c r="E164" s="631"/>
      <c r="F164" s="631"/>
      <c r="G164" s="645"/>
      <c r="H164" s="631"/>
      <c r="I164" s="631"/>
      <c r="J164" s="646"/>
      <c r="K164" s="631"/>
      <c r="L164" s="631"/>
      <c r="M164" s="647"/>
    </row>
    <row r="165" ht="15.75" customHeight="1">
      <c r="B165" s="643"/>
      <c r="C165" s="631"/>
      <c r="D165" s="644"/>
      <c r="E165" s="631"/>
      <c r="F165" s="631"/>
      <c r="G165" s="645"/>
      <c r="H165" s="631"/>
      <c r="I165" s="631"/>
      <c r="J165" s="646"/>
      <c r="K165" s="631"/>
      <c r="L165" s="631"/>
      <c r="M165" s="647"/>
    </row>
    <row r="166" ht="15.75" customHeight="1">
      <c r="B166" s="643"/>
      <c r="C166" s="631"/>
      <c r="D166" s="644"/>
      <c r="E166" s="631"/>
      <c r="F166" s="631"/>
      <c r="G166" s="645"/>
      <c r="H166" s="631"/>
      <c r="I166" s="631"/>
      <c r="J166" s="646"/>
      <c r="K166" s="631"/>
      <c r="L166" s="631"/>
      <c r="M166" s="647"/>
    </row>
    <row r="167" ht="15.75" customHeight="1">
      <c r="B167" s="643"/>
      <c r="C167" s="631"/>
      <c r="D167" s="644"/>
      <c r="E167" s="631"/>
      <c r="F167" s="631"/>
      <c r="G167" s="645"/>
      <c r="H167" s="631"/>
      <c r="I167" s="631"/>
      <c r="J167" s="646"/>
      <c r="K167" s="631"/>
      <c r="L167" s="631"/>
      <c r="M167" s="647"/>
    </row>
    <row r="168" ht="15.75" customHeight="1">
      <c r="B168" s="643"/>
      <c r="C168" s="631"/>
      <c r="D168" s="644"/>
      <c r="E168" s="631"/>
      <c r="F168" s="631"/>
      <c r="G168" s="645"/>
      <c r="H168" s="631"/>
      <c r="I168" s="631"/>
      <c r="J168" s="646"/>
      <c r="K168" s="631"/>
      <c r="L168" s="631"/>
      <c r="M168" s="647"/>
    </row>
    <row r="169" ht="15.75" customHeight="1">
      <c r="B169" s="643"/>
      <c r="C169" s="631"/>
      <c r="D169" s="644"/>
      <c r="E169" s="631"/>
      <c r="F169" s="631"/>
      <c r="G169" s="645"/>
      <c r="H169" s="631"/>
      <c r="I169" s="631"/>
      <c r="J169" s="646"/>
      <c r="K169" s="631"/>
      <c r="L169" s="631"/>
      <c r="M169" s="647"/>
    </row>
    <row r="170" ht="15.75" customHeight="1">
      <c r="B170" s="643"/>
      <c r="C170" s="631"/>
      <c r="D170" s="644"/>
      <c r="E170" s="631"/>
      <c r="F170" s="631"/>
      <c r="G170" s="645"/>
      <c r="H170" s="631"/>
      <c r="I170" s="631"/>
      <c r="J170" s="646"/>
      <c r="K170" s="631"/>
      <c r="L170" s="631"/>
      <c r="M170" s="647"/>
    </row>
    <row r="171" ht="15.75" customHeight="1">
      <c r="B171" s="643"/>
      <c r="C171" s="631"/>
      <c r="D171" s="644"/>
      <c r="E171" s="631"/>
      <c r="F171" s="631"/>
      <c r="G171" s="645"/>
      <c r="H171" s="631"/>
      <c r="I171" s="631"/>
      <c r="J171" s="646"/>
      <c r="K171" s="631"/>
      <c r="L171" s="631"/>
      <c r="M171" s="647"/>
    </row>
    <row r="172" ht="15.75" customHeight="1">
      <c r="B172" s="643"/>
      <c r="C172" s="631"/>
      <c r="D172" s="644"/>
      <c r="E172" s="631"/>
      <c r="F172" s="631"/>
      <c r="G172" s="645"/>
      <c r="H172" s="631"/>
      <c r="I172" s="631"/>
      <c r="J172" s="646"/>
      <c r="K172" s="631"/>
      <c r="L172" s="631"/>
      <c r="M172" s="647"/>
    </row>
    <row r="173" ht="15.75" customHeight="1">
      <c r="B173" s="643"/>
      <c r="C173" s="631"/>
      <c r="D173" s="644"/>
      <c r="E173" s="631"/>
      <c r="F173" s="631"/>
      <c r="G173" s="645"/>
      <c r="H173" s="631"/>
      <c r="I173" s="631"/>
      <c r="J173" s="646"/>
      <c r="K173" s="631"/>
      <c r="L173" s="631"/>
      <c r="M173" s="647"/>
    </row>
    <row r="174" ht="15.75" customHeight="1">
      <c r="B174" s="643"/>
      <c r="C174" s="631"/>
      <c r="D174" s="644"/>
      <c r="E174" s="631"/>
      <c r="F174" s="631"/>
      <c r="G174" s="645"/>
      <c r="H174" s="631"/>
      <c r="I174" s="631"/>
      <c r="J174" s="646"/>
      <c r="K174" s="631"/>
      <c r="L174" s="631"/>
      <c r="M174" s="647"/>
    </row>
    <row r="175" ht="15.75" customHeight="1">
      <c r="B175" s="643"/>
      <c r="C175" s="631"/>
      <c r="D175" s="644"/>
      <c r="E175" s="631"/>
      <c r="F175" s="631"/>
      <c r="G175" s="645"/>
      <c r="H175" s="631"/>
      <c r="I175" s="631"/>
      <c r="J175" s="646"/>
      <c r="K175" s="631"/>
      <c r="L175" s="631"/>
      <c r="M175" s="647"/>
    </row>
    <row r="176" ht="15.75" customHeight="1">
      <c r="B176" s="643"/>
      <c r="C176" s="631"/>
      <c r="D176" s="644"/>
      <c r="E176" s="631"/>
      <c r="F176" s="631"/>
      <c r="G176" s="645"/>
      <c r="H176" s="631"/>
      <c r="I176" s="631"/>
      <c r="J176" s="646"/>
      <c r="K176" s="631"/>
      <c r="L176" s="631"/>
      <c r="M176" s="647"/>
    </row>
    <row r="177" ht="15.75" customHeight="1">
      <c r="B177" s="643"/>
      <c r="C177" s="631"/>
      <c r="D177" s="644"/>
      <c r="E177" s="631"/>
      <c r="F177" s="631"/>
      <c r="G177" s="645"/>
      <c r="H177" s="631"/>
      <c r="I177" s="631"/>
      <c r="J177" s="646"/>
      <c r="K177" s="631"/>
      <c r="L177" s="631"/>
      <c r="M177" s="647"/>
    </row>
    <row r="178" ht="15.75" customHeight="1">
      <c r="B178" s="643"/>
      <c r="C178" s="631"/>
      <c r="D178" s="644"/>
      <c r="E178" s="631"/>
      <c r="F178" s="631"/>
      <c r="G178" s="645"/>
      <c r="H178" s="631"/>
      <c r="I178" s="631"/>
      <c r="J178" s="646"/>
      <c r="K178" s="631"/>
      <c r="L178" s="631"/>
      <c r="M178" s="647"/>
    </row>
    <row r="179" ht="15.75" customHeight="1">
      <c r="B179" s="643"/>
      <c r="C179" s="631"/>
      <c r="D179" s="644"/>
      <c r="E179" s="631"/>
      <c r="F179" s="631"/>
      <c r="G179" s="645"/>
      <c r="H179" s="631"/>
      <c r="I179" s="631"/>
      <c r="J179" s="646"/>
      <c r="K179" s="631"/>
      <c r="L179" s="631"/>
      <c r="M179" s="647"/>
    </row>
    <row r="180" ht="15.75" customHeight="1">
      <c r="B180" s="643"/>
      <c r="C180" s="631"/>
      <c r="D180" s="644"/>
      <c r="E180" s="631"/>
      <c r="F180" s="631"/>
      <c r="G180" s="645"/>
      <c r="H180" s="631"/>
      <c r="I180" s="631"/>
      <c r="J180" s="646"/>
      <c r="K180" s="631"/>
      <c r="L180" s="631"/>
      <c r="M180" s="647"/>
    </row>
    <row r="181" ht="15.75" customHeight="1">
      <c r="B181" s="643"/>
      <c r="C181" s="631"/>
      <c r="D181" s="644"/>
      <c r="E181" s="631"/>
      <c r="F181" s="631"/>
      <c r="G181" s="645"/>
      <c r="H181" s="631"/>
      <c r="I181" s="631"/>
      <c r="J181" s="646"/>
      <c r="K181" s="631"/>
      <c r="L181" s="631"/>
      <c r="M181" s="647"/>
    </row>
    <row r="182" ht="15.75" customHeight="1">
      <c r="B182" s="643"/>
      <c r="C182" s="631"/>
      <c r="D182" s="644"/>
      <c r="E182" s="631"/>
      <c r="F182" s="631"/>
      <c r="G182" s="645"/>
      <c r="H182" s="631"/>
      <c r="I182" s="631"/>
      <c r="J182" s="646"/>
      <c r="K182" s="631"/>
      <c r="L182" s="631"/>
      <c r="M182" s="647"/>
    </row>
    <row r="183" ht="15.75" customHeight="1">
      <c r="B183" s="643"/>
      <c r="C183" s="631"/>
      <c r="D183" s="644"/>
      <c r="E183" s="631"/>
      <c r="F183" s="631"/>
      <c r="G183" s="645"/>
      <c r="H183" s="631"/>
      <c r="I183" s="631"/>
      <c r="J183" s="646"/>
      <c r="K183" s="631"/>
      <c r="L183" s="631"/>
      <c r="M183" s="647"/>
    </row>
    <row r="184" ht="15.75" customHeight="1">
      <c r="B184" s="643"/>
      <c r="C184" s="631"/>
      <c r="D184" s="644"/>
      <c r="E184" s="631"/>
      <c r="F184" s="631"/>
      <c r="G184" s="645"/>
      <c r="H184" s="631"/>
      <c r="I184" s="631"/>
      <c r="J184" s="646"/>
      <c r="K184" s="631"/>
      <c r="L184" s="631"/>
      <c r="M184" s="647"/>
    </row>
    <row r="185" ht="15.75" customHeight="1">
      <c r="B185" s="643"/>
      <c r="C185" s="631"/>
      <c r="D185" s="644"/>
      <c r="E185" s="631"/>
      <c r="F185" s="631"/>
      <c r="G185" s="645"/>
      <c r="H185" s="631"/>
      <c r="I185" s="631"/>
      <c r="J185" s="646"/>
      <c r="K185" s="631"/>
      <c r="L185" s="631"/>
      <c r="M185" s="647"/>
    </row>
    <row r="186" ht="15.75" customHeight="1">
      <c r="B186" s="643"/>
      <c r="C186" s="631"/>
      <c r="D186" s="644"/>
      <c r="E186" s="631"/>
      <c r="F186" s="631"/>
      <c r="G186" s="645"/>
      <c r="H186" s="631"/>
      <c r="I186" s="631"/>
      <c r="J186" s="646"/>
      <c r="K186" s="631"/>
      <c r="L186" s="631"/>
      <c r="M186" s="647"/>
    </row>
    <row r="187" ht="15.75" customHeight="1">
      <c r="B187" s="643"/>
      <c r="C187" s="631"/>
      <c r="D187" s="644"/>
      <c r="E187" s="631"/>
      <c r="F187" s="631"/>
      <c r="G187" s="645"/>
      <c r="H187" s="631"/>
      <c r="I187" s="631"/>
      <c r="J187" s="646"/>
      <c r="K187" s="631"/>
      <c r="L187" s="631"/>
      <c r="M187" s="647"/>
    </row>
    <row r="188" ht="15.75" customHeight="1">
      <c r="B188" s="643"/>
      <c r="C188" s="631"/>
      <c r="D188" s="644"/>
      <c r="E188" s="631"/>
      <c r="F188" s="631"/>
      <c r="G188" s="645"/>
      <c r="H188" s="631"/>
      <c r="I188" s="631"/>
      <c r="J188" s="646"/>
      <c r="K188" s="631"/>
      <c r="L188" s="631"/>
      <c r="M188" s="647"/>
    </row>
    <row r="189" ht="15.75" customHeight="1">
      <c r="B189" s="643"/>
      <c r="C189" s="631"/>
      <c r="D189" s="644"/>
      <c r="E189" s="631"/>
      <c r="F189" s="631"/>
      <c r="G189" s="645"/>
      <c r="H189" s="631"/>
      <c r="I189" s="631"/>
      <c r="J189" s="646"/>
      <c r="K189" s="631"/>
      <c r="L189" s="631"/>
      <c r="M189" s="647"/>
    </row>
    <row r="190" ht="15.75" customHeight="1">
      <c r="B190" s="643"/>
      <c r="C190" s="631"/>
      <c r="D190" s="644"/>
      <c r="E190" s="631"/>
      <c r="F190" s="631"/>
      <c r="G190" s="645"/>
      <c r="H190" s="631"/>
      <c r="I190" s="631"/>
      <c r="J190" s="646"/>
      <c r="K190" s="631"/>
      <c r="L190" s="631"/>
      <c r="M190" s="647"/>
    </row>
    <row r="191" ht="15.75" customHeight="1">
      <c r="B191" s="643"/>
      <c r="C191" s="631"/>
      <c r="D191" s="644"/>
      <c r="E191" s="631"/>
      <c r="F191" s="631"/>
      <c r="G191" s="645"/>
      <c r="H191" s="631"/>
      <c r="I191" s="631"/>
      <c r="J191" s="646"/>
      <c r="K191" s="631"/>
      <c r="L191" s="631"/>
      <c r="M191" s="647"/>
    </row>
    <row r="192" ht="15.75" customHeight="1">
      <c r="B192" s="643"/>
      <c r="C192" s="631"/>
      <c r="D192" s="644"/>
      <c r="E192" s="631"/>
      <c r="F192" s="631"/>
      <c r="G192" s="645"/>
      <c r="H192" s="631"/>
      <c r="I192" s="631"/>
      <c r="J192" s="646"/>
      <c r="K192" s="631"/>
      <c r="L192" s="631"/>
      <c r="M192" s="647"/>
    </row>
    <row r="193" ht="15.75" customHeight="1">
      <c r="B193" s="643"/>
      <c r="C193" s="631"/>
      <c r="D193" s="644"/>
      <c r="E193" s="631"/>
      <c r="F193" s="631"/>
      <c r="G193" s="645"/>
      <c r="H193" s="631"/>
      <c r="I193" s="631"/>
      <c r="J193" s="646"/>
      <c r="K193" s="631"/>
      <c r="L193" s="631"/>
      <c r="M193" s="647"/>
    </row>
    <row r="194" ht="15.75" customHeight="1">
      <c r="B194" s="643"/>
      <c r="C194" s="631"/>
      <c r="D194" s="644"/>
      <c r="E194" s="631"/>
      <c r="F194" s="631"/>
      <c r="G194" s="645"/>
      <c r="H194" s="631"/>
      <c r="I194" s="631"/>
      <c r="J194" s="646"/>
      <c r="K194" s="631"/>
      <c r="L194" s="631"/>
      <c r="M194" s="647"/>
    </row>
    <row r="195" ht="15.75" customHeight="1">
      <c r="B195" s="643"/>
      <c r="C195" s="631"/>
      <c r="D195" s="644"/>
      <c r="E195" s="631"/>
      <c r="F195" s="631"/>
      <c r="G195" s="645"/>
      <c r="H195" s="631"/>
      <c r="I195" s="631"/>
      <c r="J195" s="646"/>
      <c r="K195" s="631"/>
      <c r="L195" s="631"/>
      <c r="M195" s="647"/>
    </row>
    <row r="196" ht="15.75" customHeight="1">
      <c r="B196" s="643"/>
      <c r="C196" s="631"/>
      <c r="D196" s="644"/>
      <c r="E196" s="631"/>
      <c r="F196" s="631"/>
      <c r="G196" s="645"/>
      <c r="H196" s="631"/>
      <c r="I196" s="631"/>
      <c r="J196" s="646"/>
      <c r="K196" s="631"/>
      <c r="L196" s="631"/>
      <c r="M196" s="647"/>
    </row>
    <row r="197" ht="15.75" customHeight="1">
      <c r="B197" s="643"/>
      <c r="C197" s="631"/>
      <c r="D197" s="644"/>
      <c r="E197" s="631"/>
      <c r="F197" s="631"/>
      <c r="G197" s="645"/>
      <c r="H197" s="631"/>
      <c r="I197" s="631"/>
      <c r="J197" s="646"/>
      <c r="K197" s="631"/>
      <c r="L197" s="631"/>
      <c r="M197" s="647"/>
    </row>
    <row r="198" ht="15.75" customHeight="1">
      <c r="B198" s="643"/>
      <c r="C198" s="631"/>
      <c r="D198" s="644"/>
      <c r="E198" s="631"/>
      <c r="F198" s="631"/>
      <c r="G198" s="645"/>
      <c r="H198" s="631"/>
      <c r="I198" s="631"/>
      <c r="J198" s="646"/>
      <c r="K198" s="631"/>
      <c r="L198" s="631"/>
      <c r="M198" s="647"/>
    </row>
    <row r="199" ht="15.75" customHeight="1">
      <c r="B199" s="643"/>
      <c r="C199" s="631"/>
      <c r="D199" s="644"/>
      <c r="E199" s="631"/>
      <c r="F199" s="631"/>
      <c r="G199" s="645"/>
      <c r="H199" s="631"/>
      <c r="I199" s="631"/>
      <c r="J199" s="646"/>
      <c r="K199" s="631"/>
      <c r="L199" s="631"/>
      <c r="M199" s="647"/>
    </row>
    <row r="200" ht="15.75" customHeight="1">
      <c r="B200" s="643"/>
      <c r="C200" s="631"/>
      <c r="D200" s="644"/>
      <c r="E200" s="631"/>
      <c r="F200" s="631"/>
      <c r="G200" s="645"/>
      <c r="H200" s="631"/>
      <c r="I200" s="631"/>
      <c r="J200" s="646"/>
      <c r="K200" s="631"/>
      <c r="L200" s="631"/>
      <c r="M200" s="647"/>
    </row>
    <row r="201" ht="15.75" customHeight="1">
      <c r="B201" s="643"/>
      <c r="C201" s="631"/>
      <c r="D201" s="644"/>
      <c r="E201" s="631"/>
      <c r="F201" s="631"/>
      <c r="G201" s="645"/>
      <c r="H201" s="631"/>
      <c r="I201" s="631"/>
      <c r="J201" s="646"/>
      <c r="K201" s="631"/>
      <c r="L201" s="631"/>
      <c r="M201" s="647"/>
    </row>
    <row r="202" ht="15.75" customHeight="1">
      <c r="B202" s="643"/>
      <c r="C202" s="631"/>
      <c r="D202" s="644"/>
      <c r="E202" s="631"/>
      <c r="F202" s="631"/>
      <c r="G202" s="645"/>
      <c r="H202" s="631"/>
      <c r="I202" s="631"/>
      <c r="J202" s="646"/>
      <c r="K202" s="631"/>
      <c r="L202" s="631"/>
      <c r="M202" s="647"/>
    </row>
    <row r="203" ht="15.75" customHeight="1">
      <c r="B203" s="643"/>
      <c r="C203" s="631"/>
      <c r="D203" s="644"/>
      <c r="E203" s="631"/>
      <c r="F203" s="631"/>
      <c r="G203" s="645"/>
      <c r="H203" s="631"/>
      <c r="I203" s="631"/>
      <c r="J203" s="646"/>
      <c r="K203" s="631"/>
      <c r="L203" s="631"/>
      <c r="M203" s="647"/>
    </row>
    <row r="204" ht="15.75" customHeight="1">
      <c r="B204" s="643"/>
      <c r="C204" s="631"/>
      <c r="D204" s="644"/>
      <c r="E204" s="631"/>
      <c r="F204" s="631"/>
      <c r="G204" s="645"/>
      <c r="H204" s="631"/>
      <c r="I204" s="631"/>
      <c r="J204" s="646"/>
      <c r="K204" s="631"/>
      <c r="L204" s="631"/>
      <c r="M204" s="647"/>
    </row>
    <row r="205" ht="15.75" customHeight="1">
      <c r="B205" s="643"/>
      <c r="C205" s="631"/>
      <c r="D205" s="644"/>
      <c r="E205" s="631"/>
      <c r="F205" s="631"/>
      <c r="G205" s="645"/>
      <c r="H205" s="631"/>
      <c r="I205" s="631"/>
      <c r="J205" s="646"/>
      <c r="K205" s="631"/>
      <c r="L205" s="631"/>
      <c r="M205" s="647"/>
    </row>
    <row r="206" ht="15.75" customHeight="1">
      <c r="B206" s="643"/>
      <c r="C206" s="631"/>
      <c r="D206" s="644"/>
      <c r="E206" s="631"/>
      <c r="F206" s="631"/>
      <c r="G206" s="645"/>
      <c r="H206" s="631"/>
      <c r="I206" s="631"/>
      <c r="J206" s="646"/>
      <c r="K206" s="631"/>
      <c r="L206" s="631"/>
      <c r="M206" s="647"/>
    </row>
    <row r="207" ht="15.75" customHeight="1">
      <c r="B207" s="643"/>
      <c r="C207" s="631"/>
      <c r="D207" s="644"/>
      <c r="E207" s="631"/>
      <c r="F207" s="631"/>
      <c r="G207" s="645"/>
      <c r="H207" s="631"/>
      <c r="I207" s="631"/>
      <c r="J207" s="646"/>
      <c r="K207" s="631"/>
      <c r="L207" s="631"/>
      <c r="M207" s="647"/>
    </row>
    <row r="208" ht="15.75" customHeight="1">
      <c r="B208" s="643"/>
      <c r="C208" s="631"/>
      <c r="D208" s="644"/>
      <c r="E208" s="631"/>
      <c r="F208" s="631"/>
      <c r="G208" s="645"/>
      <c r="H208" s="631"/>
      <c r="I208" s="631"/>
      <c r="J208" s="646"/>
      <c r="K208" s="631"/>
      <c r="L208" s="631"/>
      <c r="M208" s="647"/>
    </row>
    <row r="209" ht="15.75" customHeight="1">
      <c r="B209" s="643"/>
      <c r="C209" s="631"/>
      <c r="D209" s="644"/>
      <c r="E209" s="631"/>
      <c r="F209" s="631"/>
      <c r="G209" s="645"/>
      <c r="H209" s="631"/>
      <c r="I209" s="631"/>
      <c r="J209" s="646"/>
      <c r="K209" s="631"/>
      <c r="L209" s="631"/>
      <c r="M209" s="647"/>
    </row>
    <row r="210" ht="15.75" customHeight="1">
      <c r="B210" s="643"/>
      <c r="C210" s="631"/>
      <c r="D210" s="644"/>
      <c r="E210" s="631"/>
      <c r="F210" s="631"/>
      <c r="G210" s="645"/>
      <c r="H210" s="631"/>
      <c r="I210" s="631"/>
      <c r="J210" s="646"/>
      <c r="K210" s="631"/>
      <c r="L210" s="631"/>
      <c r="M210" s="647"/>
    </row>
    <row r="211" ht="15.75" customHeight="1">
      <c r="B211" s="643"/>
      <c r="C211" s="631"/>
      <c r="D211" s="644"/>
      <c r="E211" s="631"/>
      <c r="F211" s="631"/>
      <c r="G211" s="645"/>
      <c r="H211" s="631"/>
      <c r="I211" s="631"/>
      <c r="J211" s="646"/>
      <c r="K211" s="631"/>
      <c r="L211" s="631"/>
      <c r="M211" s="647"/>
    </row>
    <row r="212" ht="15.75" customHeight="1">
      <c r="B212" s="643"/>
      <c r="C212" s="631"/>
      <c r="D212" s="644"/>
      <c r="E212" s="631"/>
      <c r="F212" s="631"/>
      <c r="G212" s="645"/>
      <c r="H212" s="631"/>
      <c r="I212" s="631"/>
      <c r="J212" s="646"/>
      <c r="K212" s="631"/>
      <c r="L212" s="631"/>
      <c r="M212" s="647"/>
    </row>
    <row r="213" ht="15.75" customHeight="1">
      <c r="B213" s="643"/>
      <c r="C213" s="631"/>
      <c r="D213" s="644"/>
      <c r="E213" s="631"/>
      <c r="F213" s="631"/>
      <c r="G213" s="645"/>
      <c r="H213" s="631"/>
      <c r="I213" s="631"/>
      <c r="J213" s="646"/>
      <c r="K213" s="631"/>
      <c r="L213" s="631"/>
      <c r="M213" s="647"/>
    </row>
    <row r="214" ht="15.75" customHeight="1">
      <c r="B214" s="643"/>
      <c r="C214" s="631"/>
      <c r="D214" s="644"/>
      <c r="E214" s="631"/>
      <c r="F214" s="631"/>
      <c r="G214" s="645"/>
      <c r="H214" s="631"/>
      <c r="I214" s="631"/>
      <c r="J214" s="646"/>
      <c r="K214" s="631"/>
      <c r="L214" s="631"/>
      <c r="M214" s="647"/>
    </row>
    <row r="215" ht="15.75" customHeight="1">
      <c r="B215" s="643"/>
      <c r="C215" s="631"/>
      <c r="D215" s="644"/>
      <c r="E215" s="631"/>
      <c r="F215" s="631"/>
      <c r="G215" s="645"/>
      <c r="H215" s="631"/>
      <c r="I215" s="631"/>
      <c r="J215" s="646"/>
      <c r="K215" s="631"/>
      <c r="L215" s="631"/>
      <c r="M215" s="647"/>
    </row>
    <row r="216" ht="15.75" customHeight="1">
      <c r="B216" s="643"/>
      <c r="C216" s="631"/>
      <c r="D216" s="644"/>
      <c r="E216" s="631"/>
      <c r="F216" s="631"/>
      <c r="G216" s="645"/>
      <c r="H216" s="631"/>
      <c r="I216" s="631"/>
      <c r="J216" s="646"/>
      <c r="K216" s="631"/>
      <c r="L216" s="631"/>
      <c r="M216" s="647"/>
    </row>
    <row r="217" ht="15.75" customHeight="1">
      <c r="B217" s="643"/>
      <c r="C217" s="631"/>
      <c r="D217" s="644"/>
      <c r="E217" s="631"/>
      <c r="F217" s="631"/>
      <c r="G217" s="645"/>
      <c r="H217" s="631"/>
      <c r="I217" s="631"/>
      <c r="J217" s="646"/>
      <c r="K217" s="631"/>
      <c r="L217" s="631"/>
      <c r="M217" s="647"/>
    </row>
    <row r="218" ht="15.75" customHeight="1">
      <c r="B218" s="643"/>
      <c r="C218" s="631"/>
      <c r="D218" s="644"/>
      <c r="E218" s="631"/>
      <c r="F218" s="631"/>
      <c r="G218" s="645"/>
      <c r="H218" s="631"/>
      <c r="I218" s="631"/>
      <c r="J218" s="646"/>
      <c r="K218" s="631"/>
      <c r="L218" s="631"/>
      <c r="M218" s="647"/>
    </row>
    <row r="219" ht="15.75" customHeight="1">
      <c r="B219" s="643"/>
      <c r="C219" s="631"/>
      <c r="D219" s="644"/>
      <c r="E219" s="631"/>
      <c r="F219" s="631"/>
      <c r="G219" s="645"/>
      <c r="H219" s="631"/>
      <c r="I219" s="631"/>
      <c r="J219" s="646"/>
      <c r="K219" s="631"/>
      <c r="L219" s="631"/>
      <c r="M219" s="647"/>
    </row>
    <row r="220" ht="15.75" customHeight="1">
      <c r="B220" s="643"/>
      <c r="C220" s="631"/>
      <c r="D220" s="644"/>
      <c r="E220" s="631"/>
      <c r="F220" s="631"/>
      <c r="G220" s="645"/>
      <c r="H220" s="631"/>
      <c r="I220" s="631"/>
      <c r="J220" s="646"/>
      <c r="K220" s="631"/>
      <c r="L220" s="631"/>
      <c r="M220" s="647"/>
    </row>
    <row r="221" ht="15.75" customHeight="1">
      <c r="B221" s="643"/>
      <c r="C221" s="631"/>
      <c r="D221" s="644"/>
      <c r="E221" s="631"/>
      <c r="F221" s="631"/>
      <c r="G221" s="645"/>
      <c r="H221" s="631"/>
      <c r="I221" s="631"/>
      <c r="J221" s="646"/>
      <c r="K221" s="631"/>
      <c r="L221" s="631"/>
      <c r="M221" s="647"/>
    </row>
    <row r="222" ht="15.75" customHeight="1">
      <c r="B222" s="643"/>
      <c r="C222" s="631"/>
      <c r="D222" s="644"/>
      <c r="E222" s="631"/>
      <c r="F222" s="631"/>
      <c r="G222" s="645"/>
      <c r="H222" s="631"/>
      <c r="I222" s="631"/>
      <c r="J222" s="646"/>
      <c r="K222" s="631"/>
      <c r="L222" s="631"/>
      <c r="M222" s="647"/>
    </row>
    <row r="223" ht="15.75" customHeight="1">
      <c r="B223" s="643"/>
      <c r="C223" s="631"/>
      <c r="D223" s="644"/>
      <c r="E223" s="631"/>
      <c r="F223" s="631"/>
      <c r="G223" s="645"/>
      <c r="H223" s="631"/>
      <c r="I223" s="631"/>
      <c r="J223" s="646"/>
      <c r="K223" s="631"/>
      <c r="L223" s="631"/>
      <c r="M223" s="647"/>
    </row>
    <row r="224" ht="15.75" customHeight="1">
      <c r="B224" s="643"/>
      <c r="C224" s="631"/>
      <c r="D224" s="644"/>
      <c r="E224" s="631"/>
      <c r="F224" s="631"/>
      <c r="G224" s="645"/>
      <c r="H224" s="631"/>
      <c r="I224" s="631"/>
      <c r="J224" s="646"/>
      <c r="K224" s="631"/>
      <c r="L224" s="631"/>
      <c r="M224" s="647"/>
    </row>
    <row r="225" ht="15.75" customHeight="1">
      <c r="B225" s="643"/>
      <c r="C225" s="631"/>
      <c r="D225" s="644"/>
      <c r="E225" s="631"/>
      <c r="F225" s="631"/>
      <c r="G225" s="645"/>
      <c r="H225" s="631"/>
      <c r="I225" s="631"/>
      <c r="J225" s="646"/>
      <c r="K225" s="631"/>
      <c r="L225" s="631"/>
      <c r="M225" s="647"/>
    </row>
    <row r="226" ht="15.75" customHeight="1">
      <c r="B226" s="643"/>
      <c r="C226" s="631"/>
      <c r="D226" s="644"/>
      <c r="E226" s="631"/>
      <c r="F226" s="631"/>
      <c r="G226" s="645"/>
      <c r="H226" s="631"/>
      <c r="I226" s="631"/>
      <c r="J226" s="646"/>
      <c r="K226" s="631"/>
      <c r="L226" s="631"/>
      <c r="M226" s="647"/>
    </row>
    <row r="227" ht="15.75" customHeight="1">
      <c r="B227" s="643"/>
      <c r="C227" s="631"/>
      <c r="D227" s="644"/>
      <c r="E227" s="631"/>
      <c r="F227" s="631"/>
      <c r="G227" s="645"/>
      <c r="H227" s="631"/>
      <c r="I227" s="631"/>
      <c r="J227" s="646"/>
      <c r="K227" s="631"/>
      <c r="L227" s="631"/>
      <c r="M227" s="647"/>
    </row>
    <row r="228" ht="15.75" customHeight="1">
      <c r="B228" s="643"/>
      <c r="C228" s="631"/>
      <c r="D228" s="644"/>
      <c r="E228" s="631"/>
      <c r="F228" s="631"/>
      <c r="G228" s="645"/>
      <c r="H228" s="631"/>
      <c r="I228" s="631"/>
      <c r="J228" s="646"/>
      <c r="K228" s="631"/>
      <c r="L228" s="631"/>
      <c r="M228" s="647"/>
    </row>
    <row r="229" ht="15.75" customHeight="1">
      <c r="B229" s="643"/>
      <c r="C229" s="631"/>
      <c r="D229" s="644"/>
      <c r="E229" s="631"/>
      <c r="F229" s="631"/>
      <c r="G229" s="645"/>
      <c r="H229" s="631"/>
      <c r="I229" s="631"/>
      <c r="J229" s="646"/>
      <c r="K229" s="631"/>
      <c r="L229" s="631"/>
      <c r="M229" s="647"/>
    </row>
    <row r="230" ht="15.75" customHeight="1">
      <c r="B230" s="643"/>
      <c r="C230" s="631"/>
      <c r="D230" s="644"/>
      <c r="E230" s="631"/>
      <c r="F230" s="631"/>
      <c r="G230" s="645"/>
      <c r="H230" s="631"/>
      <c r="I230" s="631"/>
      <c r="J230" s="646"/>
      <c r="K230" s="631"/>
      <c r="L230" s="631"/>
      <c r="M230" s="647"/>
    </row>
    <row r="231" ht="15.75" customHeight="1">
      <c r="B231" s="643"/>
      <c r="C231" s="631"/>
      <c r="D231" s="644"/>
      <c r="E231" s="631"/>
      <c r="F231" s="631"/>
      <c r="G231" s="645"/>
      <c r="H231" s="631"/>
      <c r="I231" s="631"/>
      <c r="J231" s="646"/>
      <c r="K231" s="631"/>
      <c r="L231" s="631"/>
      <c r="M231" s="647"/>
    </row>
    <row r="232" ht="15.75" customHeight="1">
      <c r="B232" s="643"/>
      <c r="C232" s="631"/>
      <c r="D232" s="644"/>
      <c r="E232" s="631"/>
      <c r="F232" s="631"/>
      <c r="G232" s="645"/>
      <c r="H232" s="631"/>
      <c r="I232" s="631"/>
      <c r="J232" s="646"/>
      <c r="K232" s="631"/>
      <c r="L232" s="631"/>
      <c r="M232" s="647"/>
    </row>
    <row r="233" ht="15.75" customHeight="1">
      <c r="B233" s="643"/>
      <c r="C233" s="631"/>
      <c r="D233" s="644"/>
      <c r="E233" s="631"/>
      <c r="F233" s="631"/>
      <c r="G233" s="645"/>
      <c r="H233" s="631"/>
      <c r="I233" s="631"/>
      <c r="J233" s="646"/>
      <c r="K233" s="631"/>
      <c r="L233" s="631"/>
      <c r="M233" s="647"/>
    </row>
    <row r="234" ht="15.75" customHeight="1">
      <c r="B234" s="643"/>
      <c r="C234" s="631"/>
      <c r="D234" s="644"/>
      <c r="E234" s="631"/>
      <c r="F234" s="631"/>
      <c r="G234" s="645"/>
      <c r="H234" s="631"/>
      <c r="I234" s="631"/>
      <c r="J234" s="646"/>
      <c r="K234" s="631"/>
      <c r="L234" s="631"/>
      <c r="M234" s="647"/>
    </row>
    <row r="235" ht="15.75" customHeight="1">
      <c r="B235" s="643"/>
      <c r="C235" s="631"/>
      <c r="D235" s="644"/>
      <c r="E235" s="631"/>
      <c r="F235" s="631"/>
      <c r="G235" s="645"/>
      <c r="H235" s="631"/>
      <c r="I235" s="631"/>
      <c r="J235" s="646"/>
      <c r="K235" s="631"/>
      <c r="L235" s="631"/>
      <c r="M235" s="647"/>
    </row>
    <row r="236" ht="15.75" customHeight="1">
      <c r="B236" s="643"/>
      <c r="C236" s="631"/>
      <c r="D236" s="644"/>
      <c r="E236" s="631"/>
      <c r="F236" s="631"/>
      <c r="G236" s="645"/>
      <c r="H236" s="631"/>
      <c r="I236" s="631"/>
      <c r="J236" s="646"/>
      <c r="K236" s="631"/>
      <c r="L236" s="631"/>
      <c r="M236" s="647"/>
    </row>
    <row r="237" ht="15.75" customHeight="1">
      <c r="B237" s="643"/>
      <c r="C237" s="631"/>
      <c r="D237" s="644"/>
      <c r="E237" s="631"/>
      <c r="F237" s="631"/>
      <c r="G237" s="645"/>
      <c r="H237" s="631"/>
      <c r="I237" s="631"/>
      <c r="J237" s="646"/>
      <c r="K237" s="631"/>
      <c r="L237" s="631"/>
      <c r="M237" s="647"/>
    </row>
    <row r="238" ht="15.75" customHeight="1">
      <c r="B238" s="643"/>
      <c r="C238" s="631"/>
      <c r="D238" s="644"/>
      <c r="E238" s="631"/>
      <c r="F238" s="631"/>
      <c r="G238" s="645"/>
      <c r="H238" s="631"/>
      <c r="I238" s="631"/>
      <c r="J238" s="646"/>
      <c r="K238" s="631"/>
      <c r="L238" s="631"/>
      <c r="M238" s="647"/>
    </row>
    <row r="239" ht="15.75" customHeight="1">
      <c r="B239" s="643"/>
      <c r="C239" s="631"/>
      <c r="D239" s="644"/>
      <c r="E239" s="631"/>
      <c r="F239" s="631"/>
      <c r="G239" s="645"/>
      <c r="H239" s="631"/>
      <c r="I239" s="631"/>
      <c r="J239" s="646"/>
      <c r="K239" s="631"/>
      <c r="L239" s="631"/>
      <c r="M239" s="647"/>
    </row>
    <row r="240" ht="15.75" customHeight="1">
      <c r="B240" s="643"/>
      <c r="C240" s="631"/>
      <c r="D240" s="644"/>
      <c r="E240" s="631"/>
      <c r="F240" s="631"/>
      <c r="G240" s="645"/>
      <c r="H240" s="631"/>
      <c r="I240" s="631"/>
      <c r="J240" s="646"/>
      <c r="K240" s="631"/>
      <c r="L240" s="631"/>
      <c r="M240" s="647"/>
    </row>
    <row r="241" ht="15.75" customHeight="1">
      <c r="B241" s="643"/>
      <c r="C241" s="631"/>
      <c r="D241" s="644"/>
      <c r="E241" s="631"/>
      <c r="F241" s="631"/>
      <c r="G241" s="645"/>
      <c r="H241" s="631"/>
      <c r="I241" s="631"/>
      <c r="J241" s="646"/>
      <c r="K241" s="631"/>
      <c r="L241" s="631"/>
      <c r="M241" s="647"/>
    </row>
    <row r="242" ht="15.75" customHeight="1">
      <c r="B242" s="643"/>
      <c r="C242" s="631"/>
      <c r="D242" s="644"/>
      <c r="E242" s="631"/>
      <c r="F242" s="631"/>
      <c r="G242" s="645"/>
      <c r="H242" s="631"/>
      <c r="I242" s="631"/>
      <c r="J242" s="646"/>
      <c r="K242" s="631"/>
      <c r="L242" s="631"/>
      <c r="M242" s="647"/>
    </row>
    <row r="243" ht="15.75" customHeight="1">
      <c r="B243" s="643"/>
      <c r="C243" s="631"/>
      <c r="D243" s="644"/>
      <c r="E243" s="631"/>
      <c r="F243" s="631"/>
      <c r="G243" s="645"/>
      <c r="H243" s="631"/>
      <c r="I243" s="631"/>
      <c r="J243" s="646"/>
      <c r="K243" s="631"/>
      <c r="L243" s="631"/>
      <c r="M243" s="647"/>
    </row>
    <row r="244" ht="15.75" customHeight="1">
      <c r="B244" s="643"/>
      <c r="C244" s="631"/>
      <c r="D244" s="644"/>
      <c r="E244" s="631"/>
      <c r="F244" s="631"/>
      <c r="G244" s="645"/>
      <c r="H244" s="631"/>
      <c r="I244" s="631"/>
      <c r="J244" s="646"/>
      <c r="K244" s="631"/>
      <c r="L244" s="631"/>
      <c r="M244" s="647"/>
    </row>
    <row r="245" ht="15.75" customHeight="1">
      <c r="B245" s="643"/>
      <c r="C245" s="631"/>
      <c r="D245" s="644"/>
      <c r="E245" s="631"/>
      <c r="F245" s="631"/>
      <c r="G245" s="645"/>
      <c r="H245" s="631"/>
      <c r="I245" s="631"/>
      <c r="J245" s="646"/>
      <c r="K245" s="631"/>
      <c r="L245" s="631"/>
      <c r="M245" s="647"/>
    </row>
    <row r="246" ht="15.75" customHeight="1">
      <c r="B246" s="643"/>
      <c r="C246" s="631"/>
      <c r="D246" s="644"/>
      <c r="E246" s="631"/>
      <c r="F246" s="631"/>
      <c r="G246" s="645"/>
      <c r="H246" s="631"/>
      <c r="I246" s="631"/>
      <c r="J246" s="646"/>
      <c r="K246" s="631"/>
      <c r="L246" s="631"/>
      <c r="M246" s="647"/>
    </row>
    <row r="247" ht="15.75" customHeight="1">
      <c r="B247" s="643"/>
      <c r="C247" s="631"/>
      <c r="D247" s="644"/>
      <c r="E247" s="631"/>
      <c r="F247" s="631"/>
      <c r="G247" s="645"/>
      <c r="H247" s="631"/>
      <c r="I247" s="631"/>
      <c r="J247" s="646"/>
      <c r="K247" s="631"/>
      <c r="L247" s="631"/>
      <c r="M247" s="647"/>
    </row>
    <row r="248" ht="15.75" customHeight="1">
      <c r="B248" s="643"/>
      <c r="C248" s="631"/>
      <c r="D248" s="644"/>
      <c r="E248" s="631"/>
      <c r="F248" s="631"/>
      <c r="G248" s="645"/>
      <c r="H248" s="631"/>
      <c r="I248" s="631"/>
      <c r="J248" s="646"/>
      <c r="K248" s="631"/>
      <c r="L248" s="631"/>
      <c r="M248" s="647"/>
    </row>
    <row r="249" ht="15.75" customHeight="1">
      <c r="B249" s="643"/>
      <c r="C249" s="631"/>
      <c r="D249" s="644"/>
      <c r="E249" s="631"/>
      <c r="F249" s="631"/>
      <c r="G249" s="645"/>
      <c r="H249" s="631"/>
      <c r="I249" s="631"/>
      <c r="J249" s="646"/>
      <c r="K249" s="631"/>
      <c r="L249" s="631"/>
      <c r="M249" s="647"/>
    </row>
    <row r="250" ht="15.75" customHeight="1">
      <c r="B250" s="643"/>
      <c r="C250" s="631"/>
      <c r="D250" s="644"/>
      <c r="E250" s="631"/>
      <c r="F250" s="631"/>
      <c r="G250" s="645"/>
      <c r="H250" s="631"/>
      <c r="I250" s="631"/>
      <c r="J250" s="646"/>
      <c r="K250" s="631"/>
      <c r="L250" s="631"/>
      <c r="M250" s="647"/>
    </row>
    <row r="251" ht="15.75" customHeight="1">
      <c r="B251" s="643"/>
      <c r="C251" s="631"/>
      <c r="D251" s="644"/>
      <c r="E251" s="631"/>
      <c r="F251" s="631"/>
      <c r="G251" s="645"/>
      <c r="H251" s="631"/>
      <c r="I251" s="631"/>
      <c r="J251" s="646"/>
      <c r="K251" s="631"/>
      <c r="L251" s="631"/>
      <c r="M251" s="647"/>
    </row>
    <row r="252" ht="15.75" customHeight="1">
      <c r="B252" s="643"/>
      <c r="C252" s="631"/>
      <c r="D252" s="644"/>
      <c r="E252" s="631"/>
      <c r="F252" s="631"/>
      <c r="G252" s="645"/>
      <c r="H252" s="631"/>
      <c r="I252" s="631"/>
      <c r="J252" s="646"/>
      <c r="K252" s="631"/>
      <c r="L252" s="631"/>
      <c r="M252" s="647"/>
    </row>
    <row r="253" ht="15.75" customHeight="1">
      <c r="B253" s="643"/>
      <c r="C253" s="631"/>
      <c r="D253" s="644"/>
      <c r="E253" s="631"/>
      <c r="F253" s="631"/>
      <c r="G253" s="645"/>
      <c r="H253" s="631"/>
      <c r="I253" s="631"/>
      <c r="J253" s="646"/>
      <c r="K253" s="631"/>
      <c r="L253" s="631"/>
      <c r="M253" s="647"/>
    </row>
    <row r="254" ht="15.75" customHeight="1">
      <c r="B254" s="643"/>
      <c r="C254" s="631"/>
      <c r="D254" s="644"/>
      <c r="E254" s="631"/>
      <c r="F254" s="631"/>
      <c r="G254" s="645"/>
      <c r="H254" s="631"/>
      <c r="I254" s="631"/>
      <c r="J254" s="646"/>
      <c r="K254" s="631"/>
      <c r="L254" s="631"/>
      <c r="M254" s="647"/>
    </row>
    <row r="255" ht="15.75" customHeight="1">
      <c r="B255" s="643"/>
      <c r="C255" s="631"/>
      <c r="D255" s="644"/>
      <c r="E255" s="631"/>
      <c r="F255" s="631"/>
      <c r="G255" s="645"/>
      <c r="H255" s="631"/>
      <c r="I255" s="631"/>
      <c r="J255" s="646"/>
      <c r="K255" s="631"/>
      <c r="L255" s="631"/>
      <c r="M255" s="647"/>
    </row>
    <row r="256" ht="15.75" customHeight="1">
      <c r="B256" s="643"/>
      <c r="C256" s="631"/>
      <c r="D256" s="644"/>
      <c r="E256" s="631"/>
      <c r="F256" s="631"/>
      <c r="G256" s="645"/>
      <c r="H256" s="631"/>
      <c r="I256" s="631"/>
      <c r="J256" s="646"/>
      <c r="K256" s="631"/>
      <c r="L256" s="631"/>
      <c r="M256" s="647"/>
    </row>
    <row r="257" ht="15.75" customHeight="1">
      <c r="B257" s="643"/>
      <c r="C257" s="631"/>
      <c r="D257" s="644"/>
      <c r="E257" s="631"/>
      <c r="F257" s="631"/>
      <c r="G257" s="645"/>
      <c r="H257" s="631"/>
      <c r="I257" s="631"/>
      <c r="J257" s="646"/>
      <c r="K257" s="631"/>
      <c r="L257" s="631"/>
      <c r="M257" s="647"/>
    </row>
    <row r="258" ht="15.75" customHeight="1">
      <c r="B258" s="643"/>
      <c r="C258" s="631"/>
      <c r="D258" s="644"/>
      <c r="E258" s="631"/>
      <c r="F258" s="631"/>
      <c r="G258" s="645"/>
      <c r="H258" s="631"/>
      <c r="I258" s="631"/>
      <c r="J258" s="646"/>
      <c r="K258" s="631"/>
      <c r="L258" s="631"/>
      <c r="M258" s="647"/>
    </row>
    <row r="259" ht="15.75" customHeight="1">
      <c r="B259" s="643"/>
      <c r="C259" s="631"/>
      <c r="D259" s="644"/>
      <c r="E259" s="631"/>
      <c r="F259" s="631"/>
      <c r="G259" s="645"/>
      <c r="H259" s="631"/>
      <c r="I259" s="631"/>
      <c r="J259" s="646"/>
      <c r="K259" s="631"/>
      <c r="L259" s="631"/>
      <c r="M259" s="647"/>
    </row>
    <row r="260" ht="15.75" customHeight="1">
      <c r="B260" s="643"/>
      <c r="C260" s="631"/>
      <c r="D260" s="644"/>
      <c r="E260" s="631"/>
      <c r="F260" s="631"/>
      <c r="G260" s="645"/>
      <c r="H260" s="631"/>
      <c r="I260" s="631"/>
      <c r="J260" s="646"/>
      <c r="K260" s="631"/>
      <c r="L260" s="631"/>
      <c r="M260" s="647"/>
    </row>
    <row r="261" ht="15.75" customHeight="1">
      <c r="B261" s="643"/>
      <c r="C261" s="631"/>
      <c r="D261" s="644"/>
      <c r="E261" s="631"/>
      <c r="F261" s="631"/>
      <c r="G261" s="645"/>
      <c r="H261" s="631"/>
      <c r="I261" s="631"/>
      <c r="J261" s="646"/>
      <c r="K261" s="631"/>
      <c r="L261" s="631"/>
      <c r="M261" s="647"/>
    </row>
    <row r="262" ht="15.75" customHeight="1">
      <c r="B262" s="643"/>
      <c r="C262" s="631"/>
      <c r="D262" s="644"/>
      <c r="E262" s="631"/>
      <c r="F262" s="631"/>
      <c r="G262" s="645"/>
      <c r="H262" s="631"/>
      <c r="I262" s="631"/>
      <c r="J262" s="646"/>
      <c r="K262" s="631"/>
      <c r="L262" s="631"/>
      <c r="M262" s="647"/>
    </row>
    <row r="263" ht="15.75" customHeight="1">
      <c r="B263" s="643"/>
      <c r="C263" s="631"/>
      <c r="D263" s="644"/>
      <c r="E263" s="631"/>
      <c r="F263" s="631"/>
      <c r="G263" s="645"/>
      <c r="H263" s="631"/>
      <c r="I263" s="631"/>
      <c r="J263" s="646"/>
      <c r="K263" s="631"/>
      <c r="L263" s="631"/>
      <c r="M263" s="647"/>
    </row>
    <row r="264" ht="15.75" customHeight="1">
      <c r="B264" s="643"/>
      <c r="C264" s="631"/>
      <c r="D264" s="644"/>
      <c r="E264" s="631"/>
      <c r="F264" s="631"/>
      <c r="G264" s="645"/>
      <c r="H264" s="631"/>
      <c r="I264" s="631"/>
      <c r="J264" s="646"/>
      <c r="K264" s="631"/>
      <c r="L264" s="631"/>
      <c r="M264" s="647"/>
    </row>
    <row r="265" ht="15.75" customHeight="1">
      <c r="B265" s="643"/>
      <c r="C265" s="631"/>
      <c r="D265" s="644"/>
      <c r="E265" s="631"/>
      <c r="F265" s="631"/>
      <c r="G265" s="645"/>
      <c r="H265" s="631"/>
      <c r="I265" s="631"/>
      <c r="J265" s="646"/>
      <c r="K265" s="631"/>
      <c r="L265" s="631"/>
      <c r="M265" s="647"/>
    </row>
    <row r="266" ht="15.75" customHeight="1">
      <c r="B266" s="643"/>
      <c r="C266" s="631"/>
      <c r="D266" s="644"/>
      <c r="E266" s="631"/>
      <c r="F266" s="631"/>
      <c r="G266" s="645"/>
      <c r="H266" s="631"/>
      <c r="I266" s="631"/>
      <c r="J266" s="646"/>
      <c r="K266" s="631"/>
      <c r="L266" s="631"/>
      <c r="M266" s="647"/>
    </row>
    <row r="267" ht="15.75" customHeight="1">
      <c r="B267" s="643"/>
      <c r="C267" s="631"/>
      <c r="D267" s="644"/>
      <c r="E267" s="631"/>
      <c r="F267" s="631"/>
      <c r="G267" s="645"/>
      <c r="H267" s="631"/>
      <c r="I267" s="631"/>
      <c r="J267" s="646"/>
      <c r="K267" s="631"/>
      <c r="L267" s="631"/>
      <c r="M267" s="647"/>
    </row>
    <row r="268" ht="15.75" customHeight="1">
      <c r="B268" s="643"/>
      <c r="C268" s="631"/>
      <c r="D268" s="644"/>
      <c r="E268" s="631"/>
      <c r="F268" s="631"/>
      <c r="G268" s="645"/>
      <c r="H268" s="631"/>
      <c r="I268" s="631"/>
      <c r="J268" s="646"/>
      <c r="K268" s="631"/>
      <c r="L268" s="631"/>
      <c r="M268" s="647"/>
    </row>
    <row r="269" ht="15.75" customHeight="1">
      <c r="B269" s="643"/>
      <c r="C269" s="631"/>
      <c r="D269" s="644"/>
      <c r="E269" s="631"/>
      <c r="F269" s="631"/>
      <c r="G269" s="645"/>
      <c r="H269" s="631"/>
      <c r="I269" s="631"/>
      <c r="J269" s="646"/>
      <c r="K269" s="631"/>
      <c r="L269" s="631"/>
      <c r="M269" s="647"/>
    </row>
    <row r="270" ht="15.75" customHeight="1">
      <c r="B270" s="643"/>
      <c r="C270" s="631"/>
      <c r="D270" s="644"/>
      <c r="E270" s="631"/>
      <c r="F270" s="631"/>
      <c r="G270" s="645"/>
      <c r="H270" s="631"/>
      <c r="I270" s="631"/>
      <c r="J270" s="646"/>
      <c r="K270" s="631"/>
      <c r="L270" s="631"/>
      <c r="M270" s="647"/>
    </row>
    <row r="271" ht="15.75" customHeight="1">
      <c r="B271" s="643"/>
      <c r="C271" s="631"/>
      <c r="D271" s="644"/>
      <c r="E271" s="631"/>
      <c r="F271" s="631"/>
      <c r="G271" s="645"/>
      <c r="H271" s="631"/>
      <c r="I271" s="631"/>
      <c r="J271" s="646"/>
      <c r="K271" s="631"/>
      <c r="L271" s="631"/>
      <c r="M271" s="647"/>
    </row>
    <row r="272" ht="15.75" customHeight="1">
      <c r="B272" s="643"/>
      <c r="C272" s="631"/>
      <c r="D272" s="644"/>
      <c r="E272" s="631"/>
      <c r="F272" s="631"/>
      <c r="G272" s="645"/>
      <c r="H272" s="631"/>
      <c r="I272" s="631"/>
      <c r="J272" s="646"/>
      <c r="K272" s="631"/>
      <c r="L272" s="631"/>
      <c r="M272" s="647"/>
    </row>
    <row r="273" ht="15.75" customHeight="1">
      <c r="B273" s="643"/>
      <c r="C273" s="631"/>
      <c r="D273" s="644"/>
      <c r="E273" s="631"/>
      <c r="F273" s="631"/>
      <c r="G273" s="645"/>
      <c r="H273" s="631"/>
      <c r="I273" s="631"/>
      <c r="J273" s="646"/>
      <c r="K273" s="631"/>
      <c r="L273" s="631"/>
      <c r="M273" s="647"/>
    </row>
    <row r="274" ht="15.75" customHeight="1">
      <c r="B274" s="643"/>
      <c r="C274" s="631"/>
      <c r="D274" s="644"/>
      <c r="E274" s="631"/>
      <c r="F274" s="631"/>
      <c r="G274" s="645"/>
      <c r="H274" s="631"/>
      <c r="I274" s="631"/>
      <c r="J274" s="646"/>
      <c r="K274" s="631"/>
      <c r="L274" s="631"/>
      <c r="M274" s="647"/>
    </row>
    <row r="275" ht="15.75" customHeight="1">
      <c r="B275" s="643"/>
      <c r="C275" s="631"/>
      <c r="D275" s="644"/>
      <c r="E275" s="631"/>
      <c r="F275" s="631"/>
      <c r="G275" s="645"/>
      <c r="H275" s="631"/>
      <c r="I275" s="631"/>
      <c r="J275" s="646"/>
      <c r="K275" s="631"/>
      <c r="L275" s="631"/>
      <c r="M275" s="647"/>
    </row>
    <row r="276" ht="15.75" customHeight="1">
      <c r="B276" s="643"/>
      <c r="C276" s="631"/>
      <c r="D276" s="644"/>
      <c r="E276" s="631"/>
      <c r="F276" s="631"/>
      <c r="G276" s="645"/>
      <c r="H276" s="631"/>
      <c r="I276" s="631"/>
      <c r="J276" s="646"/>
      <c r="K276" s="631"/>
      <c r="L276" s="631"/>
      <c r="M276" s="647"/>
    </row>
    <row r="277" ht="15.75" customHeight="1">
      <c r="B277" s="643"/>
      <c r="C277" s="631"/>
      <c r="D277" s="644"/>
      <c r="E277" s="631"/>
      <c r="F277" s="631"/>
      <c r="G277" s="645"/>
      <c r="H277" s="631"/>
      <c r="I277" s="631"/>
      <c r="J277" s="646"/>
      <c r="K277" s="631"/>
      <c r="L277" s="631"/>
      <c r="M277" s="647"/>
    </row>
    <row r="278" ht="15.75" customHeight="1">
      <c r="B278" s="643"/>
      <c r="C278" s="631"/>
      <c r="D278" s="644"/>
      <c r="E278" s="631"/>
      <c r="F278" s="631"/>
      <c r="G278" s="645"/>
      <c r="H278" s="631"/>
      <c r="I278" s="631"/>
      <c r="J278" s="646"/>
      <c r="K278" s="631"/>
      <c r="L278" s="631"/>
      <c r="M278" s="647"/>
    </row>
    <row r="279" ht="15.75" customHeight="1">
      <c r="B279" s="643"/>
      <c r="C279" s="631"/>
      <c r="D279" s="644"/>
      <c r="E279" s="631"/>
      <c r="F279" s="631"/>
      <c r="G279" s="645"/>
      <c r="H279" s="631"/>
      <c r="I279" s="631"/>
      <c r="J279" s="646"/>
      <c r="K279" s="631"/>
      <c r="L279" s="631"/>
      <c r="M279" s="647"/>
    </row>
    <row r="280" ht="15.75" customHeight="1">
      <c r="B280" s="643"/>
      <c r="C280" s="631"/>
      <c r="D280" s="644"/>
      <c r="E280" s="631"/>
      <c r="F280" s="631"/>
      <c r="G280" s="645"/>
      <c r="H280" s="631"/>
      <c r="I280" s="631"/>
      <c r="J280" s="646"/>
      <c r="K280" s="631"/>
      <c r="L280" s="631"/>
      <c r="M280" s="647"/>
    </row>
    <row r="281" ht="15.75" customHeight="1">
      <c r="B281" s="643"/>
      <c r="C281" s="631"/>
      <c r="D281" s="644"/>
      <c r="E281" s="631"/>
      <c r="F281" s="631"/>
      <c r="G281" s="645"/>
      <c r="H281" s="631"/>
      <c r="I281" s="631"/>
      <c r="J281" s="646"/>
      <c r="K281" s="631"/>
      <c r="L281" s="631"/>
      <c r="M281" s="647"/>
    </row>
    <row r="282" ht="15.75" customHeight="1">
      <c r="B282" s="643"/>
      <c r="C282" s="631"/>
      <c r="D282" s="644"/>
      <c r="E282" s="631"/>
      <c r="F282" s="631"/>
      <c r="G282" s="645"/>
      <c r="H282" s="631"/>
      <c r="I282" s="631"/>
      <c r="J282" s="646"/>
      <c r="K282" s="631"/>
      <c r="L282" s="631"/>
      <c r="M282" s="647"/>
    </row>
    <row r="283" ht="15.75" customHeight="1">
      <c r="B283" s="643"/>
      <c r="C283" s="631"/>
      <c r="D283" s="644"/>
      <c r="E283" s="631"/>
      <c r="F283" s="631"/>
      <c r="G283" s="645"/>
      <c r="H283" s="631"/>
      <c r="I283" s="631"/>
      <c r="J283" s="646"/>
      <c r="K283" s="631"/>
      <c r="L283" s="631"/>
      <c r="M283" s="647"/>
    </row>
    <row r="284" ht="15.75" customHeight="1">
      <c r="B284" s="643"/>
      <c r="C284" s="631"/>
      <c r="D284" s="644"/>
      <c r="E284" s="631"/>
      <c r="F284" s="631"/>
      <c r="G284" s="645"/>
      <c r="H284" s="631"/>
      <c r="I284" s="631"/>
      <c r="J284" s="646"/>
      <c r="K284" s="631"/>
      <c r="L284" s="631"/>
      <c r="M284" s="647"/>
    </row>
    <row r="285" ht="15.75" customHeight="1">
      <c r="B285" s="643"/>
      <c r="C285" s="631"/>
      <c r="D285" s="644"/>
      <c r="E285" s="631"/>
      <c r="F285" s="631"/>
      <c r="G285" s="645"/>
      <c r="H285" s="631"/>
      <c r="I285" s="631"/>
      <c r="J285" s="646"/>
      <c r="K285" s="631"/>
      <c r="L285" s="631"/>
      <c r="M285" s="647"/>
    </row>
    <row r="286" ht="15.75" customHeight="1">
      <c r="B286" s="643"/>
      <c r="C286" s="631"/>
      <c r="D286" s="644"/>
      <c r="E286" s="631"/>
      <c r="F286" s="631"/>
      <c r="G286" s="645"/>
      <c r="H286" s="631"/>
      <c r="I286" s="631"/>
      <c r="J286" s="646"/>
      <c r="K286" s="631"/>
      <c r="L286" s="631"/>
      <c r="M286" s="647"/>
    </row>
    <row r="287" ht="15.75" customHeight="1">
      <c r="B287" s="643"/>
      <c r="C287" s="631"/>
      <c r="D287" s="644"/>
      <c r="E287" s="631"/>
      <c r="F287" s="631"/>
      <c r="G287" s="645"/>
      <c r="H287" s="631"/>
      <c r="I287" s="631"/>
      <c r="J287" s="646"/>
      <c r="K287" s="631"/>
      <c r="L287" s="631"/>
      <c r="M287" s="647"/>
    </row>
    <row r="288" ht="15.75" customHeight="1">
      <c r="B288" s="643"/>
      <c r="C288" s="631"/>
      <c r="D288" s="644"/>
      <c r="E288" s="631"/>
      <c r="F288" s="631"/>
      <c r="G288" s="645"/>
      <c r="H288" s="631"/>
      <c r="I288" s="631"/>
      <c r="J288" s="646"/>
      <c r="K288" s="631"/>
      <c r="L288" s="631"/>
      <c r="M288" s="647"/>
    </row>
    <row r="289" ht="15.75" customHeight="1">
      <c r="B289" s="643"/>
      <c r="C289" s="631"/>
      <c r="D289" s="644"/>
      <c r="E289" s="631"/>
      <c r="F289" s="631"/>
      <c r="G289" s="645"/>
      <c r="H289" s="631"/>
      <c r="I289" s="631"/>
      <c r="J289" s="646"/>
      <c r="K289" s="631"/>
      <c r="L289" s="631"/>
      <c r="M289" s="647"/>
    </row>
    <row r="290" ht="15.75" customHeight="1">
      <c r="B290" s="643"/>
      <c r="C290" s="631"/>
      <c r="D290" s="644"/>
      <c r="E290" s="631"/>
      <c r="F290" s="631"/>
      <c r="G290" s="645"/>
      <c r="H290" s="631"/>
      <c r="I290" s="631"/>
      <c r="J290" s="646"/>
      <c r="K290" s="631"/>
      <c r="L290" s="631"/>
      <c r="M290" s="647"/>
    </row>
    <row r="291" ht="15.75" customHeight="1">
      <c r="B291" s="643"/>
      <c r="C291" s="631"/>
      <c r="D291" s="644"/>
      <c r="E291" s="631"/>
      <c r="F291" s="631"/>
      <c r="G291" s="645"/>
      <c r="H291" s="631"/>
      <c r="I291" s="631"/>
      <c r="J291" s="646"/>
      <c r="K291" s="631"/>
      <c r="L291" s="631"/>
      <c r="M291" s="647"/>
    </row>
    <row r="292" ht="15.75" customHeight="1">
      <c r="B292" s="643"/>
      <c r="C292" s="631"/>
      <c r="D292" s="644"/>
      <c r="E292" s="631"/>
      <c r="F292" s="631"/>
      <c r="G292" s="645"/>
      <c r="H292" s="631"/>
      <c r="I292" s="631"/>
      <c r="J292" s="646"/>
      <c r="K292" s="631"/>
      <c r="L292" s="631"/>
      <c r="M292" s="647"/>
    </row>
    <row r="293" ht="15.75" customHeight="1">
      <c r="B293" s="643"/>
      <c r="C293" s="631"/>
      <c r="D293" s="644"/>
      <c r="E293" s="631"/>
      <c r="F293" s="631"/>
      <c r="G293" s="645"/>
      <c r="H293" s="631"/>
      <c r="I293" s="631"/>
      <c r="J293" s="646"/>
      <c r="K293" s="631"/>
      <c r="L293" s="631"/>
      <c r="M293" s="647"/>
    </row>
    <row r="294" ht="15.75" customHeight="1">
      <c r="B294" s="643"/>
      <c r="C294" s="631"/>
      <c r="D294" s="644"/>
      <c r="E294" s="631"/>
      <c r="F294" s="631"/>
      <c r="G294" s="645"/>
      <c r="H294" s="631"/>
      <c r="I294" s="631"/>
      <c r="J294" s="646"/>
      <c r="K294" s="631"/>
      <c r="L294" s="631"/>
      <c r="M294" s="647"/>
    </row>
    <row r="295" ht="15.75" customHeight="1">
      <c r="B295" s="643"/>
      <c r="C295" s="631"/>
      <c r="D295" s="644"/>
      <c r="E295" s="631"/>
      <c r="F295" s="631"/>
      <c r="G295" s="645"/>
      <c r="H295" s="631"/>
      <c r="I295" s="631"/>
      <c r="J295" s="646"/>
      <c r="K295" s="631"/>
      <c r="L295" s="631"/>
      <c r="M295" s="647"/>
    </row>
    <row r="296" ht="15.75" customHeight="1">
      <c r="B296" s="643"/>
      <c r="C296" s="631"/>
      <c r="D296" s="644"/>
      <c r="E296" s="631"/>
      <c r="F296" s="631"/>
      <c r="G296" s="645"/>
      <c r="H296" s="631"/>
      <c r="I296" s="631"/>
      <c r="J296" s="646"/>
      <c r="K296" s="631"/>
      <c r="L296" s="631"/>
      <c r="M296" s="647"/>
    </row>
    <row r="297" ht="15.75" customHeight="1">
      <c r="B297" s="643"/>
      <c r="C297" s="631"/>
      <c r="D297" s="644"/>
      <c r="E297" s="631"/>
      <c r="F297" s="631"/>
      <c r="G297" s="645"/>
      <c r="H297" s="631"/>
      <c r="I297" s="631"/>
      <c r="J297" s="646"/>
      <c r="K297" s="631"/>
      <c r="L297" s="631"/>
      <c r="M297" s="647"/>
    </row>
    <row r="298" ht="15.75" customHeight="1">
      <c r="B298" s="643"/>
      <c r="C298" s="631"/>
      <c r="D298" s="644"/>
      <c r="E298" s="631"/>
      <c r="F298" s="631"/>
      <c r="G298" s="645"/>
      <c r="H298" s="631"/>
      <c r="I298" s="631"/>
      <c r="J298" s="646"/>
      <c r="K298" s="631"/>
      <c r="L298" s="631"/>
      <c r="M298" s="647"/>
    </row>
    <row r="299" ht="15.75" customHeight="1">
      <c r="B299" s="643"/>
      <c r="C299" s="631"/>
      <c r="D299" s="644"/>
      <c r="E299" s="631"/>
      <c r="F299" s="631"/>
      <c r="G299" s="645"/>
      <c r="H299" s="631"/>
      <c r="I299" s="631"/>
      <c r="J299" s="646"/>
      <c r="K299" s="631"/>
      <c r="L299" s="631"/>
      <c r="M299" s="647"/>
    </row>
    <row r="300" ht="15.75" customHeight="1">
      <c r="B300" s="643"/>
      <c r="C300" s="631"/>
      <c r="D300" s="644"/>
      <c r="E300" s="631"/>
      <c r="F300" s="631"/>
      <c r="G300" s="645"/>
      <c r="H300" s="631"/>
      <c r="I300" s="631"/>
      <c r="J300" s="646"/>
      <c r="K300" s="631"/>
      <c r="L300" s="631"/>
      <c r="M300" s="647"/>
    </row>
    <row r="301" ht="15.75" customHeight="1">
      <c r="B301" s="643"/>
      <c r="C301" s="631"/>
      <c r="D301" s="644"/>
      <c r="E301" s="631"/>
      <c r="F301" s="631"/>
      <c r="G301" s="645"/>
      <c r="H301" s="631"/>
      <c r="I301" s="631"/>
      <c r="J301" s="646"/>
      <c r="K301" s="631"/>
      <c r="L301" s="631"/>
      <c r="M301" s="647"/>
    </row>
    <row r="302" ht="15.75" customHeight="1">
      <c r="B302" s="643"/>
      <c r="C302" s="631"/>
      <c r="D302" s="644"/>
      <c r="E302" s="631"/>
      <c r="F302" s="631"/>
      <c r="G302" s="645"/>
      <c r="H302" s="631"/>
      <c r="I302" s="631"/>
      <c r="J302" s="646"/>
      <c r="K302" s="631"/>
      <c r="L302" s="631"/>
      <c r="M302" s="647"/>
    </row>
    <row r="303" ht="15.75" customHeight="1">
      <c r="B303" s="643"/>
      <c r="C303" s="631"/>
      <c r="D303" s="644"/>
      <c r="E303" s="631"/>
      <c r="F303" s="631"/>
      <c r="G303" s="645"/>
      <c r="H303" s="631"/>
      <c r="I303" s="631"/>
      <c r="J303" s="646"/>
      <c r="K303" s="631"/>
      <c r="L303" s="631"/>
      <c r="M303" s="647"/>
    </row>
    <row r="304" ht="15.75" customHeight="1">
      <c r="B304" s="643"/>
      <c r="C304" s="631"/>
      <c r="D304" s="644"/>
      <c r="E304" s="631"/>
      <c r="F304" s="631"/>
      <c r="G304" s="645"/>
      <c r="H304" s="631"/>
      <c r="I304" s="631"/>
      <c r="J304" s="646"/>
      <c r="K304" s="631"/>
      <c r="L304" s="631"/>
      <c r="M304" s="647"/>
    </row>
    <row r="305" ht="15.75" customHeight="1">
      <c r="B305" s="643"/>
      <c r="C305" s="631"/>
      <c r="D305" s="644"/>
      <c r="E305" s="631"/>
      <c r="F305" s="631"/>
      <c r="G305" s="645"/>
      <c r="H305" s="631"/>
      <c r="I305" s="631"/>
      <c r="J305" s="646"/>
      <c r="K305" s="631"/>
      <c r="L305" s="631"/>
      <c r="M305" s="647"/>
    </row>
    <row r="306" ht="15.75" customHeight="1">
      <c r="B306" s="643"/>
      <c r="C306" s="631"/>
      <c r="D306" s="644"/>
      <c r="E306" s="631"/>
      <c r="F306" s="631"/>
      <c r="G306" s="645"/>
      <c r="H306" s="631"/>
      <c r="I306" s="631"/>
      <c r="J306" s="646"/>
      <c r="K306" s="631"/>
      <c r="L306" s="631"/>
      <c r="M306" s="647"/>
    </row>
    <row r="307" ht="15.75" customHeight="1">
      <c r="B307" s="643"/>
      <c r="C307" s="631"/>
      <c r="D307" s="644"/>
      <c r="E307" s="631"/>
      <c r="F307" s="631"/>
      <c r="G307" s="645"/>
      <c r="H307" s="631"/>
      <c r="I307" s="631"/>
      <c r="J307" s="646"/>
      <c r="K307" s="631"/>
      <c r="L307" s="631"/>
      <c r="M307" s="647"/>
    </row>
    <row r="308" ht="15.75" customHeight="1">
      <c r="B308" s="643"/>
      <c r="C308" s="631"/>
      <c r="D308" s="644"/>
      <c r="E308" s="631"/>
      <c r="F308" s="631"/>
      <c r="G308" s="645"/>
      <c r="H308" s="631"/>
      <c r="I308" s="631"/>
      <c r="J308" s="646"/>
      <c r="K308" s="631"/>
      <c r="L308" s="631"/>
      <c r="M308" s="647"/>
    </row>
    <row r="309" ht="15.75" customHeight="1">
      <c r="B309" s="643"/>
      <c r="C309" s="631"/>
      <c r="D309" s="644"/>
      <c r="E309" s="631"/>
      <c r="F309" s="631"/>
      <c r="G309" s="645"/>
      <c r="H309" s="631"/>
      <c r="I309" s="631"/>
      <c r="J309" s="646"/>
      <c r="K309" s="631"/>
      <c r="L309" s="631"/>
      <c r="M309" s="647"/>
    </row>
    <row r="310" ht="15.75" customHeight="1">
      <c r="B310" s="643"/>
      <c r="C310" s="631"/>
      <c r="D310" s="644"/>
      <c r="E310" s="631"/>
      <c r="F310" s="631"/>
      <c r="G310" s="645"/>
      <c r="H310" s="631"/>
      <c r="I310" s="631"/>
      <c r="J310" s="646"/>
      <c r="K310" s="631"/>
      <c r="L310" s="631"/>
      <c r="M310" s="647"/>
    </row>
    <row r="311" ht="15.75" customHeight="1">
      <c r="B311" s="643"/>
      <c r="C311" s="631"/>
      <c r="D311" s="644"/>
      <c r="E311" s="631"/>
      <c r="F311" s="631"/>
      <c r="G311" s="645"/>
      <c r="H311" s="631"/>
      <c r="I311" s="631"/>
      <c r="J311" s="646"/>
      <c r="K311" s="631"/>
      <c r="L311" s="631"/>
      <c r="M311" s="647"/>
    </row>
    <row r="312" ht="15.75" customHeight="1">
      <c r="B312" s="643"/>
      <c r="C312" s="631"/>
      <c r="D312" s="644"/>
      <c r="E312" s="631"/>
      <c r="F312" s="631"/>
      <c r="G312" s="645"/>
      <c r="H312" s="631"/>
      <c r="I312" s="631"/>
      <c r="J312" s="646"/>
      <c r="K312" s="631"/>
      <c r="L312" s="631"/>
      <c r="M312" s="647"/>
    </row>
    <row r="313" ht="15.75" customHeight="1">
      <c r="B313" s="643"/>
      <c r="C313" s="631"/>
      <c r="D313" s="644"/>
      <c r="E313" s="631"/>
      <c r="F313" s="631"/>
      <c r="G313" s="645"/>
      <c r="H313" s="631"/>
      <c r="I313" s="631"/>
      <c r="J313" s="646"/>
      <c r="K313" s="631"/>
      <c r="L313" s="631"/>
      <c r="M313" s="647"/>
    </row>
    <row r="314" ht="15.75" customHeight="1">
      <c r="B314" s="643"/>
      <c r="C314" s="631"/>
      <c r="D314" s="644"/>
      <c r="E314" s="631"/>
      <c r="F314" s="631"/>
      <c r="G314" s="645"/>
      <c r="H314" s="631"/>
      <c r="I314" s="631"/>
      <c r="J314" s="646"/>
      <c r="K314" s="631"/>
      <c r="L314" s="631"/>
      <c r="M314" s="647"/>
    </row>
    <row r="315" ht="15.75" customHeight="1">
      <c r="B315" s="643"/>
      <c r="C315" s="631"/>
      <c r="D315" s="644"/>
      <c r="E315" s="631"/>
      <c r="F315" s="631"/>
      <c r="G315" s="645"/>
      <c r="H315" s="631"/>
      <c r="I315" s="631"/>
      <c r="J315" s="646"/>
      <c r="K315" s="631"/>
      <c r="L315" s="631"/>
      <c r="M315" s="647"/>
    </row>
    <row r="316" ht="15.75" customHeight="1">
      <c r="B316" s="643"/>
      <c r="C316" s="631"/>
      <c r="D316" s="644"/>
      <c r="E316" s="631"/>
      <c r="F316" s="631"/>
      <c r="G316" s="645"/>
      <c r="H316" s="631"/>
      <c r="I316" s="631"/>
      <c r="J316" s="646"/>
      <c r="K316" s="631"/>
      <c r="L316" s="631"/>
      <c r="M316" s="647"/>
    </row>
    <row r="317" ht="15.75" customHeight="1">
      <c r="B317" s="643"/>
      <c r="C317" s="631"/>
      <c r="D317" s="644"/>
      <c r="E317" s="631"/>
      <c r="F317" s="631"/>
      <c r="G317" s="645"/>
      <c r="H317" s="631"/>
      <c r="I317" s="631"/>
      <c r="J317" s="646"/>
      <c r="K317" s="631"/>
      <c r="L317" s="631"/>
      <c r="M317" s="647"/>
    </row>
    <row r="318" ht="15.75" customHeight="1">
      <c r="B318" s="643"/>
      <c r="C318" s="631"/>
      <c r="D318" s="644"/>
      <c r="E318" s="631"/>
      <c r="F318" s="631"/>
      <c r="G318" s="645"/>
      <c r="H318" s="631"/>
      <c r="I318" s="631"/>
      <c r="J318" s="646"/>
      <c r="K318" s="631"/>
      <c r="L318" s="631"/>
      <c r="M318" s="647"/>
    </row>
    <row r="319" ht="15.75" customHeight="1">
      <c r="B319" s="643"/>
      <c r="C319" s="631"/>
      <c r="D319" s="644"/>
      <c r="E319" s="631"/>
      <c r="F319" s="631"/>
      <c r="G319" s="645"/>
      <c r="H319" s="631"/>
      <c r="I319" s="631"/>
      <c r="J319" s="646"/>
      <c r="K319" s="631"/>
      <c r="L319" s="631"/>
      <c r="M319" s="647"/>
    </row>
    <row r="320" ht="15.75" customHeight="1">
      <c r="B320" s="643"/>
      <c r="C320" s="631"/>
      <c r="D320" s="644"/>
      <c r="E320" s="631"/>
      <c r="F320" s="631"/>
      <c r="G320" s="645"/>
      <c r="H320" s="631"/>
      <c r="I320" s="631"/>
      <c r="J320" s="646"/>
      <c r="K320" s="631"/>
      <c r="L320" s="631"/>
      <c r="M320" s="647"/>
    </row>
    <row r="321" ht="15.75" customHeight="1">
      <c r="B321" s="643"/>
      <c r="C321" s="631"/>
      <c r="D321" s="644"/>
      <c r="E321" s="631"/>
      <c r="F321" s="631"/>
      <c r="G321" s="645"/>
      <c r="H321" s="631"/>
      <c r="I321" s="631"/>
      <c r="J321" s="646"/>
      <c r="K321" s="631"/>
      <c r="L321" s="631"/>
      <c r="M321" s="647"/>
    </row>
    <row r="322" ht="15.75" customHeight="1">
      <c r="B322" s="643"/>
      <c r="C322" s="631"/>
      <c r="D322" s="644"/>
      <c r="E322" s="631"/>
      <c r="F322" s="631"/>
      <c r="G322" s="645"/>
      <c r="H322" s="631"/>
      <c r="I322" s="631"/>
      <c r="J322" s="646"/>
      <c r="K322" s="631"/>
      <c r="L322" s="631"/>
      <c r="M322" s="647"/>
    </row>
    <row r="323" ht="15.75" customHeight="1">
      <c r="B323" s="643"/>
      <c r="C323" s="631"/>
      <c r="D323" s="644"/>
      <c r="E323" s="631"/>
      <c r="F323" s="631"/>
      <c r="G323" s="645"/>
      <c r="H323" s="631"/>
      <c r="I323" s="631"/>
      <c r="J323" s="646"/>
      <c r="K323" s="631"/>
      <c r="L323" s="631"/>
      <c r="M323" s="647"/>
    </row>
    <row r="324" ht="15.75" customHeight="1">
      <c r="B324" s="643"/>
      <c r="C324" s="631"/>
      <c r="D324" s="644"/>
      <c r="E324" s="631"/>
      <c r="F324" s="631"/>
      <c r="G324" s="645"/>
      <c r="H324" s="631"/>
      <c r="I324" s="631"/>
      <c r="J324" s="646"/>
      <c r="K324" s="631"/>
      <c r="L324" s="631"/>
      <c r="M324" s="647"/>
    </row>
    <row r="325" ht="15.75" customHeight="1">
      <c r="B325" s="643"/>
      <c r="C325" s="631"/>
      <c r="D325" s="644"/>
      <c r="E325" s="631"/>
      <c r="F325" s="631"/>
      <c r="G325" s="645"/>
      <c r="H325" s="631"/>
      <c r="I325" s="631"/>
      <c r="J325" s="646"/>
      <c r="K325" s="631"/>
      <c r="L325" s="631"/>
      <c r="M325" s="647"/>
    </row>
    <row r="326" ht="15.75" customHeight="1">
      <c r="B326" s="643"/>
      <c r="C326" s="631"/>
      <c r="D326" s="644"/>
      <c r="E326" s="631"/>
      <c r="F326" s="631"/>
      <c r="G326" s="645"/>
      <c r="H326" s="631"/>
      <c r="I326" s="631"/>
      <c r="J326" s="646"/>
      <c r="K326" s="631"/>
      <c r="L326" s="631"/>
      <c r="M326" s="647"/>
    </row>
    <row r="327" ht="15.75" customHeight="1">
      <c r="B327" s="643"/>
      <c r="C327" s="631"/>
      <c r="D327" s="644"/>
      <c r="E327" s="631"/>
      <c r="F327" s="631"/>
      <c r="G327" s="645"/>
      <c r="H327" s="631"/>
      <c r="I327" s="631"/>
      <c r="J327" s="646"/>
      <c r="K327" s="631"/>
      <c r="L327" s="631"/>
      <c r="M327" s="647"/>
    </row>
    <row r="328" ht="15.75" customHeight="1">
      <c r="B328" s="643"/>
      <c r="C328" s="631"/>
      <c r="D328" s="644"/>
      <c r="E328" s="631"/>
      <c r="F328" s="631"/>
      <c r="G328" s="645"/>
      <c r="H328" s="631"/>
      <c r="I328" s="631"/>
      <c r="J328" s="646"/>
      <c r="K328" s="631"/>
      <c r="L328" s="631"/>
      <c r="M328" s="647"/>
    </row>
    <row r="329" ht="15.75" customHeight="1">
      <c r="B329" s="643"/>
      <c r="C329" s="631"/>
      <c r="D329" s="644"/>
      <c r="E329" s="631"/>
      <c r="F329" s="631"/>
      <c r="G329" s="645"/>
      <c r="H329" s="631"/>
      <c r="I329" s="631"/>
      <c r="J329" s="646"/>
      <c r="K329" s="631"/>
      <c r="L329" s="631"/>
      <c r="M329" s="647"/>
    </row>
    <row r="330" ht="15.75" customHeight="1">
      <c r="B330" s="643"/>
      <c r="C330" s="631"/>
      <c r="D330" s="644"/>
      <c r="E330" s="631"/>
      <c r="F330" s="631"/>
      <c r="G330" s="645"/>
      <c r="H330" s="631"/>
      <c r="I330" s="631"/>
      <c r="J330" s="646"/>
      <c r="K330" s="631"/>
      <c r="L330" s="631"/>
      <c r="M330" s="647"/>
    </row>
    <row r="331" ht="15.75" customHeight="1">
      <c r="B331" s="643"/>
      <c r="C331" s="631"/>
      <c r="D331" s="644"/>
      <c r="E331" s="631"/>
      <c r="F331" s="631"/>
      <c r="G331" s="645"/>
      <c r="H331" s="631"/>
      <c r="I331" s="631"/>
      <c r="J331" s="646"/>
      <c r="K331" s="631"/>
      <c r="L331" s="631"/>
      <c r="M331" s="647"/>
    </row>
    <row r="332" ht="15.75" customHeight="1">
      <c r="B332" s="643"/>
      <c r="C332" s="631"/>
      <c r="D332" s="644"/>
      <c r="E332" s="631"/>
      <c r="F332" s="631"/>
      <c r="G332" s="645"/>
      <c r="H332" s="631"/>
      <c r="I332" s="631"/>
      <c r="J332" s="646"/>
      <c r="K332" s="631"/>
      <c r="L332" s="631"/>
      <c r="M332" s="647"/>
    </row>
    <row r="333" ht="15.75" customHeight="1">
      <c r="B333" s="643"/>
      <c r="C333" s="631"/>
      <c r="D333" s="644"/>
      <c r="E333" s="631"/>
      <c r="F333" s="631"/>
      <c r="G333" s="645"/>
      <c r="H333" s="631"/>
      <c r="I333" s="631"/>
      <c r="J333" s="646"/>
      <c r="K333" s="631"/>
      <c r="L333" s="631"/>
      <c r="M333" s="647"/>
    </row>
    <row r="334" ht="15.75" customHeight="1">
      <c r="B334" s="643"/>
      <c r="C334" s="631"/>
      <c r="D334" s="644"/>
      <c r="E334" s="631"/>
      <c r="F334" s="631"/>
      <c r="G334" s="645"/>
      <c r="H334" s="631"/>
      <c r="I334" s="631"/>
      <c r="J334" s="646"/>
      <c r="K334" s="631"/>
      <c r="L334" s="631"/>
      <c r="M334" s="647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