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drawings/drawing4.xml" ContentType="application/vnd.openxmlformats-officedocument.drawingml.chartshapes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ml.chartshapes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drawings/drawing7.xml" ContentType="application/vnd.openxmlformats-officedocument.drawingml.chartshapes+xml"/>
  <Override PartName="/xl/charts/chart2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ml.chartshapes+xml"/>
  <Override PartName="/xl/charts/chart2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drawings/drawing10.xml" ContentType="application/vnd.openxmlformats-officedocument.drawingml.chartshapes+xml"/>
  <Override PartName="/xl/charts/chart2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ml.chartshapes+xml"/>
  <Override PartName="/xl/charts/chart29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2.xml" ContentType="application/vnd.openxmlformats-officedocument.drawing+xml"/>
  <Override PartName="/xl/charts/chart30.xml" ContentType="application/vnd.openxmlformats-officedocument.drawingml.chart+xml"/>
  <Override PartName="/xl/drawings/drawing13.xml" ContentType="application/vnd.openxmlformats-officedocument.drawingml.chartshapes+xml"/>
  <Override PartName="/xl/charts/chart31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4.xml" ContentType="application/vnd.openxmlformats-officedocument.drawingml.chartshapes+xml"/>
  <Override PartName="/xl/charts/chart32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5.xml" ContentType="application/vnd.openxmlformats-officedocument.drawing+xml"/>
  <Override PartName="/xl/charts/chart33.xml" ContentType="application/vnd.openxmlformats-officedocument.drawingml.chart+xml"/>
  <Override PartName="/xl/drawings/drawing16.xml" ContentType="application/vnd.openxmlformats-officedocument.drawingml.chartshapes+xml"/>
  <Override PartName="/xl/charts/chart34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7.xml" ContentType="application/vnd.openxmlformats-officedocument.drawingml.chartshapes+xml"/>
  <Override PartName="/xl/charts/chart3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ntinagirardi/Downloads/"/>
    </mc:Choice>
  </mc:AlternateContent>
  <xr:revisionPtr revIDLastSave="0" documentId="13_ncr:1_{75A3B365-6D0D-BC46-8627-1DA0AEFCAFE1}" xr6:coauthVersionLast="47" xr6:coauthVersionMax="47" xr10:uidLastSave="{00000000-0000-0000-0000-000000000000}"/>
  <bookViews>
    <workbookView xWindow="0" yWindow="0" windowWidth="28800" windowHeight="18000" activeTab="6" xr2:uid="{7AE4D356-34BB-1346-948A-9E33E77CFC23}"/>
  </bookViews>
  <sheets>
    <sheet name="RESUMEN" sheetId="1" r:id="rId1"/>
    <sheet name="RELACIÓN HIERRO" sheetId="7" r:id="rId2"/>
    <sheet name="Bal S 1-23" sheetId="2" r:id="rId3"/>
    <sheet name="Bal S 24-47" sheetId="3" r:id="rId4"/>
    <sheet name="Bal S 48-70" sheetId="4" r:id="rId5"/>
    <sheet name="Bal S 71-92" sheetId="5" r:id="rId6"/>
    <sheet name="Bal S 93-113" sheetId="6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1" i="2" l="1"/>
  <c r="L171" i="2" s="1"/>
  <c r="K171" i="2"/>
  <c r="J171" i="2"/>
  <c r="I171" i="2"/>
  <c r="H171" i="2"/>
  <c r="F171" i="2"/>
  <c r="L170" i="2"/>
  <c r="K170" i="2"/>
  <c r="K166" i="2"/>
  <c r="M166" i="2" s="1"/>
  <c r="G160" i="6"/>
  <c r="H160" i="6"/>
  <c r="J160" i="6"/>
  <c r="I160" i="6"/>
  <c r="F160" i="6"/>
  <c r="J166" i="5"/>
  <c r="I166" i="5"/>
  <c r="H166" i="5"/>
  <c r="G166" i="5"/>
  <c r="F166" i="5"/>
  <c r="G165" i="5"/>
  <c r="J165" i="5"/>
  <c r="I165" i="5"/>
  <c r="H165" i="5"/>
  <c r="F165" i="5"/>
  <c r="J176" i="3"/>
  <c r="I176" i="3"/>
  <c r="H176" i="3"/>
  <c r="G176" i="3"/>
  <c r="F176" i="3"/>
  <c r="H175" i="3"/>
  <c r="K175" i="3" s="1"/>
  <c r="I175" i="3"/>
  <c r="J175" i="3"/>
  <c r="G175" i="3"/>
  <c r="F175" i="3"/>
  <c r="K171" i="4"/>
  <c r="G171" i="4"/>
  <c r="H171" i="4"/>
  <c r="I171" i="4"/>
  <c r="J171" i="4"/>
  <c r="F171" i="4"/>
  <c r="K170" i="4"/>
  <c r="K167" i="4"/>
  <c r="F167" i="2"/>
  <c r="F125" i="3"/>
  <c r="F13" i="7"/>
  <c r="K160" i="6" l="1"/>
  <c r="K166" i="5"/>
  <c r="K165" i="5"/>
  <c r="K176" i="3"/>
  <c r="I161" i="2"/>
  <c r="X32" i="1"/>
  <c r="X34" i="1"/>
  <c r="X33" i="1"/>
  <c r="X31" i="1"/>
  <c r="X30" i="1"/>
  <c r="X29" i="1"/>
  <c r="X28" i="1"/>
  <c r="X27" i="1"/>
  <c r="AD14" i="1"/>
  <c r="AD15" i="1"/>
  <c r="AC15" i="1"/>
  <c r="AC14" i="1"/>
  <c r="Y25" i="1"/>
  <c r="Y26" i="1"/>
  <c r="I46" i="5"/>
  <c r="I45" i="5"/>
  <c r="J47" i="4"/>
  <c r="J46" i="4"/>
  <c r="P65" i="1"/>
  <c r="P64" i="1"/>
  <c r="AN20" i="1"/>
  <c r="AN21" i="1"/>
  <c r="AM21" i="1"/>
  <c r="AM20" i="1"/>
  <c r="L65" i="1"/>
  <c r="L64" i="1"/>
  <c r="D65" i="1"/>
  <c r="D64" i="1"/>
  <c r="N65" i="1"/>
  <c r="N64" i="1"/>
  <c r="F65" i="1"/>
  <c r="F64" i="1"/>
  <c r="M65" i="1"/>
  <c r="M64" i="1"/>
  <c r="E65" i="1"/>
  <c r="E64" i="1"/>
  <c r="H161" i="6" l="1"/>
  <c r="J161" i="6"/>
  <c r="I161" i="6"/>
  <c r="G161" i="6"/>
  <c r="F161" i="6"/>
  <c r="Q63" i="1"/>
  <c r="Q62" i="1"/>
  <c r="Q61" i="1"/>
  <c r="Q60" i="1"/>
  <c r="Q59" i="1"/>
  <c r="Q58" i="1"/>
  <c r="Q57" i="1"/>
  <c r="Q56" i="1"/>
  <c r="F93" i="6"/>
  <c r="F124" i="6" s="1"/>
  <c r="D93" i="6"/>
  <c r="D94" i="6" s="1"/>
  <c r="D95" i="6" s="1"/>
  <c r="D96" i="6" s="1"/>
  <c r="D97" i="6"/>
  <c r="E93" i="6"/>
  <c r="E124" i="6" s="1"/>
  <c r="C93" i="6"/>
  <c r="C94" i="6" s="1"/>
  <c r="C95" i="6" s="1"/>
  <c r="C96" i="6" s="1"/>
  <c r="C97" i="6"/>
  <c r="C98" i="6" s="1"/>
  <c r="C99" i="6" s="1"/>
  <c r="C100" i="6" s="1"/>
  <c r="C101" i="6" s="1"/>
  <c r="C102" i="6" s="1"/>
  <c r="C103" i="6" s="1"/>
  <c r="C104" i="6" s="1"/>
  <c r="C105" i="6" s="1"/>
  <c r="C106" i="6" s="1"/>
  <c r="F112" i="6"/>
  <c r="F113" i="6" s="1"/>
  <c r="F117" i="6" s="1"/>
  <c r="F106" i="6"/>
  <c r="F137" i="6" s="1"/>
  <c r="F104" i="6"/>
  <c r="F100" i="6"/>
  <c r="F97" i="6"/>
  <c r="E97" i="6"/>
  <c r="E98" i="6" s="1"/>
  <c r="E99" i="6" s="1"/>
  <c r="E100" i="6" s="1"/>
  <c r="E101" i="6" s="1"/>
  <c r="E102" i="6" s="1"/>
  <c r="E103" i="6" s="1"/>
  <c r="E104" i="6" s="1"/>
  <c r="E105" i="6" s="1"/>
  <c r="E106" i="6" s="1"/>
  <c r="D112" i="6"/>
  <c r="D113" i="6" s="1"/>
  <c r="D117" i="6" s="1"/>
  <c r="D106" i="6"/>
  <c r="D137" i="6" s="1"/>
  <c r="D104" i="6"/>
  <c r="D100" i="6"/>
  <c r="D131" i="6" s="1"/>
  <c r="F62" i="6"/>
  <c r="F63" i="6"/>
  <c r="F61" i="6"/>
  <c r="F55" i="6"/>
  <c r="F56" i="6"/>
  <c r="F54" i="6"/>
  <c r="F49" i="6"/>
  <c r="F50" i="6"/>
  <c r="F48" i="6"/>
  <c r="F47" i="6"/>
  <c r="F43" i="6"/>
  <c r="D63" i="6"/>
  <c r="D62" i="6"/>
  <c r="D61" i="6"/>
  <c r="D55" i="6"/>
  <c r="D56" i="6"/>
  <c r="D54" i="6"/>
  <c r="D48" i="6"/>
  <c r="D49" i="6"/>
  <c r="D50" i="6"/>
  <c r="D47" i="6"/>
  <c r="D43" i="6"/>
  <c r="E62" i="6"/>
  <c r="E63" i="6"/>
  <c r="E61" i="6"/>
  <c r="E55" i="6"/>
  <c r="E56" i="6"/>
  <c r="E54" i="6"/>
  <c r="E51" i="6" s="1"/>
  <c r="E52" i="6" s="1"/>
  <c r="E53" i="6" s="1"/>
  <c r="E49" i="6"/>
  <c r="E50" i="6"/>
  <c r="E48" i="6"/>
  <c r="E47" i="6"/>
  <c r="E43" i="6"/>
  <c r="C63" i="6"/>
  <c r="C62" i="6"/>
  <c r="C61" i="6"/>
  <c r="C56" i="6"/>
  <c r="C55" i="6"/>
  <c r="C54" i="6"/>
  <c r="C48" i="6"/>
  <c r="C49" i="6"/>
  <c r="C50" i="6"/>
  <c r="C47" i="6"/>
  <c r="C43" i="6"/>
  <c r="C44" i="6" s="1"/>
  <c r="C45" i="6" s="1"/>
  <c r="C46" i="6" s="1"/>
  <c r="G11" i="6"/>
  <c r="E34" i="6" s="1"/>
  <c r="G8" i="6"/>
  <c r="J5" i="7"/>
  <c r="J7" i="7" s="1"/>
  <c r="F6" i="7" s="1"/>
  <c r="D15" i="7" s="1"/>
  <c r="F15" i="7" s="1"/>
  <c r="G11" i="5"/>
  <c r="G8" i="5"/>
  <c r="C44" i="5"/>
  <c r="D44" i="5"/>
  <c r="D45" i="5" s="1"/>
  <c r="D46" i="5" s="1"/>
  <c r="D47" i="5" s="1"/>
  <c r="D48" i="5" s="1"/>
  <c r="E44" i="5"/>
  <c r="E45" i="5" s="1"/>
  <c r="E46" i="5" s="1"/>
  <c r="E47" i="5" s="1"/>
  <c r="E48" i="5" s="1"/>
  <c r="F44" i="5"/>
  <c r="F45" i="5" s="1"/>
  <c r="F46" i="5" s="1"/>
  <c r="F47" i="5" s="1"/>
  <c r="F48" i="5" s="1"/>
  <c r="C45" i="5"/>
  <c r="C46" i="5" s="1"/>
  <c r="C47" i="5" s="1"/>
  <c r="C48" i="5" s="1"/>
  <c r="C49" i="5"/>
  <c r="D49" i="5"/>
  <c r="E49" i="5"/>
  <c r="F49" i="5"/>
  <c r="C50" i="5"/>
  <c r="D50" i="5"/>
  <c r="E50" i="5"/>
  <c r="F50" i="5"/>
  <c r="C51" i="5"/>
  <c r="D51" i="5"/>
  <c r="E51" i="5"/>
  <c r="F51" i="5"/>
  <c r="C52" i="5"/>
  <c r="D52" i="5"/>
  <c r="E52" i="5"/>
  <c r="F52" i="5"/>
  <c r="C56" i="5"/>
  <c r="C53" i="5" s="1"/>
  <c r="C54" i="5" s="1"/>
  <c r="C55" i="5" s="1"/>
  <c r="D56" i="5"/>
  <c r="D53" i="5" s="1"/>
  <c r="D54" i="5" s="1"/>
  <c r="D55" i="5" s="1"/>
  <c r="E56" i="5"/>
  <c r="E53" i="5" s="1"/>
  <c r="E54" i="5" s="1"/>
  <c r="E55" i="5" s="1"/>
  <c r="F56" i="5"/>
  <c r="F53" i="5" s="1"/>
  <c r="F54" i="5" s="1"/>
  <c r="F55" i="5" s="1"/>
  <c r="C57" i="5"/>
  <c r="D57" i="5"/>
  <c r="E57" i="5"/>
  <c r="F57" i="5"/>
  <c r="C58" i="5"/>
  <c r="D58" i="5"/>
  <c r="E58" i="5"/>
  <c r="F58" i="5"/>
  <c r="C59" i="5"/>
  <c r="D59" i="5"/>
  <c r="E59" i="5"/>
  <c r="F59" i="5"/>
  <c r="C63" i="5"/>
  <c r="C60" i="5" s="1"/>
  <c r="C61" i="5" s="1"/>
  <c r="C62" i="5" s="1"/>
  <c r="D63" i="5"/>
  <c r="D60" i="5" s="1"/>
  <c r="D61" i="5" s="1"/>
  <c r="D62" i="5" s="1"/>
  <c r="E63" i="5"/>
  <c r="E60" i="5" s="1"/>
  <c r="E61" i="5" s="1"/>
  <c r="E62" i="5" s="1"/>
  <c r="F63" i="5"/>
  <c r="F60" i="5" s="1"/>
  <c r="F61" i="5" s="1"/>
  <c r="F62" i="5" s="1"/>
  <c r="C64" i="5"/>
  <c r="D64" i="5"/>
  <c r="E64" i="5"/>
  <c r="F64" i="5"/>
  <c r="C65" i="5"/>
  <c r="D65" i="5"/>
  <c r="E65" i="5"/>
  <c r="F65" i="5"/>
  <c r="G11" i="4"/>
  <c r="G8" i="4"/>
  <c r="G11" i="3"/>
  <c r="E19" i="3" s="1"/>
  <c r="G8" i="3"/>
  <c r="F110" i="5"/>
  <c r="F111" i="5" s="1"/>
  <c r="F112" i="5" s="1"/>
  <c r="F113" i="5" s="1"/>
  <c r="F114" i="5" s="1"/>
  <c r="F115" i="5" s="1"/>
  <c r="F116" i="5" s="1"/>
  <c r="F117" i="5" s="1"/>
  <c r="F149" i="5" s="1"/>
  <c r="F109" i="5"/>
  <c r="F141" i="5" s="1"/>
  <c r="F104" i="5"/>
  <c r="F136" i="5" s="1"/>
  <c r="F103" i="5"/>
  <c r="F135" i="5" s="1"/>
  <c r="F101" i="5"/>
  <c r="F133" i="5" s="1"/>
  <c r="F102" i="5"/>
  <c r="F134" i="5" s="1"/>
  <c r="F96" i="5"/>
  <c r="F128" i="5" s="1"/>
  <c r="F105" i="5"/>
  <c r="F106" i="5" s="1"/>
  <c r="F107" i="5" s="1"/>
  <c r="F108" i="5" s="1"/>
  <c r="F140" i="5" s="1"/>
  <c r="D105" i="5"/>
  <c r="D106" i="5" s="1"/>
  <c r="D107" i="5" s="1"/>
  <c r="D108" i="5" s="1"/>
  <c r="D140" i="5" s="1"/>
  <c r="D110" i="5"/>
  <c r="D111" i="5" s="1"/>
  <c r="D112" i="5" s="1"/>
  <c r="D113" i="5" s="1"/>
  <c r="D114" i="5" s="1"/>
  <c r="D115" i="5" s="1"/>
  <c r="D116" i="5" s="1"/>
  <c r="D117" i="5" s="1"/>
  <c r="D149" i="5" s="1"/>
  <c r="D104" i="5"/>
  <c r="D136" i="5" s="1"/>
  <c r="D102" i="5"/>
  <c r="D134" i="5" s="1"/>
  <c r="D96" i="5"/>
  <c r="D97" i="5" s="1"/>
  <c r="D98" i="5" s="1"/>
  <c r="D99" i="5" s="1"/>
  <c r="D131" i="5" s="1"/>
  <c r="D109" i="5"/>
  <c r="D141" i="5" s="1"/>
  <c r="D103" i="5"/>
  <c r="D135" i="5" s="1"/>
  <c r="D101" i="5"/>
  <c r="D133" i="5" s="1"/>
  <c r="E110" i="5"/>
  <c r="E111" i="5" s="1"/>
  <c r="E112" i="5" s="1"/>
  <c r="E113" i="5" s="1"/>
  <c r="E114" i="5" s="1"/>
  <c r="E115" i="5" s="1"/>
  <c r="E116" i="5" s="1"/>
  <c r="E117" i="5" s="1"/>
  <c r="E149" i="5" s="1"/>
  <c r="C110" i="5"/>
  <c r="C111" i="5" s="1"/>
  <c r="C112" i="5" s="1"/>
  <c r="C113" i="5" s="1"/>
  <c r="C114" i="5" s="1"/>
  <c r="C115" i="5" s="1"/>
  <c r="C116" i="5" s="1"/>
  <c r="C117" i="5" s="1"/>
  <c r="C149" i="5" s="1"/>
  <c r="C96" i="5"/>
  <c r="C128" i="5" s="1"/>
  <c r="E96" i="5"/>
  <c r="E97" i="5" s="1"/>
  <c r="E98" i="5" s="1"/>
  <c r="E99" i="5" s="1"/>
  <c r="E100" i="5" s="1"/>
  <c r="E101" i="5" s="1"/>
  <c r="E102" i="5" s="1"/>
  <c r="E103" i="5" s="1"/>
  <c r="E104" i="5" s="1"/>
  <c r="E136" i="5" s="1"/>
  <c r="E109" i="5"/>
  <c r="E141" i="5" s="1"/>
  <c r="C109" i="5"/>
  <c r="C141" i="5" s="1"/>
  <c r="E18" i="5"/>
  <c r="D107" i="4"/>
  <c r="F120" i="4"/>
  <c r="F121" i="4" s="1"/>
  <c r="F125" i="4" s="1"/>
  <c r="F113" i="4"/>
  <c r="F107" i="4"/>
  <c r="F102" i="4"/>
  <c r="F135" i="4" s="1"/>
  <c r="F99" i="4"/>
  <c r="D99" i="4"/>
  <c r="D120" i="4"/>
  <c r="D121" i="4" s="1"/>
  <c r="D125" i="4" s="1"/>
  <c r="D113" i="4"/>
  <c r="D102" i="4"/>
  <c r="D135" i="4" s="1"/>
  <c r="E120" i="4"/>
  <c r="E121" i="4" s="1"/>
  <c r="E125" i="4" s="1"/>
  <c r="E107" i="4"/>
  <c r="E99" i="4"/>
  <c r="C120" i="4"/>
  <c r="C107" i="4"/>
  <c r="C99" i="4"/>
  <c r="C132" i="4" s="1"/>
  <c r="F67" i="4"/>
  <c r="F66" i="4"/>
  <c r="F60" i="4"/>
  <c r="F61" i="4"/>
  <c r="F62" i="4"/>
  <c r="F59" i="4"/>
  <c r="F55" i="4"/>
  <c r="F54" i="4"/>
  <c r="F53" i="4"/>
  <c r="F46" i="4"/>
  <c r="F47" i="4"/>
  <c r="F48" i="4"/>
  <c r="F45" i="4"/>
  <c r="E67" i="4"/>
  <c r="E66" i="4"/>
  <c r="E60" i="4"/>
  <c r="E61" i="4"/>
  <c r="E62" i="4"/>
  <c r="E59" i="4"/>
  <c r="E54" i="4"/>
  <c r="E55" i="4"/>
  <c r="E53" i="4"/>
  <c r="E46" i="4"/>
  <c r="E47" i="4"/>
  <c r="E48" i="4"/>
  <c r="E45" i="4"/>
  <c r="D67" i="4"/>
  <c r="D66" i="4"/>
  <c r="D62" i="4"/>
  <c r="D61" i="4"/>
  <c r="D60" i="4"/>
  <c r="D59" i="4"/>
  <c r="D55" i="4"/>
  <c r="D54" i="4"/>
  <c r="D53" i="4"/>
  <c r="D48" i="4"/>
  <c r="D47" i="4"/>
  <c r="D46" i="4"/>
  <c r="D45" i="4"/>
  <c r="C67" i="4"/>
  <c r="C66" i="4"/>
  <c r="C62" i="4"/>
  <c r="C60" i="4"/>
  <c r="C61" i="4"/>
  <c r="C59" i="4"/>
  <c r="C55" i="4"/>
  <c r="C54" i="4"/>
  <c r="C53" i="4"/>
  <c r="C48" i="4"/>
  <c r="C46" i="4"/>
  <c r="C47" i="4"/>
  <c r="C45" i="4"/>
  <c r="E36" i="4"/>
  <c r="E18" i="3"/>
  <c r="E21" i="3"/>
  <c r="E22" i="3"/>
  <c r="E25" i="3"/>
  <c r="E26" i="3"/>
  <c r="E29" i="3"/>
  <c r="E30" i="3"/>
  <c r="E33" i="3"/>
  <c r="E34" i="3"/>
  <c r="E37" i="3"/>
  <c r="E38" i="3"/>
  <c r="E17" i="3"/>
  <c r="F17" i="3" s="1"/>
  <c r="C18" i="3"/>
  <c r="C21" i="3"/>
  <c r="C22" i="3"/>
  <c r="C25" i="3"/>
  <c r="C26" i="3"/>
  <c r="C29" i="3"/>
  <c r="C30" i="3"/>
  <c r="C33" i="3"/>
  <c r="C34" i="3"/>
  <c r="C37" i="3"/>
  <c r="C38" i="3"/>
  <c r="C17" i="3"/>
  <c r="D17" i="3" s="1"/>
  <c r="D112" i="3"/>
  <c r="D146" i="3" s="1"/>
  <c r="F119" i="3"/>
  <c r="F120" i="3" s="1"/>
  <c r="F154" i="3" s="1"/>
  <c r="D119" i="3"/>
  <c r="D120" i="3" s="1"/>
  <c r="D154" i="3" s="1"/>
  <c r="F105" i="3"/>
  <c r="F139" i="3" s="1"/>
  <c r="D105" i="3"/>
  <c r="D102" i="3" s="1"/>
  <c r="D136" i="3" s="1"/>
  <c r="F112" i="3"/>
  <c r="F146" i="3" s="1"/>
  <c r="E112" i="3"/>
  <c r="E146" i="3" s="1"/>
  <c r="C112" i="3"/>
  <c r="C146" i="3" s="1"/>
  <c r="E69" i="3"/>
  <c r="E66" i="3"/>
  <c r="E65" i="3"/>
  <c r="E64" i="3"/>
  <c r="E63" i="3"/>
  <c r="E59" i="3"/>
  <c r="E58" i="3"/>
  <c r="E57" i="3"/>
  <c r="E56" i="3"/>
  <c r="E52" i="3"/>
  <c r="E51" i="3"/>
  <c r="E50" i="3"/>
  <c r="E49" i="3"/>
  <c r="E46" i="3" s="1"/>
  <c r="E47" i="3" s="1"/>
  <c r="E48" i="3" s="1"/>
  <c r="F69" i="3"/>
  <c r="F66" i="3"/>
  <c r="F65" i="3"/>
  <c r="F64" i="3"/>
  <c r="F63" i="3"/>
  <c r="F59" i="3"/>
  <c r="F58" i="3"/>
  <c r="F57" i="3"/>
  <c r="F56" i="3"/>
  <c r="F52" i="3"/>
  <c r="F51" i="3"/>
  <c r="F50" i="3"/>
  <c r="F49" i="3"/>
  <c r="F46" i="3" s="1"/>
  <c r="F47" i="3" s="1"/>
  <c r="F48" i="3" s="1"/>
  <c r="E92" i="3"/>
  <c r="D69" i="3"/>
  <c r="D66" i="3"/>
  <c r="D65" i="3"/>
  <c r="D64" i="3"/>
  <c r="D63" i="3"/>
  <c r="D59" i="3"/>
  <c r="D58" i="3"/>
  <c r="D57" i="3"/>
  <c r="D56" i="3"/>
  <c r="D52" i="3"/>
  <c r="D51" i="3"/>
  <c r="D50" i="3"/>
  <c r="D49" i="3"/>
  <c r="D46" i="3" s="1"/>
  <c r="D47" i="3" s="1"/>
  <c r="D48" i="3" s="1"/>
  <c r="C69" i="3"/>
  <c r="C64" i="3"/>
  <c r="C65" i="3"/>
  <c r="C66" i="3"/>
  <c r="C63" i="3"/>
  <c r="C59" i="3"/>
  <c r="C57" i="3"/>
  <c r="C58" i="3"/>
  <c r="C56" i="3"/>
  <c r="C50" i="3"/>
  <c r="C51" i="3"/>
  <c r="C52" i="3"/>
  <c r="C49" i="3"/>
  <c r="C46" i="3" s="1"/>
  <c r="E100" i="2"/>
  <c r="E99" i="2" s="1"/>
  <c r="E124" i="2" s="1"/>
  <c r="C100" i="2"/>
  <c r="C99" i="2" s="1"/>
  <c r="C124" i="2" s="1"/>
  <c r="F45" i="2"/>
  <c r="E45" i="2"/>
  <c r="D45" i="2"/>
  <c r="C45" i="2"/>
  <c r="F120" i="2"/>
  <c r="F152" i="2" s="1"/>
  <c r="F112" i="2"/>
  <c r="F144" i="2" s="1"/>
  <c r="F105" i="2"/>
  <c r="F137" i="2" s="1"/>
  <c r="E120" i="2"/>
  <c r="E121" i="2" s="1"/>
  <c r="E153" i="2" s="1"/>
  <c r="E105" i="2"/>
  <c r="D120" i="2"/>
  <c r="D152" i="2" s="1"/>
  <c r="D112" i="2"/>
  <c r="D144" i="2" s="1"/>
  <c r="D105" i="2"/>
  <c r="D99" i="2" s="1"/>
  <c r="D100" i="2" s="1"/>
  <c r="D101" i="2" s="1"/>
  <c r="D102" i="2" s="1"/>
  <c r="D103" i="2" s="1"/>
  <c r="D104" i="2" s="1"/>
  <c r="C120" i="2"/>
  <c r="C121" i="2" s="1"/>
  <c r="C153" i="2" s="1"/>
  <c r="C105" i="2"/>
  <c r="C137" i="2" s="1"/>
  <c r="F67" i="2"/>
  <c r="F66" i="2"/>
  <c r="F65" i="2"/>
  <c r="F61" i="2"/>
  <c r="F60" i="2"/>
  <c r="F59" i="2"/>
  <c r="F53" i="2"/>
  <c r="F52" i="2"/>
  <c r="F51" i="2"/>
  <c r="F47" i="2"/>
  <c r="F46" i="2"/>
  <c r="E67" i="2"/>
  <c r="E66" i="2"/>
  <c r="E65" i="2"/>
  <c r="E61" i="2"/>
  <c r="E60" i="2"/>
  <c r="E59" i="2"/>
  <c r="E53" i="2"/>
  <c r="E52" i="2"/>
  <c r="E51" i="2"/>
  <c r="E47" i="2"/>
  <c r="E46" i="2"/>
  <c r="D67" i="2"/>
  <c r="D66" i="2"/>
  <c r="D65" i="2"/>
  <c r="D61" i="2"/>
  <c r="D60" i="2"/>
  <c r="D59" i="2"/>
  <c r="D53" i="2"/>
  <c r="D52" i="2"/>
  <c r="D51" i="2"/>
  <c r="D47" i="2"/>
  <c r="D46" i="2"/>
  <c r="C67" i="2"/>
  <c r="C66" i="2"/>
  <c r="C53" i="2"/>
  <c r="C52" i="2"/>
  <c r="C47" i="2"/>
  <c r="C65" i="2"/>
  <c r="C61" i="2"/>
  <c r="C60" i="2"/>
  <c r="C59" i="2"/>
  <c r="C51" i="2"/>
  <c r="C46" i="2"/>
  <c r="G11" i="2"/>
  <c r="E22" i="2" s="1"/>
  <c r="G8" i="2"/>
  <c r="W11" i="1"/>
  <c r="W10" i="1"/>
  <c r="W9" i="1"/>
  <c r="W8" i="1"/>
  <c r="W7" i="1"/>
  <c r="W6" i="1"/>
  <c r="W5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I3" i="1"/>
  <c r="Q3" i="1"/>
  <c r="I63" i="1"/>
  <c r="I62" i="1"/>
  <c r="I61" i="1"/>
  <c r="I60" i="1"/>
  <c r="I59" i="1"/>
  <c r="I58" i="1"/>
  <c r="I57" i="1"/>
  <c r="I56" i="1"/>
  <c r="Q55" i="1"/>
  <c r="I55" i="1"/>
  <c r="Q54" i="1"/>
  <c r="I54" i="1"/>
  <c r="Q53" i="1"/>
  <c r="I53" i="1"/>
  <c r="Q52" i="1"/>
  <c r="I52" i="1"/>
  <c r="Q51" i="1"/>
  <c r="I51" i="1"/>
  <c r="Q50" i="1"/>
  <c r="I50" i="1"/>
  <c r="Q49" i="1"/>
  <c r="I49" i="1"/>
  <c r="Q48" i="1"/>
  <c r="I48" i="1"/>
  <c r="Q47" i="1"/>
  <c r="I47" i="1"/>
  <c r="Q46" i="1"/>
  <c r="I46" i="1"/>
  <c r="Q45" i="1"/>
  <c r="I45" i="1"/>
  <c r="Q44" i="1"/>
  <c r="I44" i="1"/>
  <c r="Q43" i="1"/>
  <c r="I43" i="1"/>
  <c r="Q42" i="1"/>
  <c r="I42" i="1"/>
  <c r="Q41" i="1"/>
  <c r="I41" i="1"/>
  <c r="Q40" i="1"/>
  <c r="I40" i="1"/>
  <c r="Q39" i="1"/>
  <c r="I39" i="1"/>
  <c r="Q38" i="1"/>
  <c r="I38" i="1"/>
  <c r="Q37" i="1"/>
  <c r="I37" i="1"/>
  <c r="Q36" i="1"/>
  <c r="I36" i="1"/>
  <c r="Q35" i="1"/>
  <c r="I35" i="1"/>
  <c r="Q34" i="1"/>
  <c r="I34" i="1"/>
  <c r="Q33" i="1"/>
  <c r="I33" i="1"/>
  <c r="Q32" i="1"/>
  <c r="I32" i="1"/>
  <c r="Q31" i="1"/>
  <c r="I31" i="1"/>
  <c r="Q30" i="1"/>
  <c r="I30" i="1"/>
  <c r="Q29" i="1"/>
  <c r="I29" i="1"/>
  <c r="Q28" i="1"/>
  <c r="I28" i="1"/>
  <c r="Q27" i="1"/>
  <c r="I27" i="1"/>
  <c r="Q26" i="1"/>
  <c r="I26" i="1"/>
  <c r="Q25" i="1"/>
  <c r="I25" i="1"/>
  <c r="Q24" i="1"/>
  <c r="I24" i="1"/>
  <c r="Q23" i="1"/>
  <c r="I23" i="1"/>
  <c r="Q22" i="1"/>
  <c r="I22" i="1"/>
  <c r="Q21" i="1"/>
  <c r="I21" i="1"/>
  <c r="Q20" i="1"/>
  <c r="I20" i="1"/>
  <c r="Q19" i="1"/>
  <c r="I19" i="1"/>
  <c r="I18" i="1"/>
  <c r="Q17" i="1"/>
  <c r="I17" i="1"/>
  <c r="Q16" i="1"/>
  <c r="I16" i="1"/>
  <c r="Q15" i="1"/>
  <c r="I15" i="1"/>
  <c r="Q14" i="1"/>
  <c r="I14" i="1"/>
  <c r="Q13" i="1"/>
  <c r="I13" i="1"/>
  <c r="Q12" i="1"/>
  <c r="I12" i="1"/>
  <c r="Q11" i="1"/>
  <c r="I11" i="1"/>
  <c r="Q10" i="1"/>
  <c r="I10" i="1"/>
  <c r="Q9" i="1"/>
  <c r="I9" i="1"/>
  <c r="Q8" i="1"/>
  <c r="I8" i="1"/>
  <c r="Q7" i="1"/>
  <c r="I7" i="1"/>
  <c r="Q6" i="1"/>
  <c r="I6" i="1"/>
  <c r="Q5" i="1"/>
  <c r="I5" i="1"/>
  <c r="Q4" i="1"/>
  <c r="I4" i="1"/>
  <c r="K161" i="6" l="1"/>
  <c r="C47" i="3"/>
  <c r="E85" i="3"/>
  <c r="C56" i="4"/>
  <c r="F100" i="4"/>
  <c r="F101" i="4" s="1"/>
  <c r="F44" i="6"/>
  <c r="F45" i="6" s="1"/>
  <c r="F46" i="6" s="1"/>
  <c r="C89" i="5"/>
  <c r="E78" i="6"/>
  <c r="D100" i="4"/>
  <c r="D101" i="4" s="1"/>
  <c r="F114" i="4"/>
  <c r="F115" i="4" s="1"/>
  <c r="F116" i="4" s="1"/>
  <c r="F117" i="4" s="1"/>
  <c r="F118" i="4" s="1"/>
  <c r="F119" i="4" s="1"/>
  <c r="E66" i="6"/>
  <c r="F66" i="6" s="1"/>
  <c r="E71" i="6"/>
  <c r="F57" i="6"/>
  <c r="F58" i="6" s="1"/>
  <c r="F59" i="6" s="1"/>
  <c r="F60" i="6" s="1"/>
  <c r="E85" i="6"/>
  <c r="F153" i="3"/>
  <c r="E86" i="6"/>
  <c r="E84" i="3"/>
  <c r="D44" i="6"/>
  <c r="D45" i="6" s="1"/>
  <c r="D46" i="6" s="1"/>
  <c r="D57" i="6"/>
  <c r="D58" i="6" s="1"/>
  <c r="D59" i="6" s="1"/>
  <c r="D60" i="6" s="1"/>
  <c r="F98" i="6"/>
  <c r="F99" i="6" s="1"/>
  <c r="F130" i="6" s="1"/>
  <c r="F101" i="6"/>
  <c r="F102" i="6" s="1"/>
  <c r="F103" i="6" s="1"/>
  <c r="D98" i="6"/>
  <c r="D99" i="6" s="1"/>
  <c r="D130" i="6" s="1"/>
  <c r="D153" i="3"/>
  <c r="E44" i="6"/>
  <c r="E45" i="6" s="1"/>
  <c r="E46" i="6" s="1"/>
  <c r="D51" i="6"/>
  <c r="D52" i="6" s="1"/>
  <c r="D53" i="6" s="1"/>
  <c r="D53" i="3"/>
  <c r="D54" i="3" s="1"/>
  <c r="D55" i="3" s="1"/>
  <c r="E89" i="3"/>
  <c r="C113" i="3"/>
  <c r="C147" i="3" s="1"/>
  <c r="E100" i="4"/>
  <c r="E101" i="4" s="1"/>
  <c r="E102" i="4" s="1"/>
  <c r="E103" i="4" s="1"/>
  <c r="E104" i="4" s="1"/>
  <c r="E105" i="4" s="1"/>
  <c r="E106" i="4" s="1"/>
  <c r="C100" i="4"/>
  <c r="C101" i="4" s="1"/>
  <c r="C102" i="4" s="1"/>
  <c r="C103" i="4" s="1"/>
  <c r="C104" i="4" s="1"/>
  <c r="C105" i="4" s="1"/>
  <c r="C106" i="4" s="1"/>
  <c r="D142" i="5"/>
  <c r="C51" i="6"/>
  <c r="C52" i="6" s="1"/>
  <c r="C53" i="6" s="1"/>
  <c r="C86" i="6"/>
  <c r="D101" i="6"/>
  <c r="D102" i="6" s="1"/>
  <c r="D103" i="6" s="1"/>
  <c r="E60" i="3"/>
  <c r="E61" i="3" s="1"/>
  <c r="E62" i="3" s="1"/>
  <c r="F63" i="4"/>
  <c r="F64" i="4" s="1"/>
  <c r="F65" i="4" s="1"/>
  <c r="D108" i="4"/>
  <c r="D109" i="4" s="1"/>
  <c r="D142" i="4" s="1"/>
  <c r="E148" i="5"/>
  <c r="F142" i="5"/>
  <c r="E79" i="6"/>
  <c r="E94" i="6"/>
  <c r="E95" i="6" s="1"/>
  <c r="E96" i="6" s="1"/>
  <c r="F53" i="3"/>
  <c r="F54" i="3" s="1"/>
  <c r="F55" i="3" s="1"/>
  <c r="F60" i="3"/>
  <c r="F61" i="3" s="1"/>
  <c r="F62" i="3" s="1"/>
  <c r="E102" i="3"/>
  <c r="E136" i="3" s="1"/>
  <c r="C40" i="3"/>
  <c r="C36" i="3"/>
  <c r="C32" i="3"/>
  <c r="C28" i="3"/>
  <c r="C24" i="3"/>
  <c r="C20" i="3"/>
  <c r="E40" i="3"/>
  <c r="E36" i="3"/>
  <c r="E32" i="3"/>
  <c r="E28" i="3"/>
  <c r="E24" i="3"/>
  <c r="E20" i="3"/>
  <c r="E108" i="4"/>
  <c r="E109" i="4" s="1"/>
  <c r="F108" i="4"/>
  <c r="F109" i="4" s="1"/>
  <c r="F142" i="4" s="1"/>
  <c r="D138" i="5"/>
  <c r="E144" i="5"/>
  <c r="E132" i="5"/>
  <c r="F99" i="2"/>
  <c r="F131" i="6"/>
  <c r="F94" i="6"/>
  <c r="F95" i="6" s="1"/>
  <c r="F96" i="6" s="1"/>
  <c r="D60" i="3"/>
  <c r="D61" i="3" s="1"/>
  <c r="D62" i="3" s="1"/>
  <c r="D67" i="3"/>
  <c r="D68" i="3" s="1"/>
  <c r="C39" i="3"/>
  <c r="C35" i="3"/>
  <c r="C31" i="3"/>
  <c r="C27" i="3"/>
  <c r="C23" i="3"/>
  <c r="C19" i="3"/>
  <c r="E39" i="3"/>
  <c r="E35" i="3"/>
  <c r="E31" i="3"/>
  <c r="E27" i="3"/>
  <c r="E23" i="3"/>
  <c r="E80" i="4"/>
  <c r="D128" i="5"/>
  <c r="D130" i="5"/>
  <c r="E142" i="5"/>
  <c r="F138" i="5"/>
  <c r="D121" i="2"/>
  <c r="D153" i="2" s="1"/>
  <c r="C121" i="4"/>
  <c r="C125" i="4" s="1"/>
  <c r="E128" i="5"/>
  <c r="F146" i="5"/>
  <c r="F4" i="7"/>
  <c r="D13" i="7" s="1"/>
  <c r="F5" i="7"/>
  <c r="D14" i="7" s="1"/>
  <c r="F14" i="7" s="1"/>
  <c r="C57" i="6"/>
  <c r="C58" i="6" s="1"/>
  <c r="C59" i="6" s="1"/>
  <c r="C60" i="6" s="1"/>
  <c r="C85" i="6"/>
  <c r="F107" i="6"/>
  <c r="F105" i="6"/>
  <c r="E57" i="6"/>
  <c r="E58" i="6" s="1"/>
  <c r="E81" i="6" s="1"/>
  <c r="D105" i="6"/>
  <c r="C142" i="5"/>
  <c r="D107" i="6"/>
  <c r="D138" i="6" s="1"/>
  <c r="F129" i="6"/>
  <c r="E137" i="6"/>
  <c r="E107" i="6"/>
  <c r="C107" i="6"/>
  <c r="C137" i="6"/>
  <c r="F51" i="6"/>
  <c r="E74" i="6" s="1"/>
  <c r="E73" i="6"/>
  <c r="E72" i="6"/>
  <c r="E80" i="6"/>
  <c r="E27" i="6"/>
  <c r="E31" i="6"/>
  <c r="E35" i="6"/>
  <c r="C18" i="6"/>
  <c r="C20" i="6"/>
  <c r="C22" i="6"/>
  <c r="C71" i="6"/>
  <c r="C73" i="6"/>
  <c r="C24" i="6"/>
  <c r="E36" i="6"/>
  <c r="E18" i="6"/>
  <c r="C17" i="6"/>
  <c r="D17" i="6" s="1"/>
  <c r="D18" i="6" s="1"/>
  <c r="C19" i="6"/>
  <c r="C21" i="6"/>
  <c r="C23" i="6"/>
  <c r="E25" i="6"/>
  <c r="E29" i="6"/>
  <c r="E33" i="6"/>
  <c r="E37" i="6"/>
  <c r="E20" i="6"/>
  <c r="E22" i="6"/>
  <c r="E24" i="6"/>
  <c r="E28" i="6"/>
  <c r="E32" i="6"/>
  <c r="E17" i="6"/>
  <c r="F17" i="6" s="1"/>
  <c r="E19" i="6"/>
  <c r="E21" i="6"/>
  <c r="E23" i="6"/>
  <c r="E26" i="6"/>
  <c r="E30" i="6"/>
  <c r="C72" i="6"/>
  <c r="C78" i="6"/>
  <c r="C79" i="6"/>
  <c r="C124" i="6"/>
  <c r="C116" i="6"/>
  <c r="D124" i="6"/>
  <c r="D116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66" i="6"/>
  <c r="D66" i="6" s="1"/>
  <c r="E116" i="6"/>
  <c r="F116" i="6"/>
  <c r="F7" i="7"/>
  <c r="D16" i="7" s="1"/>
  <c r="F16" i="7" s="1"/>
  <c r="D124" i="2"/>
  <c r="C148" i="5"/>
  <c r="C147" i="5"/>
  <c r="C143" i="5"/>
  <c r="D145" i="5"/>
  <c r="D137" i="5"/>
  <c r="D129" i="5"/>
  <c r="E147" i="5"/>
  <c r="E143" i="5"/>
  <c r="E135" i="5"/>
  <c r="E131" i="5"/>
  <c r="F145" i="5"/>
  <c r="F137" i="5"/>
  <c r="C146" i="5"/>
  <c r="D148" i="5"/>
  <c r="D144" i="5"/>
  <c r="E146" i="5"/>
  <c r="E134" i="5"/>
  <c r="E130" i="5"/>
  <c r="F148" i="5"/>
  <c r="F144" i="5"/>
  <c r="C144" i="5"/>
  <c r="D146" i="5"/>
  <c r="C145" i="5"/>
  <c r="D147" i="5"/>
  <c r="D143" i="5"/>
  <c r="D139" i="5"/>
  <c r="E145" i="5"/>
  <c r="E133" i="5"/>
  <c r="E129" i="5"/>
  <c r="F147" i="5"/>
  <c r="F143" i="5"/>
  <c r="F139" i="5"/>
  <c r="C101" i="2"/>
  <c r="E101" i="2"/>
  <c r="E17" i="2"/>
  <c r="F17" i="2" s="1"/>
  <c r="D137" i="2"/>
  <c r="C121" i="5"/>
  <c r="D121" i="5"/>
  <c r="E121" i="5"/>
  <c r="F121" i="5"/>
  <c r="C97" i="5"/>
  <c r="F97" i="5"/>
  <c r="D100" i="5"/>
  <c r="D132" i="5" s="1"/>
  <c r="E105" i="5"/>
  <c r="C85" i="5"/>
  <c r="C38" i="5"/>
  <c r="C26" i="5"/>
  <c r="E37" i="5"/>
  <c r="E25" i="5"/>
  <c r="C82" i="5"/>
  <c r="C37" i="5"/>
  <c r="C33" i="5"/>
  <c r="C29" i="5"/>
  <c r="C25" i="5"/>
  <c r="C21" i="5"/>
  <c r="E36" i="5"/>
  <c r="E32" i="5"/>
  <c r="E28" i="5"/>
  <c r="E24" i="5"/>
  <c r="E20" i="5"/>
  <c r="C34" i="5"/>
  <c r="C22" i="5"/>
  <c r="E33" i="5"/>
  <c r="E29" i="5"/>
  <c r="C36" i="5"/>
  <c r="C32" i="5"/>
  <c r="C28" i="5"/>
  <c r="C24" i="5"/>
  <c r="C20" i="5"/>
  <c r="E17" i="5"/>
  <c r="F17" i="5" s="1"/>
  <c r="E35" i="5"/>
  <c r="E31" i="5"/>
  <c r="E27" i="5"/>
  <c r="E23" i="5"/>
  <c r="E19" i="5"/>
  <c r="C30" i="5"/>
  <c r="C18" i="5"/>
  <c r="E21" i="5"/>
  <c r="C17" i="5"/>
  <c r="D17" i="5" s="1"/>
  <c r="C35" i="5"/>
  <c r="C31" i="5"/>
  <c r="C27" i="5"/>
  <c r="C23" i="5"/>
  <c r="C19" i="5"/>
  <c r="E38" i="5"/>
  <c r="E34" i="5"/>
  <c r="E30" i="5"/>
  <c r="E26" i="5"/>
  <c r="E22" i="5"/>
  <c r="F18" i="5"/>
  <c r="E71" i="5"/>
  <c r="E68" i="5"/>
  <c r="F68" i="5" s="1"/>
  <c r="E69" i="5"/>
  <c r="E70" i="5"/>
  <c r="E76" i="5"/>
  <c r="C83" i="5"/>
  <c r="C84" i="5"/>
  <c r="C68" i="5"/>
  <c r="D68" i="5" s="1"/>
  <c r="C69" i="5"/>
  <c r="C70" i="5"/>
  <c r="C71" i="5"/>
  <c r="C76" i="5"/>
  <c r="E82" i="5"/>
  <c r="E83" i="5"/>
  <c r="E85" i="5"/>
  <c r="E89" i="5"/>
  <c r="C120" i="5"/>
  <c r="D120" i="5"/>
  <c r="E120" i="5"/>
  <c r="F120" i="5"/>
  <c r="C108" i="4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D114" i="4"/>
  <c r="D115" i="4" s="1"/>
  <c r="D116" i="4" s="1"/>
  <c r="D117" i="4" s="1"/>
  <c r="D118" i="4" s="1"/>
  <c r="D119" i="4" s="1"/>
  <c r="F103" i="4"/>
  <c r="F104" i="4" s="1"/>
  <c r="F105" i="4" s="1"/>
  <c r="F106" i="4" s="1"/>
  <c r="C63" i="4"/>
  <c r="C64" i="4" s="1"/>
  <c r="C65" i="4" s="1"/>
  <c r="E49" i="4"/>
  <c r="E50" i="4" s="1"/>
  <c r="E51" i="4" s="1"/>
  <c r="E63" i="4"/>
  <c r="E64" i="4" s="1"/>
  <c r="E65" i="4" s="1"/>
  <c r="D103" i="4"/>
  <c r="D104" i="4" s="1"/>
  <c r="D105" i="4" s="1"/>
  <c r="D106" i="4" s="1"/>
  <c r="E25" i="4"/>
  <c r="D49" i="4"/>
  <c r="D50" i="4" s="1"/>
  <c r="D51" i="4" s="1"/>
  <c r="D52" i="4" s="1"/>
  <c r="E132" i="4"/>
  <c r="C49" i="4"/>
  <c r="C50" i="4" s="1"/>
  <c r="C51" i="4" s="1"/>
  <c r="C52" i="4" s="1"/>
  <c r="D56" i="4"/>
  <c r="D57" i="4" s="1"/>
  <c r="D58" i="4" s="1"/>
  <c r="E110" i="4"/>
  <c r="E111" i="4" s="1"/>
  <c r="E112" i="4" s="1"/>
  <c r="E113" i="4" s="1"/>
  <c r="E114" i="4" s="1"/>
  <c r="E115" i="4" s="1"/>
  <c r="E116" i="4" s="1"/>
  <c r="E117" i="4" s="1"/>
  <c r="E118" i="4" s="1"/>
  <c r="E119" i="4" s="1"/>
  <c r="E142" i="4"/>
  <c r="F149" i="4"/>
  <c r="D110" i="4"/>
  <c r="D111" i="4" s="1"/>
  <c r="D112" i="4" s="1"/>
  <c r="E73" i="4"/>
  <c r="E56" i="4"/>
  <c r="E57" i="4" s="1"/>
  <c r="F56" i="4"/>
  <c r="F57" i="4" s="1"/>
  <c r="F58" i="4" s="1"/>
  <c r="C57" i="4"/>
  <c r="C58" i="4" s="1"/>
  <c r="E29" i="4"/>
  <c r="E17" i="4"/>
  <c r="F17" i="4" s="1"/>
  <c r="E33" i="4"/>
  <c r="C87" i="4"/>
  <c r="E21" i="4"/>
  <c r="E37" i="4"/>
  <c r="D124" i="4"/>
  <c r="C80" i="4"/>
  <c r="C73" i="4"/>
  <c r="D63" i="4"/>
  <c r="D64" i="4" s="1"/>
  <c r="D65" i="4" s="1"/>
  <c r="C90" i="4" s="1"/>
  <c r="F49" i="4"/>
  <c r="F50" i="4" s="1"/>
  <c r="E87" i="4"/>
  <c r="E18" i="4"/>
  <c r="E26" i="4"/>
  <c r="E34" i="4"/>
  <c r="E22" i="4"/>
  <c r="E30" i="4"/>
  <c r="E38" i="4"/>
  <c r="E70" i="4"/>
  <c r="F70" i="4" s="1"/>
  <c r="E19" i="4"/>
  <c r="E23" i="4"/>
  <c r="E27" i="4"/>
  <c r="E31" i="4"/>
  <c r="E35" i="4"/>
  <c r="E39" i="4"/>
  <c r="F132" i="4"/>
  <c r="E20" i="4"/>
  <c r="E24" i="4"/>
  <c r="E28" i="4"/>
  <c r="E32" i="4"/>
  <c r="C17" i="4"/>
  <c r="D17" i="4" s="1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124" i="4"/>
  <c r="E124" i="4"/>
  <c r="C102" i="3"/>
  <c r="E113" i="3"/>
  <c r="E147" i="3" s="1"/>
  <c r="D106" i="3"/>
  <c r="D140" i="3" s="1"/>
  <c r="D113" i="3"/>
  <c r="D147" i="3" s="1"/>
  <c r="F102" i="3"/>
  <c r="F136" i="3" s="1"/>
  <c r="D139" i="3"/>
  <c r="E76" i="3"/>
  <c r="E83" i="3"/>
  <c r="C72" i="3"/>
  <c r="D72" i="3" s="1"/>
  <c r="C53" i="3"/>
  <c r="C54" i="3" s="1"/>
  <c r="F67" i="3"/>
  <c r="F68" i="3" s="1"/>
  <c r="E91" i="3"/>
  <c r="E90" i="3"/>
  <c r="E77" i="3"/>
  <c r="E75" i="3"/>
  <c r="E95" i="3"/>
  <c r="E82" i="3"/>
  <c r="E78" i="3"/>
  <c r="E53" i="3"/>
  <c r="E54" i="3" s="1"/>
  <c r="E55" i="3" s="1"/>
  <c r="E67" i="3"/>
  <c r="E68" i="3" s="1"/>
  <c r="E72" i="3"/>
  <c r="F72" i="3" s="1"/>
  <c r="C75" i="3"/>
  <c r="C77" i="3"/>
  <c r="C83" i="3"/>
  <c r="C85" i="3"/>
  <c r="C95" i="3"/>
  <c r="F18" i="3"/>
  <c r="F19" i="3" s="1"/>
  <c r="F20" i="3" s="1"/>
  <c r="F21" i="3" s="1"/>
  <c r="F22" i="3" s="1"/>
  <c r="F23" i="3" s="1"/>
  <c r="D18" i="3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C76" i="3"/>
  <c r="C78" i="3"/>
  <c r="C82" i="3"/>
  <c r="C84" i="3"/>
  <c r="C48" i="3"/>
  <c r="I47" i="3" s="1"/>
  <c r="C60" i="3"/>
  <c r="C89" i="3"/>
  <c r="C90" i="3"/>
  <c r="C91" i="3"/>
  <c r="C92" i="3"/>
  <c r="C67" i="3"/>
  <c r="F106" i="3"/>
  <c r="F140" i="3" s="1"/>
  <c r="F113" i="3"/>
  <c r="F147" i="3" s="1"/>
  <c r="E132" i="2"/>
  <c r="E70" i="2"/>
  <c r="F70" i="2" s="1"/>
  <c r="C70" i="2"/>
  <c r="D70" i="2" s="1"/>
  <c r="D54" i="2"/>
  <c r="D55" i="2" s="1"/>
  <c r="D56" i="2" s="1"/>
  <c r="D57" i="2" s="1"/>
  <c r="D58" i="2" s="1"/>
  <c r="C85" i="2"/>
  <c r="C77" i="2"/>
  <c r="D62" i="2"/>
  <c r="D63" i="2" s="1"/>
  <c r="D64" i="2" s="1"/>
  <c r="C17" i="2"/>
  <c r="D17" i="2" s="1"/>
  <c r="F121" i="2"/>
  <c r="F153" i="2" s="1"/>
  <c r="F113" i="2"/>
  <c r="E137" i="2"/>
  <c r="C152" i="2"/>
  <c r="C92" i="2"/>
  <c r="E71" i="2"/>
  <c r="E90" i="2"/>
  <c r="C106" i="2"/>
  <c r="C138" i="2" s="1"/>
  <c r="E152" i="2"/>
  <c r="E76" i="2"/>
  <c r="E92" i="2"/>
  <c r="E106" i="2"/>
  <c r="C91" i="2"/>
  <c r="D48" i="2"/>
  <c r="D49" i="2" s="1"/>
  <c r="D50" i="2" s="1"/>
  <c r="E77" i="2"/>
  <c r="E86" i="2"/>
  <c r="F106" i="2"/>
  <c r="F138" i="2" s="1"/>
  <c r="E85" i="2"/>
  <c r="C84" i="2"/>
  <c r="C72" i="2"/>
  <c r="E54" i="2"/>
  <c r="E55" i="2" s="1"/>
  <c r="F48" i="2"/>
  <c r="F49" i="2" s="1"/>
  <c r="F50" i="2" s="1"/>
  <c r="E91" i="2"/>
  <c r="F100" i="2"/>
  <c r="F132" i="2" s="1"/>
  <c r="C71" i="2"/>
  <c r="C86" i="2"/>
  <c r="C78" i="2"/>
  <c r="C76" i="2"/>
  <c r="C90" i="2"/>
  <c r="E48" i="2"/>
  <c r="E49" i="2" s="1"/>
  <c r="E50" i="2" s="1"/>
  <c r="E75" i="2" s="1"/>
  <c r="E84" i="2"/>
  <c r="F54" i="2"/>
  <c r="F55" i="2" s="1"/>
  <c r="F56" i="2" s="1"/>
  <c r="F57" i="2" s="1"/>
  <c r="F58" i="2" s="1"/>
  <c r="F62" i="2"/>
  <c r="F63" i="2" s="1"/>
  <c r="F64" i="2" s="1"/>
  <c r="C48" i="2"/>
  <c r="C49" i="2" s="1"/>
  <c r="E62" i="2"/>
  <c r="E78" i="2"/>
  <c r="E72" i="2"/>
  <c r="C38" i="2"/>
  <c r="E39" i="2"/>
  <c r="E38" i="2"/>
  <c r="C39" i="2"/>
  <c r="C35" i="2"/>
  <c r="C31" i="2"/>
  <c r="C27" i="2"/>
  <c r="C23" i="2"/>
  <c r="C19" i="2"/>
  <c r="E37" i="2"/>
  <c r="E33" i="2"/>
  <c r="E29" i="2"/>
  <c r="E25" i="2"/>
  <c r="E21" i="2"/>
  <c r="C34" i="2"/>
  <c r="C30" i="2"/>
  <c r="C26" i="2"/>
  <c r="C22" i="2"/>
  <c r="C18" i="2"/>
  <c r="E36" i="2"/>
  <c r="E32" i="2"/>
  <c r="E28" i="2"/>
  <c r="E24" i="2"/>
  <c r="E20" i="2"/>
  <c r="C37" i="2"/>
  <c r="C33" i="2"/>
  <c r="C29" i="2"/>
  <c r="C25" i="2"/>
  <c r="C21" i="2"/>
  <c r="E18" i="2"/>
  <c r="E35" i="2"/>
  <c r="E31" i="2"/>
  <c r="E27" i="2"/>
  <c r="E23" i="2"/>
  <c r="E19" i="2"/>
  <c r="C36" i="2"/>
  <c r="C32" i="2"/>
  <c r="C28" i="2"/>
  <c r="C24" i="2"/>
  <c r="C20" i="2"/>
  <c r="E34" i="2"/>
  <c r="E30" i="2"/>
  <c r="E26" i="2"/>
  <c r="C62" i="2"/>
  <c r="C54" i="2"/>
  <c r="C125" i="2"/>
  <c r="D106" i="2"/>
  <c r="D138" i="2" s="1"/>
  <c r="D113" i="2"/>
  <c r="D145" i="2" s="1"/>
  <c r="D125" i="2"/>
  <c r="E125" i="2"/>
  <c r="F125" i="2"/>
  <c r="I46" i="3" l="1"/>
  <c r="F110" i="4"/>
  <c r="F111" i="4" s="1"/>
  <c r="F112" i="4" s="1"/>
  <c r="D126" i="2"/>
  <c r="C67" i="6"/>
  <c r="C75" i="4"/>
  <c r="E59" i="6"/>
  <c r="E60" i="6" s="1"/>
  <c r="F132" i="6"/>
  <c r="D132" i="6"/>
  <c r="D129" i="6"/>
  <c r="C133" i="4"/>
  <c r="C74" i="6"/>
  <c r="D71" i="2"/>
  <c r="D72" i="2" s="1"/>
  <c r="F24" i="3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C81" i="6"/>
  <c r="C80" i="6"/>
  <c r="C82" i="6"/>
  <c r="F108" i="6"/>
  <c r="F109" i="6" s="1"/>
  <c r="F110" i="6" s="1"/>
  <c r="F111" i="6" s="1"/>
  <c r="F138" i="6"/>
  <c r="F52" i="6"/>
  <c r="F53" i="6" s="1"/>
  <c r="D108" i="6"/>
  <c r="D109" i="6" s="1"/>
  <c r="D110" i="6" s="1"/>
  <c r="D111" i="6" s="1"/>
  <c r="E108" i="6"/>
  <c r="E109" i="6" s="1"/>
  <c r="E110" i="6" s="1"/>
  <c r="E111" i="6" s="1"/>
  <c r="E112" i="6" s="1"/>
  <c r="E113" i="6" s="1"/>
  <c r="E117" i="6" s="1"/>
  <c r="E138" i="6"/>
  <c r="C138" i="6"/>
  <c r="C108" i="6"/>
  <c r="C109" i="6" s="1"/>
  <c r="C110" i="6" s="1"/>
  <c r="C111" i="6" s="1"/>
  <c r="C112" i="6" s="1"/>
  <c r="C113" i="6" s="1"/>
  <c r="C117" i="6" s="1"/>
  <c r="D67" i="6"/>
  <c r="F18" i="6"/>
  <c r="F19" i="6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D19" i="6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F133" i="6"/>
  <c r="E125" i="6"/>
  <c r="F125" i="6"/>
  <c r="C84" i="6"/>
  <c r="C83" i="6"/>
  <c r="E75" i="6"/>
  <c r="C125" i="6"/>
  <c r="C75" i="6"/>
  <c r="D133" i="6"/>
  <c r="C68" i="6"/>
  <c r="E67" i="6"/>
  <c r="F67" i="6" s="1"/>
  <c r="D125" i="6"/>
  <c r="D150" i="5"/>
  <c r="F98" i="5"/>
  <c r="F129" i="5"/>
  <c r="E106" i="5"/>
  <c r="E137" i="5"/>
  <c r="C98" i="5"/>
  <c r="C129" i="5"/>
  <c r="D136" i="4"/>
  <c r="D149" i="4"/>
  <c r="D137" i="4"/>
  <c r="F71" i="2"/>
  <c r="F72" i="2" s="1"/>
  <c r="C74" i="2"/>
  <c r="F18" i="2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E162" i="2" s="1"/>
  <c r="E167" i="2" s="1"/>
  <c r="F114" i="2"/>
  <c r="F145" i="2"/>
  <c r="C76" i="4"/>
  <c r="E88" i="4"/>
  <c r="C82" i="4"/>
  <c r="C78" i="5"/>
  <c r="E77" i="5"/>
  <c r="D18" i="5"/>
  <c r="D19" i="5" s="1"/>
  <c r="D20" i="5" s="1"/>
  <c r="D21" i="5" s="1"/>
  <c r="F19" i="5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E158" i="5" s="1"/>
  <c r="E163" i="5" s="1"/>
  <c r="E84" i="5"/>
  <c r="C77" i="5"/>
  <c r="E78" i="5"/>
  <c r="D22" i="5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E157" i="5" s="1"/>
  <c r="E162" i="5" s="1"/>
  <c r="D69" i="5"/>
  <c r="D70" i="5" s="1"/>
  <c r="D71" i="5" s="1"/>
  <c r="C79" i="5"/>
  <c r="F69" i="5"/>
  <c r="F70" i="5" s="1"/>
  <c r="F71" i="5" s="1"/>
  <c r="E86" i="5"/>
  <c r="C122" i="5"/>
  <c r="G157" i="5" s="1"/>
  <c r="G162" i="5" s="1"/>
  <c r="E122" i="5"/>
  <c r="G158" i="5" s="1"/>
  <c r="G163" i="5" s="1"/>
  <c r="E79" i="5"/>
  <c r="E72" i="5"/>
  <c r="D122" i="5"/>
  <c r="H157" i="5" s="1"/>
  <c r="H162" i="5" s="1"/>
  <c r="C72" i="5"/>
  <c r="F122" i="5"/>
  <c r="H158" i="5" s="1"/>
  <c r="H163" i="5" s="1"/>
  <c r="C86" i="5"/>
  <c r="D18" i="4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143" i="4"/>
  <c r="C74" i="4"/>
  <c r="E90" i="4"/>
  <c r="C81" i="4"/>
  <c r="F51" i="4"/>
  <c r="F52" i="4" s="1"/>
  <c r="E75" i="4"/>
  <c r="E74" i="4"/>
  <c r="C83" i="4"/>
  <c r="E89" i="4"/>
  <c r="E81" i="4"/>
  <c r="F18" i="4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D132" i="4"/>
  <c r="C89" i="4"/>
  <c r="D134" i="4"/>
  <c r="C88" i="4"/>
  <c r="E52" i="4"/>
  <c r="E82" i="4"/>
  <c r="E58" i="4"/>
  <c r="E83" i="4" s="1"/>
  <c r="F124" i="4"/>
  <c r="F134" i="4"/>
  <c r="F136" i="4"/>
  <c r="E133" i="4"/>
  <c r="D144" i="4"/>
  <c r="C70" i="4"/>
  <c r="D70" i="4" s="1"/>
  <c r="C77" i="4"/>
  <c r="D150" i="4"/>
  <c r="E71" i="4"/>
  <c r="F71" i="4" s="1"/>
  <c r="E72" i="4"/>
  <c r="D138" i="4"/>
  <c r="F150" i="4"/>
  <c r="E91" i="4"/>
  <c r="E92" i="4"/>
  <c r="C134" i="4"/>
  <c r="F143" i="4"/>
  <c r="E143" i="4"/>
  <c r="E84" i="4"/>
  <c r="D133" i="4"/>
  <c r="C91" i="4"/>
  <c r="C92" i="4"/>
  <c r="C84" i="4"/>
  <c r="D41" i="3"/>
  <c r="E167" i="3" s="1"/>
  <c r="E172" i="3" s="1"/>
  <c r="F41" i="3"/>
  <c r="E168" i="3" s="1"/>
  <c r="E173" i="3" s="1"/>
  <c r="C128" i="3"/>
  <c r="C136" i="3"/>
  <c r="F128" i="3"/>
  <c r="F103" i="3"/>
  <c r="F137" i="3" s="1"/>
  <c r="D128" i="3"/>
  <c r="C103" i="3"/>
  <c r="E128" i="3"/>
  <c r="E103" i="3"/>
  <c r="D103" i="3"/>
  <c r="D137" i="3" s="1"/>
  <c r="C74" i="3"/>
  <c r="E114" i="3"/>
  <c r="E148" i="3" s="1"/>
  <c r="C93" i="3"/>
  <c r="C68" i="3"/>
  <c r="C94" i="3" s="1"/>
  <c r="D114" i="3"/>
  <c r="D148" i="3" s="1"/>
  <c r="C86" i="3"/>
  <c r="C61" i="3"/>
  <c r="E74" i="3"/>
  <c r="E73" i="3"/>
  <c r="F73" i="3" s="1"/>
  <c r="C79" i="3"/>
  <c r="C55" i="3"/>
  <c r="C81" i="3" s="1"/>
  <c r="C80" i="3"/>
  <c r="D107" i="3"/>
  <c r="D141" i="3" s="1"/>
  <c r="C114" i="3"/>
  <c r="C148" i="3" s="1"/>
  <c r="E93" i="3"/>
  <c r="E94" i="3"/>
  <c r="F107" i="3"/>
  <c r="F141" i="3" s="1"/>
  <c r="D121" i="3"/>
  <c r="D155" i="3" s="1"/>
  <c r="E79" i="3"/>
  <c r="F121" i="3"/>
  <c r="F155" i="3" s="1"/>
  <c r="F114" i="3"/>
  <c r="F148" i="3" s="1"/>
  <c r="E86" i="3"/>
  <c r="C73" i="3"/>
  <c r="D73" i="3" s="1"/>
  <c r="C132" i="2"/>
  <c r="C79" i="2"/>
  <c r="D18" i="2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C87" i="2"/>
  <c r="F107" i="2"/>
  <c r="F139" i="2" s="1"/>
  <c r="E107" i="2"/>
  <c r="E138" i="2"/>
  <c r="E102" i="2"/>
  <c r="E133" i="2"/>
  <c r="E79" i="2"/>
  <c r="C73" i="2"/>
  <c r="F101" i="2"/>
  <c r="F133" i="2" s="1"/>
  <c r="E74" i="2"/>
  <c r="E73" i="2"/>
  <c r="E63" i="2"/>
  <c r="E87" i="2"/>
  <c r="E56" i="2"/>
  <c r="E80" i="2"/>
  <c r="E126" i="2"/>
  <c r="G162" i="2" s="1"/>
  <c r="G167" i="2" s="1"/>
  <c r="C126" i="2"/>
  <c r="G161" i="2" s="1"/>
  <c r="G166" i="2" s="1"/>
  <c r="C107" i="2"/>
  <c r="C139" i="2" s="1"/>
  <c r="C55" i="2"/>
  <c r="C80" i="2" s="1"/>
  <c r="C50" i="2"/>
  <c r="C75" i="2" s="1"/>
  <c r="D114" i="2"/>
  <c r="D146" i="2" s="1"/>
  <c r="C63" i="2"/>
  <c r="C88" i="2" s="1"/>
  <c r="D107" i="2"/>
  <c r="D139" i="2" s="1"/>
  <c r="E82" i="6" l="1"/>
  <c r="E76" i="4"/>
  <c r="E139" i="6"/>
  <c r="D139" i="6"/>
  <c r="D68" i="6"/>
  <c r="F139" i="6"/>
  <c r="C139" i="6"/>
  <c r="D38" i="6"/>
  <c r="E152" i="6" s="1"/>
  <c r="E157" i="6" s="1"/>
  <c r="F38" i="6"/>
  <c r="E153" i="6" s="1"/>
  <c r="E158" i="6" s="1"/>
  <c r="C140" i="6"/>
  <c r="F126" i="6"/>
  <c r="D140" i="6"/>
  <c r="D134" i="6"/>
  <c r="C126" i="6"/>
  <c r="E76" i="6"/>
  <c r="E77" i="6"/>
  <c r="E126" i="6"/>
  <c r="D126" i="6"/>
  <c r="F140" i="6"/>
  <c r="F134" i="6"/>
  <c r="E68" i="6"/>
  <c r="F68" i="6" s="1"/>
  <c r="E140" i="6"/>
  <c r="C70" i="6"/>
  <c r="C69" i="6"/>
  <c r="C76" i="6"/>
  <c r="C77" i="6"/>
  <c r="E83" i="6"/>
  <c r="E84" i="6"/>
  <c r="E107" i="5"/>
  <c r="E138" i="5"/>
  <c r="C99" i="5"/>
  <c r="C130" i="5"/>
  <c r="F99" i="5"/>
  <c r="F130" i="5"/>
  <c r="D73" i="2"/>
  <c r="D74" i="2" s="1"/>
  <c r="D75" i="2" s="1"/>
  <c r="D76" i="2" s="1"/>
  <c r="D77" i="2" s="1"/>
  <c r="D78" i="2" s="1"/>
  <c r="D79" i="2" s="1"/>
  <c r="D80" i="2" s="1"/>
  <c r="F73" i="2"/>
  <c r="F74" i="2" s="1"/>
  <c r="F75" i="2" s="1"/>
  <c r="F76" i="2" s="1"/>
  <c r="F77" i="2" s="1"/>
  <c r="F78" i="2" s="1"/>
  <c r="F79" i="2" s="1"/>
  <c r="F80" i="2" s="1"/>
  <c r="F115" i="2"/>
  <c r="F146" i="2"/>
  <c r="E77" i="4"/>
  <c r="D72" i="5"/>
  <c r="F72" i="5"/>
  <c r="C80" i="5"/>
  <c r="C81" i="5"/>
  <c r="C73" i="5"/>
  <c r="E73" i="5"/>
  <c r="E87" i="5"/>
  <c r="E88" i="5"/>
  <c r="C87" i="5"/>
  <c r="C88" i="5"/>
  <c r="E80" i="5"/>
  <c r="E81" i="5"/>
  <c r="F72" i="4"/>
  <c r="F73" i="4" s="1"/>
  <c r="F74" i="4" s="1"/>
  <c r="F75" i="4" s="1"/>
  <c r="F76" i="4" s="1"/>
  <c r="F77" i="4" s="1"/>
  <c r="D40" i="4"/>
  <c r="E162" i="4" s="1"/>
  <c r="E167" i="4" s="1"/>
  <c r="F40" i="4"/>
  <c r="E163" i="4" s="1"/>
  <c r="E168" i="4" s="1"/>
  <c r="F133" i="4"/>
  <c r="C71" i="4"/>
  <c r="D71" i="4" s="1"/>
  <c r="C72" i="4"/>
  <c r="E78" i="4"/>
  <c r="E79" i="4"/>
  <c r="E134" i="4"/>
  <c r="C85" i="4"/>
  <c r="C86" i="4"/>
  <c r="E144" i="4"/>
  <c r="C135" i="4"/>
  <c r="F151" i="4"/>
  <c r="D151" i="4"/>
  <c r="C78" i="4"/>
  <c r="C79" i="4"/>
  <c r="F137" i="4"/>
  <c r="E85" i="4"/>
  <c r="E86" i="4"/>
  <c r="F144" i="4"/>
  <c r="D139" i="4"/>
  <c r="D145" i="4"/>
  <c r="E104" i="3"/>
  <c r="E138" i="3" s="1"/>
  <c r="E137" i="3"/>
  <c r="F104" i="3"/>
  <c r="F138" i="3" s="1"/>
  <c r="C104" i="3"/>
  <c r="C138" i="3" s="1"/>
  <c r="C137" i="3"/>
  <c r="D74" i="3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104" i="3"/>
  <c r="D138" i="3" s="1"/>
  <c r="F74" i="3"/>
  <c r="F75" i="3" s="1"/>
  <c r="F76" i="3" s="1"/>
  <c r="F77" i="3" s="1"/>
  <c r="F78" i="3" s="1"/>
  <c r="F79" i="3" s="1"/>
  <c r="C87" i="3"/>
  <c r="C62" i="3"/>
  <c r="C88" i="3" s="1"/>
  <c r="E87" i="3"/>
  <c r="E88" i="3"/>
  <c r="F122" i="3"/>
  <c r="F156" i="3" s="1"/>
  <c r="D122" i="3"/>
  <c r="D156" i="3" s="1"/>
  <c r="D108" i="3"/>
  <c r="D142" i="3" s="1"/>
  <c r="E80" i="3"/>
  <c r="E81" i="3"/>
  <c r="E115" i="3"/>
  <c r="E149" i="3" s="1"/>
  <c r="D115" i="3"/>
  <c r="D149" i="3" s="1"/>
  <c r="F115" i="3"/>
  <c r="F149" i="3" s="1"/>
  <c r="F108" i="3"/>
  <c r="F142" i="3" s="1"/>
  <c r="C115" i="3"/>
  <c r="C149" i="3" s="1"/>
  <c r="E108" i="2"/>
  <c r="E139" i="2"/>
  <c r="E103" i="2"/>
  <c r="E134" i="2"/>
  <c r="F102" i="2"/>
  <c r="F134" i="2" s="1"/>
  <c r="F108" i="2"/>
  <c r="F140" i="2" s="1"/>
  <c r="E57" i="2"/>
  <c r="E81" i="2"/>
  <c r="E64" i="2"/>
  <c r="E89" i="2" s="1"/>
  <c r="E88" i="2"/>
  <c r="D115" i="2"/>
  <c r="D147" i="2" s="1"/>
  <c r="C108" i="2"/>
  <c r="C140" i="2" s="1"/>
  <c r="D108" i="2"/>
  <c r="D140" i="2" s="1"/>
  <c r="C56" i="2"/>
  <c r="C81" i="2" s="1"/>
  <c r="C64" i="2"/>
  <c r="C89" i="2" s="1"/>
  <c r="E105" i="3" l="1"/>
  <c r="E139" i="3" s="1"/>
  <c r="D69" i="6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E69" i="6"/>
  <c r="F69" i="6" s="1"/>
  <c r="E70" i="6"/>
  <c r="F141" i="6"/>
  <c r="E127" i="6"/>
  <c r="C127" i="6"/>
  <c r="D141" i="6"/>
  <c r="C141" i="6"/>
  <c r="E141" i="6"/>
  <c r="F135" i="6"/>
  <c r="F136" i="6"/>
  <c r="D127" i="6"/>
  <c r="D128" i="6"/>
  <c r="D135" i="6"/>
  <c r="D136" i="6"/>
  <c r="F127" i="6"/>
  <c r="F128" i="6"/>
  <c r="C100" i="5"/>
  <c r="C131" i="5"/>
  <c r="F131" i="5"/>
  <c r="F100" i="5"/>
  <c r="F132" i="5" s="1"/>
  <c r="E108" i="5"/>
  <c r="E140" i="5" s="1"/>
  <c r="E139" i="5"/>
  <c r="D81" i="2"/>
  <c r="F81" i="2"/>
  <c r="F116" i="2"/>
  <c r="F147" i="2"/>
  <c r="D73" i="5"/>
  <c r="F73" i="5"/>
  <c r="E74" i="5"/>
  <c r="E75" i="5"/>
  <c r="C74" i="5"/>
  <c r="D74" i="5" s="1"/>
  <c r="C75" i="5"/>
  <c r="F78" i="4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D72" i="4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C136" i="4"/>
  <c r="F145" i="4"/>
  <c r="F138" i="4"/>
  <c r="D152" i="4"/>
  <c r="E145" i="4"/>
  <c r="E135" i="4"/>
  <c r="D146" i="4"/>
  <c r="D141" i="4"/>
  <c r="D140" i="4"/>
  <c r="F152" i="4"/>
  <c r="C105" i="3"/>
  <c r="C106" i="3" s="1"/>
  <c r="C140" i="3" s="1"/>
  <c r="F80" i="3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D87" i="3"/>
  <c r="D88" i="3" s="1"/>
  <c r="D89" i="3" s="1"/>
  <c r="D90" i="3" s="1"/>
  <c r="D91" i="3" s="1"/>
  <c r="D92" i="3" s="1"/>
  <c r="D93" i="3" s="1"/>
  <c r="D94" i="3" s="1"/>
  <c r="D95" i="3" s="1"/>
  <c r="C116" i="3"/>
  <c r="C150" i="3" s="1"/>
  <c r="F116" i="3"/>
  <c r="F150" i="3" s="1"/>
  <c r="D123" i="3"/>
  <c r="D157" i="3" s="1"/>
  <c r="D116" i="3"/>
  <c r="D150" i="3" s="1"/>
  <c r="F109" i="3"/>
  <c r="F143" i="3" s="1"/>
  <c r="E106" i="3"/>
  <c r="E140" i="3" s="1"/>
  <c r="D109" i="3"/>
  <c r="D143" i="3" s="1"/>
  <c r="F123" i="3"/>
  <c r="F157" i="3" s="1"/>
  <c r="E116" i="3"/>
  <c r="E150" i="3" s="1"/>
  <c r="F103" i="2"/>
  <c r="F135" i="2" s="1"/>
  <c r="F109" i="2"/>
  <c r="F141" i="2" s="1"/>
  <c r="E109" i="2"/>
  <c r="E140" i="2"/>
  <c r="E104" i="2"/>
  <c r="E135" i="2"/>
  <c r="E58" i="2"/>
  <c r="E83" i="2" s="1"/>
  <c r="E82" i="2"/>
  <c r="C57" i="2"/>
  <c r="C82" i="2" s="1"/>
  <c r="C109" i="2"/>
  <c r="C141" i="2" s="1"/>
  <c r="D116" i="2"/>
  <c r="D148" i="2" s="1"/>
  <c r="D109" i="2"/>
  <c r="D141" i="2" s="1"/>
  <c r="F82" i="2" l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D87" i="6"/>
  <c r="D88" i="6" s="1"/>
  <c r="F152" i="6" s="1"/>
  <c r="F157" i="6" s="1"/>
  <c r="F70" i="6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C142" i="6"/>
  <c r="C128" i="6"/>
  <c r="F142" i="6"/>
  <c r="E142" i="6"/>
  <c r="D142" i="6"/>
  <c r="E128" i="6"/>
  <c r="D82" i="2"/>
  <c r="C101" i="5"/>
  <c r="C132" i="5"/>
  <c r="F117" i="2"/>
  <c r="F148" i="2"/>
  <c r="F93" i="4"/>
  <c r="F94" i="4" s="1"/>
  <c r="F163" i="4" s="1"/>
  <c r="F168" i="4" s="1"/>
  <c r="F74" i="5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D75" i="5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3" i="4"/>
  <c r="D94" i="4" s="1"/>
  <c r="F162" i="4" s="1"/>
  <c r="F167" i="4" s="1"/>
  <c r="E146" i="4"/>
  <c r="D153" i="4"/>
  <c r="F146" i="4"/>
  <c r="F153" i="4"/>
  <c r="D147" i="4"/>
  <c r="D148" i="4"/>
  <c r="E136" i="4"/>
  <c r="F139" i="4"/>
  <c r="C137" i="4"/>
  <c r="C139" i="3"/>
  <c r="D96" i="3"/>
  <c r="D97" i="3" s="1"/>
  <c r="F167" i="3" s="1"/>
  <c r="F172" i="3" s="1"/>
  <c r="F96" i="3"/>
  <c r="F97" i="3" s="1"/>
  <c r="F168" i="3" s="1"/>
  <c r="F173" i="3" s="1"/>
  <c r="D117" i="3"/>
  <c r="D151" i="3" s="1"/>
  <c r="F117" i="3"/>
  <c r="F151" i="3" s="1"/>
  <c r="E117" i="3"/>
  <c r="E151" i="3" s="1"/>
  <c r="F124" i="3"/>
  <c r="F158" i="3" s="1"/>
  <c r="E107" i="3"/>
  <c r="E141" i="3" s="1"/>
  <c r="F110" i="3"/>
  <c r="F144" i="3" s="1"/>
  <c r="D124" i="3"/>
  <c r="D158" i="3" s="1"/>
  <c r="C117" i="3"/>
  <c r="C151" i="3" s="1"/>
  <c r="D110" i="3"/>
  <c r="D144" i="3" s="1"/>
  <c r="C107" i="3"/>
  <c r="C141" i="3" s="1"/>
  <c r="E136" i="2"/>
  <c r="F110" i="2"/>
  <c r="F142" i="2" s="1"/>
  <c r="E110" i="2"/>
  <c r="E141" i="2"/>
  <c r="F104" i="2"/>
  <c r="F136" i="2" s="1"/>
  <c r="D110" i="2"/>
  <c r="D142" i="2" s="1"/>
  <c r="D117" i="2"/>
  <c r="D149" i="2" s="1"/>
  <c r="C58" i="2"/>
  <c r="H46" i="2" s="1"/>
  <c r="C110" i="2"/>
  <c r="C142" i="2" s="1"/>
  <c r="C83" i="2" l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F161" i="2" s="1"/>
  <c r="F166" i="2" s="1"/>
  <c r="H45" i="2"/>
  <c r="F87" i="6"/>
  <c r="F88" i="6" s="1"/>
  <c r="F153" i="6" s="1"/>
  <c r="F158" i="6" s="1"/>
  <c r="E129" i="6"/>
  <c r="E143" i="6"/>
  <c r="F143" i="6"/>
  <c r="C143" i="6"/>
  <c r="D143" i="6"/>
  <c r="C129" i="6"/>
  <c r="C102" i="5"/>
  <c r="C133" i="5"/>
  <c r="F118" i="2"/>
  <c r="F149" i="2"/>
  <c r="F90" i="5"/>
  <c r="F91" i="5" s="1"/>
  <c r="F158" i="5" s="1"/>
  <c r="F163" i="5" s="1"/>
  <c r="D90" i="5"/>
  <c r="D91" i="5" s="1"/>
  <c r="F157" i="5" s="1"/>
  <c r="F162" i="5" s="1"/>
  <c r="J157" i="5"/>
  <c r="J162" i="5" s="1"/>
  <c r="E137" i="4"/>
  <c r="F154" i="4"/>
  <c r="F147" i="4"/>
  <c r="F148" i="4"/>
  <c r="E147" i="4"/>
  <c r="C138" i="4"/>
  <c r="F140" i="4"/>
  <c r="F141" i="4"/>
  <c r="D154" i="4"/>
  <c r="C108" i="3"/>
  <c r="C142" i="3" s="1"/>
  <c r="D125" i="3"/>
  <c r="E108" i="3"/>
  <c r="E142" i="3" s="1"/>
  <c r="E118" i="3"/>
  <c r="E152" i="3" s="1"/>
  <c r="D118" i="3"/>
  <c r="D152" i="3" s="1"/>
  <c r="D111" i="3"/>
  <c r="D145" i="3" s="1"/>
  <c r="C118" i="3"/>
  <c r="C152" i="3" s="1"/>
  <c r="F111" i="3"/>
  <c r="F145" i="3" s="1"/>
  <c r="F118" i="3"/>
  <c r="F152" i="3" s="1"/>
  <c r="F124" i="2"/>
  <c r="F126" i="2" s="1"/>
  <c r="H162" i="2" s="1"/>
  <c r="H167" i="2" s="1"/>
  <c r="E111" i="2"/>
  <c r="E142" i="2"/>
  <c r="F111" i="2"/>
  <c r="D111" i="2"/>
  <c r="D143" i="2" s="1"/>
  <c r="C111" i="2"/>
  <c r="C143" i="2" s="1"/>
  <c r="D118" i="2"/>
  <c r="D150" i="2" s="1"/>
  <c r="C144" i="6" l="1"/>
  <c r="E144" i="6"/>
  <c r="D144" i="6"/>
  <c r="F144" i="6"/>
  <c r="E130" i="6"/>
  <c r="C130" i="6"/>
  <c r="C103" i="5"/>
  <c r="C134" i="5"/>
  <c r="F143" i="2"/>
  <c r="F119" i="2"/>
  <c r="F151" i="2" s="1"/>
  <c r="F150" i="2"/>
  <c r="F150" i="5"/>
  <c r="J158" i="5" s="1"/>
  <c r="J163" i="5" s="1"/>
  <c r="E148" i="4"/>
  <c r="F155" i="4"/>
  <c r="J163" i="4" s="1"/>
  <c r="J168" i="4" s="1"/>
  <c r="F126" i="4"/>
  <c r="H163" i="4" s="1"/>
  <c r="H168" i="4" s="1"/>
  <c r="D155" i="4"/>
  <c r="J162" i="4" s="1"/>
  <c r="J167" i="4" s="1"/>
  <c r="D126" i="4"/>
  <c r="H162" i="4" s="1"/>
  <c r="H167" i="4" s="1"/>
  <c r="E138" i="4"/>
  <c r="C139" i="4"/>
  <c r="F159" i="3"/>
  <c r="F160" i="3" s="1"/>
  <c r="J168" i="3" s="1"/>
  <c r="J173" i="3" s="1"/>
  <c r="F129" i="3"/>
  <c r="F130" i="3" s="1"/>
  <c r="H168" i="3" s="1"/>
  <c r="H173" i="3" s="1"/>
  <c r="D159" i="3"/>
  <c r="D129" i="3"/>
  <c r="D130" i="3" s="1"/>
  <c r="H167" i="3" s="1"/>
  <c r="H172" i="3" s="1"/>
  <c r="E119" i="3"/>
  <c r="E153" i="3" s="1"/>
  <c r="C119" i="3"/>
  <c r="C153" i="3" s="1"/>
  <c r="E109" i="3"/>
  <c r="E143" i="3" s="1"/>
  <c r="C109" i="3"/>
  <c r="C143" i="3" s="1"/>
  <c r="E112" i="2"/>
  <c r="E143" i="2"/>
  <c r="F94" i="2"/>
  <c r="F162" i="2" s="1"/>
  <c r="D119" i="2"/>
  <c r="C112" i="2"/>
  <c r="C144" i="2" s="1"/>
  <c r="C131" i="6" l="1"/>
  <c r="F145" i="6"/>
  <c r="J153" i="6" s="1"/>
  <c r="J158" i="6" s="1"/>
  <c r="F118" i="6"/>
  <c r="H153" i="6" s="1"/>
  <c r="H158" i="6" s="1"/>
  <c r="E118" i="6"/>
  <c r="G153" i="6" s="1"/>
  <c r="G158" i="6" s="1"/>
  <c r="E131" i="6"/>
  <c r="D145" i="6"/>
  <c r="J152" i="6" s="1"/>
  <c r="J157" i="6" s="1"/>
  <c r="D118" i="6"/>
  <c r="H152" i="6" s="1"/>
  <c r="H157" i="6" s="1"/>
  <c r="C118" i="6"/>
  <c r="G152" i="6" s="1"/>
  <c r="G157" i="6" s="1"/>
  <c r="C104" i="5"/>
  <c r="C135" i="5"/>
  <c r="F154" i="2"/>
  <c r="J162" i="2" s="1"/>
  <c r="J167" i="2" s="1"/>
  <c r="D151" i="2"/>
  <c r="D160" i="3"/>
  <c r="J167" i="3" s="1"/>
  <c r="J172" i="3" s="1"/>
  <c r="C140" i="4"/>
  <c r="E139" i="4"/>
  <c r="E149" i="4"/>
  <c r="C110" i="3"/>
  <c r="C144" i="3" s="1"/>
  <c r="C120" i="3"/>
  <c r="C154" i="3" s="1"/>
  <c r="E110" i="3"/>
  <c r="E144" i="3" s="1"/>
  <c r="E120" i="3"/>
  <c r="E154" i="3" s="1"/>
  <c r="E113" i="2"/>
  <c r="E144" i="2"/>
  <c r="C113" i="2"/>
  <c r="C145" i="2" s="1"/>
  <c r="E132" i="6" l="1"/>
  <c r="C132" i="6"/>
  <c r="C136" i="5"/>
  <c r="C105" i="5"/>
  <c r="E150" i="4"/>
  <c r="E140" i="4"/>
  <c r="E141" i="4"/>
  <c r="E121" i="3"/>
  <c r="E155" i="3" s="1"/>
  <c r="C121" i="3"/>
  <c r="C155" i="3" s="1"/>
  <c r="E111" i="3"/>
  <c r="E145" i="3" s="1"/>
  <c r="C111" i="3"/>
  <c r="C145" i="3" s="1"/>
  <c r="E114" i="2"/>
  <c r="E145" i="2"/>
  <c r="C114" i="2"/>
  <c r="C146" i="2" s="1"/>
  <c r="E133" i="6" l="1"/>
  <c r="C133" i="6"/>
  <c r="C106" i="5"/>
  <c r="C137" i="5"/>
  <c r="E151" i="4"/>
  <c r="C122" i="3"/>
  <c r="C156" i="3" s="1"/>
  <c r="E122" i="3"/>
  <c r="E156" i="3" s="1"/>
  <c r="E115" i="2"/>
  <c r="E146" i="2"/>
  <c r="C115" i="2"/>
  <c r="C147" i="2" s="1"/>
  <c r="C133" i="2"/>
  <c r="E134" i="6" l="1"/>
  <c r="C134" i="6"/>
  <c r="C107" i="5"/>
  <c r="C138" i="5"/>
  <c r="C153" i="4"/>
  <c r="E152" i="4"/>
  <c r="E123" i="3"/>
  <c r="E157" i="3" s="1"/>
  <c r="C123" i="3"/>
  <c r="C157" i="3" s="1"/>
  <c r="E116" i="2"/>
  <c r="E147" i="2"/>
  <c r="C102" i="2"/>
  <c r="C134" i="2" s="1"/>
  <c r="C116" i="2"/>
  <c r="C148" i="2" s="1"/>
  <c r="E135" i="6" l="1"/>
  <c r="E136" i="6"/>
  <c r="C135" i="6"/>
  <c r="C136" i="6"/>
  <c r="C108" i="5"/>
  <c r="C140" i="5" s="1"/>
  <c r="C139" i="5"/>
  <c r="E150" i="5"/>
  <c r="I158" i="5" s="1"/>
  <c r="I163" i="5" s="1"/>
  <c r="E153" i="4"/>
  <c r="C154" i="4"/>
  <c r="C124" i="3"/>
  <c r="C158" i="3" s="1"/>
  <c r="E124" i="3"/>
  <c r="E158" i="3" s="1"/>
  <c r="E117" i="2"/>
  <c r="E148" i="2"/>
  <c r="C117" i="2"/>
  <c r="C149" i="2" s="1"/>
  <c r="C103" i="2"/>
  <c r="C135" i="2" s="1"/>
  <c r="E145" i="6" l="1"/>
  <c r="I153" i="6" s="1"/>
  <c r="I158" i="6" s="1"/>
  <c r="K158" i="6" s="1"/>
  <c r="L158" i="6" s="1"/>
  <c r="C145" i="6"/>
  <c r="I152" i="6" s="1"/>
  <c r="I157" i="6" s="1"/>
  <c r="K157" i="6" s="1"/>
  <c r="K153" i="6"/>
  <c r="L153" i="6" s="1"/>
  <c r="C150" i="5"/>
  <c r="I157" i="5" s="1"/>
  <c r="I162" i="5" s="1"/>
  <c r="K163" i="5"/>
  <c r="L163" i="5" s="1"/>
  <c r="K158" i="5"/>
  <c r="L158" i="5" s="1"/>
  <c r="C126" i="4"/>
  <c r="G162" i="4" s="1"/>
  <c r="G167" i="4" s="1"/>
  <c r="E154" i="4"/>
  <c r="E125" i="3"/>
  <c r="C125" i="3"/>
  <c r="E118" i="2"/>
  <c r="E149" i="2"/>
  <c r="C104" i="2"/>
  <c r="C118" i="2"/>
  <c r="C150" i="2" s="1"/>
  <c r="K152" i="6" l="1"/>
  <c r="L152" i="6" s="1"/>
  <c r="L157" i="6"/>
  <c r="K162" i="5"/>
  <c r="K157" i="5"/>
  <c r="L157" i="5" s="1"/>
  <c r="E155" i="4"/>
  <c r="I163" i="4" s="1"/>
  <c r="I168" i="4" s="1"/>
  <c r="E126" i="4"/>
  <c r="G163" i="4" s="1"/>
  <c r="G168" i="4" s="1"/>
  <c r="C159" i="3"/>
  <c r="C129" i="3"/>
  <c r="C130" i="3" s="1"/>
  <c r="G167" i="3" s="1"/>
  <c r="G172" i="3" s="1"/>
  <c r="E129" i="3"/>
  <c r="E130" i="3" s="1"/>
  <c r="G168" i="3" s="1"/>
  <c r="G173" i="3" s="1"/>
  <c r="E159" i="3"/>
  <c r="E160" i="3" s="1"/>
  <c r="I168" i="3" s="1"/>
  <c r="I173" i="3" s="1"/>
  <c r="C136" i="2"/>
  <c r="E119" i="2"/>
  <c r="E151" i="2" s="1"/>
  <c r="E150" i="2"/>
  <c r="C119" i="2"/>
  <c r="C151" i="2" s="1"/>
  <c r="M162" i="5" l="1"/>
  <c r="L162" i="5"/>
  <c r="M157" i="5"/>
  <c r="N157" i="5" s="1"/>
  <c r="K168" i="4"/>
  <c r="L168" i="4" s="1"/>
  <c r="K163" i="4"/>
  <c r="L163" i="4" s="1"/>
  <c r="C160" i="3"/>
  <c r="I167" i="3" s="1"/>
  <c r="I172" i="3" s="1"/>
  <c r="K173" i="3"/>
  <c r="L173" i="3" s="1"/>
  <c r="K168" i="3"/>
  <c r="L168" i="3" s="1"/>
  <c r="C154" i="2"/>
  <c r="I166" i="2" s="1"/>
  <c r="E154" i="2"/>
  <c r="I162" i="2" s="1"/>
  <c r="I167" i="2" s="1"/>
  <c r="K167" i="2" s="1"/>
  <c r="N162" i="5" l="1"/>
  <c r="E16" i="7"/>
  <c r="G16" i="7" s="1"/>
  <c r="K172" i="3"/>
  <c r="L172" i="3" s="1"/>
  <c r="K167" i="3"/>
  <c r="L167" i="3" s="1"/>
  <c r="L167" i="2"/>
  <c r="K162" i="2"/>
  <c r="L162" i="2" s="1"/>
  <c r="M172" i="3" l="1"/>
  <c r="M167" i="3"/>
  <c r="N167" i="3" s="1"/>
  <c r="N172" i="3" l="1"/>
  <c r="E14" i="7"/>
  <c r="G14" i="7" s="1"/>
  <c r="D40" i="2" l="1"/>
  <c r="E161" i="2" s="1"/>
  <c r="E166" i="2" s="1"/>
  <c r="C146" i="4" l="1"/>
  <c r="C145" i="4"/>
  <c r="C144" i="4"/>
  <c r="C152" i="4"/>
  <c r="C143" i="4"/>
  <c r="C142" i="4"/>
  <c r="C149" i="4"/>
  <c r="C148" i="4"/>
  <c r="C150" i="4"/>
  <c r="C151" i="4"/>
  <c r="C141" i="4"/>
  <c r="C147" i="4"/>
  <c r="C155" i="4" l="1"/>
  <c r="I162" i="4" s="1"/>
  <c r="I167" i="4" l="1"/>
  <c r="K162" i="4"/>
  <c r="L162" i="4" s="1"/>
  <c r="L167" i="4" l="1"/>
  <c r="M167" i="4"/>
  <c r="N167" i="4" s="1"/>
  <c r="E15" i="7"/>
  <c r="G15" i="7" s="1"/>
  <c r="M162" i="4"/>
  <c r="N162" i="4" s="1"/>
  <c r="D135" i="2"/>
  <c r="D134" i="2"/>
  <c r="D133" i="2"/>
  <c r="H161" i="2"/>
  <c r="D136" i="2"/>
  <c r="H166" i="2" l="1"/>
  <c r="D132" i="2"/>
  <c r="D154" i="2" s="1"/>
  <c r="J161" i="2" s="1"/>
  <c r="J166" i="2" s="1"/>
  <c r="E13" i="7" l="1"/>
  <c r="K161" i="2"/>
  <c r="M161" i="2" l="1"/>
  <c r="N161" i="2" s="1"/>
  <c r="L161" i="2"/>
  <c r="L166" i="2"/>
  <c r="G13" i="7" l="1"/>
  <c r="N16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tc={5961EC5F-87D2-FA40-9350-CC2614323453}</author>
    <author>tc={647E6106-BED4-234F-B057-1C7F2B5391AB}</author>
    <author>tc={794C77E6-F41E-1449-9F2F-72ED413CEFCA}</author>
    <author>tc={09D3D8AC-D39E-794B-9B8F-C255760EC373}</author>
    <author>tc={25511349-3273-B845-9BA8-9BD22B41929D}</author>
    <author>tc={E466F25D-04FE-A24B-8A74-380DB6B6FF04}</author>
    <author>tc={FBB99F45-9666-D54C-B833-15CC72971088}</author>
    <author>tc={4EAB7965-838E-BE42-A341-742F2E7C0918}</author>
  </authors>
  <commentList>
    <comment ref="L1" authorId="0" shapeId="0" xr:uid="{5961EC5F-87D2-FA40-9350-CC2614323453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no tiene agitación</t>
      </text>
    </comment>
    <comment ref="B15" authorId="1" shapeId="0" xr:uid="{647E6106-BED4-234F-B057-1C7F2B5391AB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0,18 g x día de FeCl3 al R5 = 3 ml de la sol. FeCl36H2O x día</t>
      </text>
    </comment>
    <comment ref="B18" authorId="2" shapeId="0" xr:uid="{794C77E6-F41E-1449-9F2F-72ED413CEFCA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Midió Lau</t>
      </text>
    </comment>
    <comment ref="B41" authorId="3" shapeId="0" xr:uid="{09D3D8AC-D39E-794B-9B8F-C255760EC373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Le empezamos a dosificar más hierro al 5, 4,5 ml de la sol. FeCl36h20</t>
      </text>
    </comment>
    <comment ref="B42" authorId="4" shapeId="0" xr:uid="{25511349-3273-B845-9BA8-9BD22B41929D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Dos días estuvieron sin comer por corte de wifi</t>
      </text>
    </comment>
    <comment ref="B53" authorId="5" shapeId="0" xr:uid="{E466F25D-04FE-A24B-8A74-380DB6B6FF04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le sacamos el hierro a R5. 
R6 nuevo efluente SOLAMB</t>
      </text>
    </comment>
    <comment ref="B59" authorId="6" shapeId="0" xr:uid="{FBB99F45-9666-D54C-B833-15CC72971088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Me quedé sin efluente p R5, comencé a utilizar el efluente nuevo (el que ya tenía R6) en la misma proporción que R6 p/mantener constante la DQO, sulfatos y la relación entre ambos.
LE PUSE HIERRO AL REACTOR 6</t>
      </text>
    </comment>
    <comment ref="B60" authorId="7" shapeId="0" xr:uid="{4EAB7965-838E-BE42-A341-742F2E7C0918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Medí más tarde</t>
      </text>
    </comment>
  </commentList>
</comments>
</file>

<file path=xl/sharedStrings.xml><?xml version="1.0" encoding="utf-8"?>
<sst xmlns="http://schemas.openxmlformats.org/spreadsheetml/2006/main" count="367" uniqueCount="90">
  <si>
    <t>DeltaV</t>
  </si>
  <si>
    <t>CH4 (%)</t>
  </si>
  <si>
    <t>CO2 (%)</t>
  </si>
  <si>
    <t>O2 (%)</t>
  </si>
  <si>
    <t>SH2 (ppm)</t>
  </si>
  <si>
    <t>H2S/CH4</t>
  </si>
  <si>
    <t>PC (MJ/kg)</t>
  </si>
  <si>
    <t>PC (MJ/m3)</t>
  </si>
  <si>
    <t>Sulfuros</t>
  </si>
  <si>
    <t>Fecha</t>
  </si>
  <si>
    <t>Día</t>
  </si>
  <si>
    <t>R1</t>
  </si>
  <si>
    <t>R2</t>
  </si>
  <si>
    <t>1/11/202</t>
  </si>
  <si>
    <t>Sulfatos</t>
  </si>
  <si>
    <t>DQO</t>
  </si>
  <si>
    <t>pH</t>
  </si>
  <si>
    <t>75 ml SOLAMB + 7 TK1</t>
  </si>
  <si>
    <t>ENTRADA</t>
  </si>
  <si>
    <t>SO42- (mg/l)</t>
  </si>
  <si>
    <t>vol diario (l)</t>
  </si>
  <si>
    <t>S mg/día</t>
  </si>
  <si>
    <t>INPUTS ACUMULADOS A TRAVÉS DE SUSTRATOS</t>
  </si>
  <si>
    <t>mg S total</t>
  </si>
  <si>
    <t>OUTPUTS ACUMULADOS COMO H2S gaseoso</t>
  </si>
  <si>
    <t>S total input ACUM (mgS)</t>
  </si>
  <si>
    <t>H2S ACUM (mgS)</t>
  </si>
  <si>
    <t>Bioreactor Cambio Stotal de SO4 (mgS)</t>
  </si>
  <si>
    <t>Bioreactor Cambio Stotal de S= (mgS)</t>
  </si>
  <si>
    <t>DIG ACUM Stotal de SO4 (mgS)</t>
  </si>
  <si>
    <t>DIG ACUM Stotal de S= (mgS)</t>
  </si>
  <si>
    <t>S total output ACUM (mgS)</t>
  </si>
  <si>
    <t>n moles H2S</t>
  </si>
  <si>
    <t>OUTPUTS ACUMULADOS COMO S total en digerido extraído diariamente</t>
  </si>
  <si>
    <t>mgS</t>
  </si>
  <si>
    <t xml:space="preserve">S total input ACUM </t>
  </si>
  <si>
    <t>H2S ACUM</t>
  </si>
  <si>
    <t xml:space="preserve">Bioreactor Cambio Stotal de SO4 </t>
  </si>
  <si>
    <t xml:space="preserve">Bioreactor Cambio Stotal de S= </t>
  </si>
  <si>
    <t xml:space="preserve">DIG ACUM Stotal de SO4 </t>
  </si>
  <si>
    <t xml:space="preserve">DIG ACUM Stotal de S= </t>
  </si>
  <si>
    <t xml:space="preserve">S total output ACUM </t>
  </si>
  <si>
    <t>Fe3+ necesario (mg)</t>
  </si>
  <si>
    <t xml:space="preserve"> </t>
  </si>
  <si>
    <t>S total R1 (mg)</t>
  </si>
  <si>
    <t>S total R1 ACUM (mg)</t>
  </si>
  <si>
    <t>S total R2 (mg)</t>
  </si>
  <si>
    <t>S total R2 ACUM (mg)</t>
  </si>
  <si>
    <t>H2S R1 (ppm)</t>
  </si>
  <si>
    <t>Vol R1 Biogas (l)</t>
  </si>
  <si>
    <t>H2S R2 (ppm)</t>
  </si>
  <si>
    <t>Vol R2 Biogas (l)</t>
  </si>
  <si>
    <t>Vol parcial ACUM H2S R2 (l)</t>
  </si>
  <si>
    <t>Vol parcial H2S R2 (l)</t>
  </si>
  <si>
    <t>Vol parcial ACUM H2S R1 (l)</t>
  </si>
  <si>
    <t>Vol parcial H2S R1 (l)</t>
  </si>
  <si>
    <t>SO4 en R1 (mg/l)</t>
  </si>
  <si>
    <t>S= en R1 (mg/l)</t>
  </si>
  <si>
    <t>SO4 en R2 (mg/l)</t>
  </si>
  <si>
    <t>S= en R2 (mg/l)</t>
  </si>
  <si>
    <t>Stotal de SO4 en R1 (mg)</t>
  </si>
  <si>
    <t>Stotal de S= en R2 (mg)</t>
  </si>
  <si>
    <t>Stotal de SO4 en R2 (mg)</t>
  </si>
  <si>
    <t>Stotal de S= en R1 (mg)</t>
  </si>
  <si>
    <t>R1 por dia</t>
  </si>
  <si>
    <t>R2 por dia</t>
  </si>
  <si>
    <t>S faltante en R1 resp R2 (mg)</t>
  </si>
  <si>
    <t>R1 por día</t>
  </si>
  <si>
    <t>R2 por día</t>
  </si>
  <si>
    <t>Intervalo</t>
  </si>
  <si>
    <t>Fe3+ mg/d</t>
  </si>
  <si>
    <t>S mg/d abatidos total</t>
  </si>
  <si>
    <t>Fe3+ mmol/d</t>
  </si>
  <si>
    <t>S mmol/d abatidos total</t>
  </si>
  <si>
    <t>1-23</t>
  </si>
  <si>
    <t>24-47</t>
  </si>
  <si>
    <t>48-70</t>
  </si>
  <si>
    <t>71-92</t>
  </si>
  <si>
    <t>Solución de FeCl3: 10% (10 g de FeCl3 6H2O en 100 ml)</t>
  </si>
  <si>
    <t xml:space="preserve">PM FeCl3 6H20: </t>
  </si>
  <si>
    <t>g/mol</t>
  </si>
  <si>
    <t>PM FeCl3:</t>
  </si>
  <si>
    <t xml:space="preserve">Gramos de FeCl3 presentes en la solución preparada: </t>
  </si>
  <si>
    <t>PM Fe:</t>
  </si>
  <si>
    <t xml:space="preserve">Gramos de Fe presentes en la solución preparada: </t>
  </si>
  <si>
    <t>Fe +3 mg/día</t>
  </si>
  <si>
    <t>Cant, de solución de FeCl36H2O 10% por día (mL)</t>
  </si>
  <si>
    <t>en cada uno de los días del intervalo</t>
  </si>
  <si>
    <t>DS total EN LOS 3 litros DEL VOLUMEN DEL REACTOR EL DÍA X-Y</t>
  </si>
  <si>
    <t>SO42- mg/día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</si>
</sst>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Arial Nova"/>
    </font>
    <font>
      <sz val="12"/>
      <color theme="1"/>
      <name val="Arial Nova"/>
    </font>
    <font>
      <b/>
      <sz val="11"/>
      <color theme="0"/>
      <name val="Arial Nova"/>
    </font>
    <font>
      <sz val="11"/>
      <color theme="0"/>
      <name val="Arial Nova"/>
    </font>
    <font>
      <i/>
      <sz val="11"/>
      <color rgb="FFFF0000"/>
      <name val="Arial Nova"/>
    </font>
    <font>
      <sz val="11"/>
      <color rgb="FF000000"/>
      <name val="Arial Nova"/>
    </font>
    <font>
      <b/>
      <sz val="12"/>
      <color theme="1"/>
      <name val="Arial Nova"/>
    </font>
    <font>
      <b/>
      <sz val="12"/>
      <color theme="0"/>
      <name val="Arial Nova"/>
    </font>
    <font>
      <sz val="12"/>
      <color theme="0"/>
      <name val="Arial Nova"/>
    </font>
    <font>
      <sz val="12"/>
      <color rgb="FF000000"/>
      <name val="Arial Nova"/>
    </font>
    <font>
      <sz val="11"/>
      <color theme="1"/>
      <name val="Arial Nova"/>
    </font>
    <font>
      <sz val="8"/>
      <name val="Calibri"/>
      <family val="2"/>
      <scheme val="minor"/>
    </font>
    <font>
      <b/>
      <sz val="11"/>
      <color rgb="FFFFFFFF"/>
      <name val="Arial Nova"/>
    </font>
    <font>
      <b/>
      <sz val="11"/>
      <color rgb="FF000000"/>
      <name val="Arial Nova"/>
    </font>
    <font>
      <i/>
      <sz val="11"/>
      <color theme="1"/>
      <name val="Arial Nova"/>
    </font>
    <font>
      <sz val="11"/>
      <name val="Arial Nova"/>
    </font>
    <font>
      <b/>
      <sz val="25"/>
      <color theme="0"/>
      <name val="Arial Nova"/>
    </font>
    <font>
      <sz val="11"/>
      <color rgb="FFFF0000"/>
      <name val="Arial Nova"/>
    </font>
  </fonts>
  <fills count="3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rgb="FF000000"/>
      </patternFill>
    </fill>
    <fill>
      <patternFill patternType="solid">
        <fgColor rgb="FF405166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D5B2E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4372C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BB92C"/>
        <bgColor indexed="64"/>
      </patternFill>
    </fill>
    <fill>
      <patternFill patternType="solid">
        <fgColor rgb="FFEBF3C0"/>
        <bgColor indexed="64"/>
      </patternFill>
    </fill>
    <fill>
      <patternFill patternType="solid">
        <fgColor rgb="FFEBF3C0"/>
        <bgColor rgb="FF000000"/>
      </patternFill>
    </fill>
    <fill>
      <patternFill patternType="solid">
        <fgColor rgb="FFED8E11"/>
        <bgColor indexed="64"/>
      </patternFill>
    </fill>
    <fill>
      <patternFill patternType="solid">
        <fgColor rgb="FF942093"/>
        <bgColor indexed="64"/>
      </patternFill>
    </fill>
    <fill>
      <patternFill patternType="solid">
        <fgColor rgb="FF6AC5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CF4C1"/>
        <bgColor indexed="64"/>
      </patternFill>
    </fill>
    <fill>
      <patternFill patternType="solid">
        <fgColor rgb="FFBBB92C"/>
        <bgColor rgb="FF000000"/>
      </patternFill>
    </fill>
    <fill>
      <patternFill patternType="solid">
        <fgColor rgb="FFECF4C1"/>
        <bgColor rgb="FF000000"/>
      </patternFill>
    </fill>
    <fill>
      <patternFill patternType="solid">
        <fgColor rgb="FFFD70A3"/>
        <bgColor rgb="FF000000"/>
      </patternFill>
    </fill>
    <fill>
      <patternFill patternType="solid">
        <fgColor rgb="FFFDD7E8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E9D2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5B5D15"/>
        <bgColor indexed="64"/>
      </patternFill>
    </fill>
    <fill>
      <patternFill patternType="solid">
        <fgColor rgb="FFDAA40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6">
    <xf numFmtId="0" fontId="0" fillId="0" borderId="0" xfId="0"/>
    <xf numFmtId="0" fontId="2" fillId="2" borderId="0" xfId="0" applyFont="1" applyFill="1"/>
    <xf numFmtId="0" fontId="3" fillId="2" borderId="0" xfId="0" applyFont="1" applyFill="1"/>
    <xf numFmtId="1" fontId="3" fillId="2" borderId="0" xfId="0" applyNumberFormat="1" applyFont="1" applyFill="1"/>
    <xf numFmtId="2" fontId="3" fillId="2" borderId="0" xfId="0" applyNumberFormat="1" applyFont="1" applyFill="1"/>
    <xf numFmtId="2" fontId="8" fillId="2" borderId="0" xfId="0" applyNumberFormat="1" applyFont="1" applyFill="1"/>
    <xf numFmtId="14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2" fontId="9" fillId="6" borderId="11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2" fontId="9" fillId="6" borderId="24" xfId="0" applyNumberFormat="1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14" fontId="10" fillId="6" borderId="13" xfId="0" applyNumberFormat="1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14" fontId="10" fillId="6" borderId="31" xfId="0" applyNumberFormat="1" applyFont="1" applyFill="1" applyBorder="1" applyAlignment="1">
      <alignment horizontal="center"/>
    </xf>
    <xf numFmtId="0" fontId="10" fillId="3" borderId="19" xfId="0" applyFont="1" applyFill="1" applyBorder="1" applyAlignment="1">
      <alignment horizontal="center"/>
    </xf>
    <xf numFmtId="0" fontId="3" fillId="4" borderId="33" xfId="0" applyFont="1" applyFill="1" applyBorder="1" applyAlignment="1">
      <alignment horizontal="center"/>
    </xf>
    <xf numFmtId="0" fontId="10" fillId="3" borderId="18" xfId="0" applyFont="1" applyFill="1" applyBorder="1" applyAlignment="1">
      <alignment horizontal="center"/>
    </xf>
    <xf numFmtId="2" fontId="11" fillId="7" borderId="13" xfId="0" applyNumberFormat="1" applyFont="1" applyFill="1" applyBorder="1" applyAlignment="1">
      <alignment horizontal="center"/>
    </xf>
    <xf numFmtId="14" fontId="10" fillId="6" borderId="1" xfId="0" applyNumberFormat="1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/>
    </xf>
    <xf numFmtId="2" fontId="11" fillId="7" borderId="1" xfId="0" applyNumberFormat="1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14" fontId="10" fillId="6" borderId="2" xfId="0" applyNumberFormat="1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14" fontId="6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4" fontId="10" fillId="6" borderId="32" xfId="0" applyNumberFormat="1" applyFont="1" applyFill="1" applyBorder="1" applyAlignment="1">
      <alignment horizontal="center"/>
    </xf>
    <xf numFmtId="0" fontId="10" fillId="3" borderId="23" xfId="0" applyFont="1" applyFill="1" applyBorder="1" applyAlignment="1">
      <alignment horizontal="center"/>
    </xf>
    <xf numFmtId="0" fontId="3" fillId="4" borderId="34" xfId="0" applyFont="1" applyFill="1" applyBorder="1" applyAlignment="1">
      <alignment horizontal="center"/>
    </xf>
    <xf numFmtId="14" fontId="10" fillId="6" borderId="14" xfId="0" applyNumberFormat="1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2" fontId="11" fillId="7" borderId="14" xfId="0" applyNumberFormat="1" applyFont="1" applyFill="1" applyBorder="1" applyAlignment="1">
      <alignment horizontal="center"/>
    </xf>
    <xf numFmtId="14" fontId="3" fillId="2" borderId="0" xfId="0" applyNumberFormat="1" applyFont="1" applyFill="1"/>
    <xf numFmtId="0" fontId="10" fillId="3" borderId="14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4" fillId="11" borderId="7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4" fillId="11" borderId="10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2" fontId="6" fillId="12" borderId="3" xfId="0" applyNumberFormat="1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4" fillId="13" borderId="7" xfId="0" applyFont="1" applyFill="1" applyBorder="1" applyAlignment="1">
      <alignment horizontal="center" vertical="center"/>
    </xf>
    <xf numFmtId="0" fontId="4" fillId="13" borderId="8" xfId="0" applyFont="1" applyFill="1" applyBorder="1" applyAlignment="1">
      <alignment horizontal="center" vertical="center"/>
    </xf>
    <xf numFmtId="0" fontId="4" fillId="13" borderId="9" xfId="0" applyFont="1" applyFill="1" applyBorder="1" applyAlignment="1">
      <alignment horizontal="center" vertical="center"/>
    </xf>
    <xf numFmtId="0" fontId="4" fillId="13" borderId="10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/>
    </xf>
    <xf numFmtId="0" fontId="6" fillId="14" borderId="3" xfId="0" applyFont="1" applyFill="1" applyBorder="1" applyAlignment="1">
      <alignment horizontal="center"/>
    </xf>
    <xf numFmtId="2" fontId="6" fillId="14" borderId="3" xfId="0" applyNumberFormat="1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9" fillId="11" borderId="9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9" fillId="13" borderId="17" xfId="0" applyFont="1" applyFill="1" applyBorder="1" applyAlignment="1">
      <alignment horizontal="center"/>
    </xf>
    <xf numFmtId="0" fontId="9" fillId="13" borderId="30" xfId="0" applyFont="1" applyFill="1" applyBorder="1" applyAlignment="1">
      <alignment horizontal="center"/>
    </xf>
    <xf numFmtId="0" fontId="3" fillId="14" borderId="20" xfId="0" applyFont="1" applyFill="1" applyBorder="1" applyAlignment="1">
      <alignment horizontal="center"/>
    </xf>
    <xf numFmtId="0" fontId="3" fillId="14" borderId="2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4" borderId="13" xfId="0" applyFont="1" applyFill="1" applyBorder="1" applyAlignment="1">
      <alignment horizontal="center"/>
    </xf>
    <xf numFmtId="0" fontId="3" fillId="14" borderId="14" xfId="0" applyFont="1" applyFill="1" applyBorder="1" applyAlignment="1">
      <alignment horizontal="center"/>
    </xf>
    <xf numFmtId="2" fontId="11" fillId="15" borderId="13" xfId="0" applyNumberFormat="1" applyFont="1" applyFill="1" applyBorder="1" applyAlignment="1">
      <alignment horizontal="center"/>
    </xf>
    <xf numFmtId="2" fontId="11" fillId="15" borderId="1" xfId="0" applyNumberFormat="1" applyFont="1" applyFill="1" applyBorder="1" applyAlignment="1">
      <alignment horizontal="center"/>
    </xf>
    <xf numFmtId="2" fontId="11" fillId="15" borderId="14" xfId="0" applyNumberFormat="1" applyFont="1" applyFill="1" applyBorder="1" applyAlignment="1">
      <alignment horizontal="center"/>
    </xf>
    <xf numFmtId="0" fontId="12" fillId="2" borderId="0" xfId="0" applyFont="1" applyFill="1"/>
    <xf numFmtId="0" fontId="12" fillId="12" borderId="2" xfId="0" applyFont="1" applyFill="1" applyBorder="1" applyAlignment="1">
      <alignment horizontal="center"/>
    </xf>
    <xf numFmtId="0" fontId="12" fillId="12" borderId="3" xfId="0" applyFont="1" applyFill="1" applyBorder="1" applyAlignment="1">
      <alignment horizontal="center"/>
    </xf>
    <xf numFmtId="2" fontId="12" fillId="12" borderId="3" xfId="0" applyNumberFormat="1" applyFont="1" applyFill="1" applyBorder="1" applyAlignment="1">
      <alignment horizontal="center"/>
    </xf>
    <xf numFmtId="0" fontId="12" fillId="12" borderId="4" xfId="0" applyFont="1" applyFill="1" applyBorder="1" applyAlignment="1">
      <alignment horizontal="center"/>
    </xf>
    <xf numFmtId="0" fontId="12" fillId="14" borderId="2" xfId="0" applyFont="1" applyFill="1" applyBorder="1" applyAlignment="1">
      <alignment horizontal="center"/>
    </xf>
    <xf numFmtId="0" fontId="12" fillId="14" borderId="3" xfId="0" applyFont="1" applyFill="1" applyBorder="1" applyAlignment="1">
      <alignment horizontal="center"/>
    </xf>
    <xf numFmtId="2" fontId="12" fillId="14" borderId="3" xfId="0" applyNumberFormat="1" applyFont="1" applyFill="1" applyBorder="1" applyAlignment="1">
      <alignment horizontal="center"/>
    </xf>
    <xf numFmtId="0" fontId="12" fillId="14" borderId="4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4" fillId="5" borderId="11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/>
    </xf>
    <xf numFmtId="0" fontId="14" fillId="21" borderId="29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1" fontId="7" fillId="22" borderId="13" xfId="0" applyNumberFormat="1" applyFont="1" applyFill="1" applyBorder="1" applyAlignment="1">
      <alignment horizontal="center" vertical="center"/>
    </xf>
    <xf numFmtId="1" fontId="7" fillId="22" borderId="1" xfId="0" applyNumberFormat="1" applyFont="1" applyFill="1" applyBorder="1" applyAlignment="1">
      <alignment horizontal="center" vertical="center"/>
    </xf>
    <xf numFmtId="0" fontId="14" fillId="23" borderId="29" xfId="0" applyFont="1" applyFill="1" applyBorder="1" applyAlignment="1">
      <alignment horizontal="center" vertical="center"/>
    </xf>
    <xf numFmtId="0" fontId="4" fillId="25" borderId="29" xfId="0" applyFont="1" applyFill="1" applyBorder="1" applyAlignment="1">
      <alignment horizontal="center" vertical="center" wrapText="1"/>
    </xf>
    <xf numFmtId="0" fontId="4" fillId="23" borderId="7" xfId="0" applyFont="1" applyFill="1" applyBorder="1" applyAlignment="1">
      <alignment horizontal="center" vertical="center" wrapText="1"/>
    </xf>
    <xf numFmtId="1" fontId="7" fillId="24" borderId="13" xfId="0" applyNumberFormat="1" applyFont="1" applyFill="1" applyBorder="1" applyAlignment="1">
      <alignment horizontal="center" vertical="center"/>
    </xf>
    <xf numFmtId="1" fontId="15" fillId="26" borderId="18" xfId="0" applyNumberFormat="1" applyFont="1" applyFill="1" applyBorder="1" applyAlignment="1">
      <alignment horizontal="center" vertical="center"/>
    </xf>
    <xf numFmtId="1" fontId="7" fillId="24" borderId="1" xfId="0" applyNumberFormat="1" applyFont="1" applyFill="1" applyBorder="1" applyAlignment="1">
      <alignment horizontal="center" vertical="center"/>
    </xf>
    <xf numFmtId="1" fontId="15" fillId="26" borderId="15" xfId="0" applyNumberFormat="1" applyFont="1" applyFill="1" applyBorder="1" applyAlignment="1">
      <alignment horizontal="center" vertical="center"/>
    </xf>
    <xf numFmtId="0" fontId="15" fillId="27" borderId="0" xfId="0" applyFont="1" applyFill="1"/>
    <xf numFmtId="0" fontId="7" fillId="27" borderId="0" xfId="0" applyFont="1" applyFill="1"/>
    <xf numFmtId="0" fontId="7" fillId="27" borderId="0" xfId="0" applyFont="1" applyFill="1" applyAlignment="1">
      <alignment horizontal="right"/>
    </xf>
    <xf numFmtId="0" fontId="5" fillId="5" borderId="13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49" fontId="5" fillId="5" borderId="13" xfId="0" applyNumberFormat="1" applyFont="1" applyFill="1" applyBorder="1" applyAlignment="1">
      <alignment horizontal="center" vertical="center"/>
    </xf>
    <xf numFmtId="49" fontId="5" fillId="5" borderId="12" xfId="0" applyNumberFormat="1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167" fontId="7" fillId="27" borderId="0" xfId="0" applyNumberFormat="1" applyFont="1" applyFill="1" applyAlignment="1">
      <alignment horizontal="right"/>
    </xf>
    <xf numFmtId="167" fontId="2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center"/>
    </xf>
    <xf numFmtId="0" fontId="4" fillId="17" borderId="11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4" fillId="17" borderId="5" xfId="0" applyFont="1" applyFill="1" applyBorder="1" applyAlignment="1">
      <alignment horizontal="center"/>
    </xf>
    <xf numFmtId="0" fontId="4" fillId="17" borderId="7" xfId="0" applyFont="1" applyFill="1" applyBorder="1" applyAlignment="1">
      <alignment horizontal="right"/>
    </xf>
    <xf numFmtId="164" fontId="4" fillId="2" borderId="0" xfId="0" applyNumberFormat="1" applyFont="1" applyFill="1" applyAlignment="1">
      <alignment horizontal="right"/>
    </xf>
    <xf numFmtId="164" fontId="4" fillId="17" borderId="7" xfId="0" applyNumberFormat="1" applyFont="1" applyFill="1" applyBorder="1" applyAlignment="1">
      <alignment horizontal="right"/>
    </xf>
    <xf numFmtId="0" fontId="4" fillId="2" borderId="0" xfId="0" applyFont="1" applyFill="1"/>
    <xf numFmtId="0" fontId="5" fillId="2" borderId="0" xfId="0" applyFont="1" applyFill="1"/>
    <xf numFmtId="0" fontId="5" fillId="11" borderId="3" xfId="0" applyFont="1" applyFill="1" applyBorder="1" applyAlignment="1">
      <alignment horizontal="center" vertical="center" wrapText="1"/>
    </xf>
    <xf numFmtId="0" fontId="5" fillId="13" borderId="3" xfId="0" applyFont="1" applyFill="1" applyBorder="1" applyAlignment="1">
      <alignment horizontal="center" vertical="center" wrapText="1"/>
    </xf>
    <xf numFmtId="164" fontId="5" fillId="11" borderId="16" xfId="0" applyNumberFormat="1" applyFont="1" applyFill="1" applyBorder="1" applyAlignment="1">
      <alignment horizontal="center" vertical="center" wrapText="1"/>
    </xf>
    <xf numFmtId="164" fontId="5" fillId="13" borderId="16" xfId="0" applyNumberFormat="1" applyFont="1" applyFill="1" applyBorder="1" applyAlignment="1">
      <alignment horizontal="center" vertical="center" wrapText="1"/>
    </xf>
    <xf numFmtId="2" fontId="6" fillId="4" borderId="3" xfId="0" applyNumberFormat="1" applyFont="1" applyFill="1" applyBorder="1" applyAlignment="1">
      <alignment horizontal="center" vertical="center"/>
    </xf>
    <xf numFmtId="2" fontId="6" fillId="14" borderId="3" xfId="0" applyNumberFormat="1" applyFont="1" applyFill="1" applyBorder="1" applyAlignment="1">
      <alignment horizontal="center" vertical="center"/>
    </xf>
    <xf numFmtId="2" fontId="5" fillId="11" borderId="3" xfId="0" applyNumberFormat="1" applyFont="1" applyFill="1" applyBorder="1" applyAlignment="1">
      <alignment horizontal="center" vertical="center" wrapText="1"/>
    </xf>
    <xf numFmtId="2" fontId="5" fillId="13" borderId="3" xfId="0" applyNumberFormat="1" applyFont="1" applyFill="1" applyBorder="1" applyAlignment="1">
      <alignment horizontal="center" vertical="center" wrapText="1"/>
    </xf>
    <xf numFmtId="1" fontId="6" fillId="4" borderId="3" xfId="0" applyNumberFormat="1" applyFont="1" applyFill="1" applyBorder="1" applyAlignment="1">
      <alignment horizontal="center"/>
    </xf>
    <xf numFmtId="2" fontId="6" fillId="4" borderId="3" xfId="0" applyNumberFormat="1" applyFont="1" applyFill="1" applyBorder="1" applyAlignment="1">
      <alignment horizontal="center"/>
    </xf>
    <xf numFmtId="1" fontId="6" fillId="14" borderId="3" xfId="0" applyNumberFormat="1" applyFont="1" applyFill="1" applyBorder="1" applyAlignment="1">
      <alignment horizontal="center"/>
    </xf>
    <xf numFmtId="1" fontId="12" fillId="4" borderId="3" xfId="0" applyNumberFormat="1" applyFont="1" applyFill="1" applyBorder="1" applyAlignment="1">
      <alignment horizontal="center"/>
    </xf>
    <xf numFmtId="1" fontId="12" fillId="14" borderId="3" xfId="0" applyNumberFormat="1" applyFont="1" applyFill="1" applyBorder="1" applyAlignment="1">
      <alignment horizontal="center"/>
    </xf>
    <xf numFmtId="0" fontId="16" fillId="2" borderId="0" xfId="0" applyFont="1" applyFill="1"/>
    <xf numFmtId="1" fontId="17" fillId="4" borderId="3" xfId="0" applyNumberFormat="1" applyFont="1" applyFill="1" applyBorder="1" applyAlignment="1">
      <alignment horizontal="center"/>
    </xf>
    <xf numFmtId="1" fontId="17" fillId="14" borderId="3" xfId="0" applyNumberFormat="1" applyFont="1" applyFill="1" applyBorder="1" applyAlignment="1">
      <alignment horizontal="center"/>
    </xf>
    <xf numFmtId="2" fontId="17" fillId="4" borderId="3" xfId="0" applyNumberFormat="1" applyFont="1" applyFill="1" applyBorder="1" applyAlignment="1">
      <alignment horizontal="center"/>
    </xf>
    <xf numFmtId="2" fontId="17" fillId="14" borderId="3" xfId="0" applyNumberFormat="1" applyFont="1" applyFill="1" applyBorder="1" applyAlignment="1">
      <alignment horizontal="center"/>
    </xf>
    <xf numFmtId="0" fontId="5" fillId="16" borderId="3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5" fillId="18" borderId="3" xfId="0" applyFont="1" applyFill="1" applyBorder="1" applyAlignment="1">
      <alignment horizontal="center" vertical="center" wrapText="1"/>
    </xf>
    <xf numFmtId="164" fontId="4" fillId="16" borderId="3" xfId="0" applyNumberFormat="1" applyFont="1" applyFill="1" applyBorder="1" applyAlignment="1">
      <alignment horizontal="center"/>
    </xf>
    <xf numFmtId="2" fontId="5" fillId="8" borderId="3" xfId="0" applyNumberFormat="1" applyFont="1" applyFill="1" applyBorder="1" applyAlignment="1">
      <alignment horizontal="center"/>
    </xf>
    <xf numFmtId="1" fontId="5" fillId="18" borderId="3" xfId="0" applyNumberFormat="1" applyFont="1" applyFill="1" applyBorder="1" applyAlignment="1">
      <alignment horizontal="center"/>
    </xf>
    <xf numFmtId="1" fontId="5" fillId="13" borderId="3" xfId="0" applyNumberFormat="1" applyFont="1" applyFill="1" applyBorder="1" applyAlignment="1">
      <alignment horizontal="center"/>
    </xf>
    <xf numFmtId="2" fontId="5" fillId="13" borderId="3" xfId="0" applyNumberFormat="1" applyFont="1" applyFill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64" fontId="5" fillId="13" borderId="3" xfId="0" applyNumberFormat="1" applyFont="1" applyFill="1" applyBorder="1" applyAlignment="1">
      <alignment horizontal="center"/>
    </xf>
    <xf numFmtId="1" fontId="12" fillId="2" borderId="0" xfId="0" applyNumberFormat="1" applyFont="1" applyFill="1"/>
    <xf numFmtId="0" fontId="12" fillId="0" borderId="3" xfId="0" applyFont="1" applyBorder="1" applyAlignment="1">
      <alignment horizontal="center" vertical="center" wrapText="1"/>
    </xf>
    <xf numFmtId="2" fontId="12" fillId="4" borderId="3" xfId="0" applyNumberFormat="1" applyFont="1" applyFill="1" applyBorder="1" applyAlignment="1">
      <alignment horizontal="center" vertical="center"/>
    </xf>
    <xf numFmtId="2" fontId="12" fillId="14" borderId="3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65" fontId="12" fillId="2" borderId="0" xfId="0" applyNumberFormat="1" applyFont="1" applyFill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2" borderId="0" xfId="0" applyFont="1" applyFill="1" applyAlignment="1">
      <alignment horizontal="right" vertical="center"/>
    </xf>
    <xf numFmtId="164" fontId="12" fillId="2" borderId="0" xfId="0" applyNumberFormat="1" applyFont="1" applyFill="1" applyAlignment="1">
      <alignment horizontal="center"/>
    </xf>
    <xf numFmtId="0" fontId="12" fillId="0" borderId="0" xfId="0" applyFont="1" applyAlignment="1">
      <alignment horizontal="center" vertical="center"/>
    </xf>
    <xf numFmtId="166" fontId="12" fillId="4" borderId="3" xfId="0" applyNumberFormat="1" applyFont="1" applyFill="1" applyBorder="1" applyAlignment="1">
      <alignment horizontal="center" vertical="center"/>
    </xf>
    <xf numFmtId="166" fontId="12" fillId="4" borderId="3" xfId="0" applyNumberFormat="1" applyFont="1" applyFill="1" applyBorder="1" applyAlignment="1">
      <alignment horizontal="center"/>
    </xf>
    <xf numFmtId="166" fontId="12" fillId="14" borderId="3" xfId="0" applyNumberFormat="1" applyFont="1" applyFill="1" applyBorder="1" applyAlignment="1">
      <alignment horizontal="center" vertical="center"/>
    </xf>
    <xf numFmtId="166" fontId="12" fillId="14" borderId="3" xfId="0" applyNumberFormat="1" applyFont="1" applyFill="1" applyBorder="1" applyAlignment="1">
      <alignment horizontal="center"/>
    </xf>
    <xf numFmtId="2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64" fontId="12" fillId="4" borderId="3" xfId="0" applyNumberFormat="1" applyFont="1" applyFill="1" applyBorder="1" applyAlignment="1">
      <alignment horizontal="center"/>
    </xf>
    <xf numFmtId="164" fontId="12" fillId="14" borderId="3" xfId="0" applyNumberFormat="1" applyFont="1" applyFill="1" applyBorder="1" applyAlignment="1">
      <alignment horizontal="center"/>
    </xf>
    <xf numFmtId="0" fontId="12" fillId="0" borderId="0" xfId="0" applyFont="1"/>
    <xf numFmtId="0" fontId="12" fillId="0" borderId="25" xfId="0" applyFont="1" applyBorder="1"/>
    <xf numFmtId="9" fontId="12" fillId="2" borderId="0" xfId="1" applyFont="1" applyFill="1"/>
    <xf numFmtId="2" fontId="12" fillId="2" borderId="0" xfId="0" applyNumberFormat="1" applyFont="1" applyFill="1"/>
    <xf numFmtId="2" fontId="12" fillId="9" borderId="0" xfId="0" applyNumberFormat="1" applyFont="1" applyFill="1"/>
    <xf numFmtId="0" fontId="5" fillId="19" borderId="3" xfId="0" applyFont="1" applyFill="1" applyBorder="1" applyAlignment="1">
      <alignment horizontal="center" vertical="center" wrapText="1"/>
    </xf>
    <xf numFmtId="2" fontId="12" fillId="20" borderId="3" xfId="0" applyNumberFormat="1" applyFont="1" applyFill="1" applyBorder="1" applyAlignment="1">
      <alignment horizontal="center" vertical="center"/>
    </xf>
    <xf numFmtId="164" fontId="5" fillId="19" borderId="16" xfId="0" applyNumberFormat="1" applyFont="1" applyFill="1" applyBorder="1" applyAlignment="1">
      <alignment horizontal="center" vertical="center" wrapText="1"/>
    </xf>
    <xf numFmtId="2" fontId="6" fillId="10" borderId="3" xfId="0" applyNumberFormat="1" applyFont="1" applyFill="1" applyBorder="1" applyAlignment="1">
      <alignment horizontal="center" vertical="center"/>
    </xf>
    <xf numFmtId="2" fontId="6" fillId="22" borderId="3" xfId="0" applyNumberFormat="1" applyFont="1" applyFill="1" applyBorder="1" applyAlignment="1">
      <alignment horizontal="center" vertical="center"/>
    </xf>
    <xf numFmtId="2" fontId="6" fillId="10" borderId="16" xfId="0" applyNumberFormat="1" applyFont="1" applyFill="1" applyBorder="1" applyAlignment="1">
      <alignment horizontal="center" vertical="center"/>
    </xf>
    <xf numFmtId="2" fontId="6" fillId="22" borderId="16" xfId="0" applyNumberFormat="1" applyFont="1" applyFill="1" applyBorder="1" applyAlignment="1">
      <alignment horizontal="center" vertical="center"/>
    </xf>
    <xf numFmtId="2" fontId="7" fillId="10" borderId="16" xfId="0" applyNumberFormat="1" applyFont="1" applyFill="1" applyBorder="1" applyAlignment="1">
      <alignment horizontal="center" vertical="center"/>
    </xf>
    <xf numFmtId="2" fontId="7" fillId="22" borderId="16" xfId="0" applyNumberFormat="1" applyFont="1" applyFill="1" applyBorder="1" applyAlignment="1">
      <alignment horizontal="center" vertical="center"/>
    </xf>
    <xf numFmtId="2" fontId="6" fillId="20" borderId="3" xfId="0" applyNumberFormat="1" applyFont="1" applyFill="1" applyBorder="1" applyAlignment="1">
      <alignment horizontal="center" vertical="center"/>
    </xf>
    <xf numFmtId="166" fontId="12" fillId="20" borderId="3" xfId="0" applyNumberFormat="1" applyFont="1" applyFill="1" applyBorder="1" applyAlignment="1">
      <alignment horizontal="center" vertical="center"/>
    </xf>
    <xf numFmtId="166" fontId="12" fillId="20" borderId="3" xfId="0" applyNumberFormat="1" applyFont="1" applyFill="1" applyBorder="1" applyAlignment="1">
      <alignment horizontal="center"/>
    </xf>
    <xf numFmtId="166" fontId="12" fillId="2" borderId="0" xfId="0" applyNumberFormat="1" applyFont="1" applyFill="1" applyAlignment="1">
      <alignment horizontal="center"/>
    </xf>
    <xf numFmtId="2" fontId="5" fillId="19" borderId="3" xfId="0" applyNumberFormat="1" applyFont="1" applyFill="1" applyBorder="1" applyAlignment="1">
      <alignment horizontal="center" vertical="center" wrapText="1"/>
    </xf>
    <xf numFmtId="164" fontId="6" fillId="10" borderId="3" xfId="0" applyNumberFormat="1" applyFont="1" applyFill="1" applyBorder="1" applyAlignment="1">
      <alignment horizontal="center" vertical="center"/>
    </xf>
    <xf numFmtId="164" fontId="19" fillId="10" borderId="27" xfId="0" applyNumberFormat="1" applyFont="1" applyFill="1" applyBorder="1" applyAlignment="1">
      <alignment horizontal="center"/>
    </xf>
    <xf numFmtId="164" fontId="6" fillId="22" borderId="27" xfId="0" applyNumberFormat="1" applyFont="1" applyFill="1" applyBorder="1" applyAlignment="1">
      <alignment horizontal="center" vertical="center"/>
    </xf>
    <xf numFmtId="164" fontId="6" fillId="22" borderId="27" xfId="0" applyNumberFormat="1" applyFont="1" applyFill="1" applyBorder="1" applyAlignment="1">
      <alignment horizontal="center"/>
    </xf>
    <xf numFmtId="164" fontId="6" fillId="10" borderId="35" xfId="0" applyNumberFormat="1" applyFont="1" applyFill="1" applyBorder="1" applyAlignment="1">
      <alignment horizontal="center"/>
    </xf>
    <xf numFmtId="164" fontId="6" fillId="22" borderId="35" xfId="0" applyNumberFormat="1" applyFont="1" applyFill="1" applyBorder="1" applyAlignment="1">
      <alignment horizontal="center"/>
    </xf>
    <xf numFmtId="164" fontId="7" fillId="10" borderId="35" xfId="0" applyNumberFormat="1" applyFont="1" applyFill="1" applyBorder="1" applyAlignment="1">
      <alignment horizontal="center"/>
    </xf>
    <xf numFmtId="164" fontId="7" fillId="22" borderId="35" xfId="0" applyNumberFormat="1" applyFont="1" applyFill="1" applyBorder="1" applyAlignment="1">
      <alignment horizontal="center"/>
    </xf>
    <xf numFmtId="164" fontId="12" fillId="20" borderId="3" xfId="0" applyNumberFormat="1" applyFont="1" applyFill="1" applyBorder="1" applyAlignment="1">
      <alignment horizontal="center"/>
    </xf>
    <xf numFmtId="164" fontId="6" fillId="4" borderId="3" xfId="0" applyNumberFormat="1" applyFont="1" applyFill="1" applyBorder="1" applyAlignment="1">
      <alignment horizontal="center"/>
    </xf>
    <xf numFmtId="164" fontId="6" fillId="20" borderId="3" xfId="0" applyNumberFormat="1" applyFont="1" applyFill="1" applyBorder="1" applyAlignment="1">
      <alignment horizontal="center"/>
    </xf>
    <xf numFmtId="1" fontId="12" fillId="20" borderId="3" xfId="0" applyNumberFormat="1" applyFont="1" applyFill="1" applyBorder="1" applyAlignment="1">
      <alignment horizontal="center"/>
    </xf>
    <xf numFmtId="2" fontId="12" fillId="10" borderId="3" xfId="0" applyNumberFormat="1" applyFont="1" applyFill="1" applyBorder="1" applyAlignment="1">
      <alignment horizontal="center" vertical="center"/>
    </xf>
    <xf numFmtId="2" fontId="12" fillId="22" borderId="3" xfId="0" applyNumberFormat="1" applyFont="1" applyFill="1" applyBorder="1" applyAlignment="1">
      <alignment horizontal="center" vertical="center"/>
    </xf>
    <xf numFmtId="2" fontId="12" fillId="10" borderId="16" xfId="0" applyNumberFormat="1" applyFont="1" applyFill="1" applyBorder="1" applyAlignment="1">
      <alignment horizontal="center" vertical="center"/>
    </xf>
    <xf numFmtId="2" fontId="12" fillId="22" borderId="16" xfId="0" applyNumberFormat="1" applyFont="1" applyFill="1" applyBorder="1" applyAlignment="1">
      <alignment horizontal="center" vertical="center"/>
    </xf>
    <xf numFmtId="164" fontId="12" fillId="10" borderId="3" xfId="0" applyNumberFormat="1" applyFont="1" applyFill="1" applyBorder="1" applyAlignment="1">
      <alignment horizontal="center" vertical="center"/>
    </xf>
    <xf numFmtId="164" fontId="12" fillId="10" borderId="27" xfId="0" applyNumberFormat="1" applyFont="1" applyFill="1" applyBorder="1" applyAlignment="1">
      <alignment horizontal="center"/>
    </xf>
    <xf numFmtId="164" fontId="12" fillId="22" borderId="27" xfId="0" applyNumberFormat="1" applyFont="1" applyFill="1" applyBorder="1" applyAlignment="1">
      <alignment horizontal="center" vertical="center"/>
    </xf>
    <xf numFmtId="164" fontId="12" fillId="22" borderId="27" xfId="0" applyNumberFormat="1" applyFont="1" applyFill="1" applyBorder="1" applyAlignment="1">
      <alignment horizontal="center"/>
    </xf>
    <xf numFmtId="164" fontId="6" fillId="22" borderId="3" xfId="0" applyNumberFormat="1" applyFont="1" applyFill="1" applyBorder="1" applyAlignment="1">
      <alignment horizontal="center" vertical="center"/>
    </xf>
    <xf numFmtId="164" fontId="12" fillId="10" borderId="35" xfId="0" applyNumberFormat="1" applyFont="1" applyFill="1" applyBorder="1" applyAlignment="1">
      <alignment horizontal="center"/>
    </xf>
    <xf numFmtId="164" fontId="12" fillId="22" borderId="35" xfId="0" applyNumberFormat="1" applyFont="1" applyFill="1" applyBorder="1" applyAlignment="1">
      <alignment horizontal="center"/>
    </xf>
    <xf numFmtId="164" fontId="6" fillId="10" borderId="27" xfId="0" applyNumberFormat="1" applyFont="1" applyFill="1" applyBorder="1" applyAlignment="1">
      <alignment horizontal="center"/>
    </xf>
    <xf numFmtId="164" fontId="12" fillId="22" borderId="3" xfId="0" applyNumberFormat="1" applyFont="1" applyFill="1" applyBorder="1" applyAlignment="1">
      <alignment horizontal="center" vertical="center"/>
    </xf>
    <xf numFmtId="49" fontId="3" fillId="2" borderId="0" xfId="0" applyNumberFormat="1" applyFont="1" applyFill="1"/>
    <xf numFmtId="0" fontId="4" fillId="5" borderId="24" xfId="0" applyFont="1" applyFill="1" applyBorder="1" applyAlignment="1">
      <alignment horizontal="center" vertical="center" wrapText="1"/>
    </xf>
    <xf numFmtId="0" fontId="4" fillId="5" borderId="29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4" fillId="13" borderId="6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164" fontId="7" fillId="22" borderId="38" xfId="0" applyNumberFormat="1" applyFont="1" applyFill="1" applyBorder="1" applyAlignment="1">
      <alignment horizontal="center" vertical="center"/>
    </xf>
    <xf numFmtId="164" fontId="7" fillId="22" borderId="26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14" fillId="21" borderId="5" xfId="0" applyFont="1" applyFill="1" applyBorder="1" applyAlignment="1">
      <alignment horizontal="center" vertical="center"/>
    </xf>
    <xf numFmtId="0" fontId="14" fillId="21" borderId="7" xfId="0" applyFont="1" applyFill="1" applyBorder="1" applyAlignment="1">
      <alignment horizontal="center" vertical="center"/>
    </xf>
    <xf numFmtId="1" fontId="7" fillId="22" borderId="37" xfId="0" applyNumberFormat="1" applyFont="1" applyFill="1" applyBorder="1" applyAlignment="1">
      <alignment horizontal="center" vertical="center"/>
    </xf>
    <xf numFmtId="1" fontId="7" fillId="22" borderId="28" xfId="0" applyNumberFormat="1" applyFont="1" applyFill="1" applyBorder="1" applyAlignment="1">
      <alignment horizontal="center" vertical="center"/>
    </xf>
    <xf numFmtId="1" fontId="7" fillId="22" borderId="38" xfId="0" applyNumberFormat="1" applyFont="1" applyFill="1" applyBorder="1" applyAlignment="1">
      <alignment horizontal="center" vertical="center"/>
    </xf>
    <xf numFmtId="1" fontId="7" fillId="22" borderId="26" xfId="0" applyNumberFormat="1" applyFont="1" applyFill="1" applyBorder="1" applyAlignment="1">
      <alignment horizontal="center" vertical="center"/>
    </xf>
    <xf numFmtId="0" fontId="18" fillId="16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5" fontId="12" fillId="2" borderId="0" xfId="0" applyNumberFormat="1" applyFont="1" applyFill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8" fillId="13" borderId="0" xfId="0" applyFont="1" applyFill="1" applyAlignment="1">
      <alignment horizontal="center"/>
    </xf>
    <xf numFmtId="0" fontId="18" fillId="8" borderId="0" xfId="0" applyFont="1" applyFill="1" applyAlignment="1">
      <alignment horizontal="center"/>
    </xf>
    <xf numFmtId="164" fontId="7" fillId="24" borderId="13" xfId="0" applyNumberFormat="1" applyFont="1" applyFill="1" applyBorder="1" applyAlignment="1">
      <alignment horizontal="center" vertical="center"/>
    </xf>
    <xf numFmtId="164" fontId="15" fillId="26" borderId="18" xfId="0" applyNumberFormat="1" applyFont="1" applyFill="1" applyBorder="1" applyAlignment="1">
      <alignment horizontal="center" vertical="center"/>
    </xf>
    <xf numFmtId="164" fontId="7" fillId="24" borderId="1" xfId="0" applyNumberFormat="1" applyFont="1" applyFill="1" applyBorder="1" applyAlignment="1">
      <alignment horizontal="center" vertical="center"/>
    </xf>
    <xf numFmtId="164" fontId="15" fillId="26" borderId="15" xfId="0" applyNumberFormat="1" applyFont="1" applyFill="1" applyBorder="1" applyAlignment="1">
      <alignment horizontal="center" vertical="center"/>
    </xf>
    <xf numFmtId="167" fontId="7" fillId="24" borderId="13" xfId="0" applyNumberFormat="1" applyFont="1" applyFill="1" applyBorder="1" applyAlignment="1">
      <alignment horizontal="center" vertical="center"/>
    </xf>
    <xf numFmtId="167" fontId="15" fillId="26" borderId="18" xfId="0" applyNumberFormat="1" applyFont="1" applyFill="1" applyBorder="1" applyAlignment="1">
      <alignment horizontal="center" vertical="center"/>
    </xf>
    <xf numFmtId="167" fontId="7" fillId="24" borderId="1" xfId="0" applyNumberFormat="1" applyFont="1" applyFill="1" applyBorder="1" applyAlignment="1">
      <alignment horizontal="center" vertical="center"/>
    </xf>
    <xf numFmtId="167" fontId="15" fillId="26" borderId="15" xfId="0" applyNumberFormat="1" applyFont="1" applyFill="1" applyBorder="1" applyAlignment="1">
      <alignment horizontal="center" vertical="center"/>
    </xf>
    <xf numFmtId="166" fontId="7" fillId="24" borderId="36" xfId="0" applyNumberFormat="1" applyFont="1" applyFill="1" applyBorder="1" applyAlignment="1">
      <alignment horizontal="center" vertical="center"/>
    </xf>
    <xf numFmtId="166" fontId="15" fillId="26" borderId="13" xfId="0" applyNumberFormat="1" applyFont="1" applyFill="1" applyBorder="1" applyAlignment="1">
      <alignment horizontal="center" vertical="center"/>
    </xf>
    <xf numFmtId="166" fontId="15" fillId="26" borderId="1" xfId="0" applyNumberFormat="1" applyFont="1" applyFill="1" applyBorder="1" applyAlignment="1">
      <alignment horizontal="center" vertical="center"/>
    </xf>
    <xf numFmtId="1" fontId="14" fillId="23" borderId="29" xfId="0" applyNumberFormat="1" applyFont="1" applyFill="1" applyBorder="1" applyAlignment="1">
      <alignment horizontal="center" vertical="center"/>
    </xf>
    <xf numFmtId="1" fontId="4" fillId="25" borderId="29" xfId="0" applyNumberFormat="1" applyFont="1" applyFill="1" applyBorder="1" applyAlignment="1">
      <alignment horizontal="center" vertical="center" wrapText="1"/>
    </xf>
    <xf numFmtId="10" fontId="5" fillId="8" borderId="3" xfId="0" applyNumberFormat="1" applyFont="1" applyFill="1" applyBorder="1" applyAlignment="1">
      <alignment horizontal="center"/>
    </xf>
    <xf numFmtId="10" fontId="5" fillId="18" borderId="3" xfId="0" applyNumberFormat="1" applyFont="1" applyFill="1" applyBorder="1" applyAlignment="1">
      <alignment horizontal="center"/>
    </xf>
    <xf numFmtId="10" fontId="5" fillId="13" borderId="3" xfId="0" applyNumberFormat="1" applyFont="1" applyFill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164" fontId="5" fillId="8" borderId="3" xfId="0" applyNumberFormat="1" applyFont="1" applyFill="1" applyBorder="1" applyAlignment="1">
      <alignment horizontal="center"/>
    </xf>
    <xf numFmtId="164" fontId="5" fillId="18" borderId="3" xfId="0" applyNumberFormat="1" applyFont="1" applyFill="1" applyBorder="1" applyAlignment="1">
      <alignment horizontal="center"/>
    </xf>
    <xf numFmtId="2" fontId="5" fillId="18" borderId="3" xfId="0" applyNumberFormat="1" applyFont="1" applyFill="1" applyBorder="1" applyAlignment="1">
      <alignment horizontal="center"/>
    </xf>
    <xf numFmtId="167" fontId="5" fillId="8" borderId="3" xfId="0" applyNumberFormat="1" applyFont="1" applyFill="1" applyBorder="1" applyAlignment="1">
      <alignment horizontal="center"/>
    </xf>
    <xf numFmtId="167" fontId="5" fillId="18" borderId="3" xfId="0" applyNumberFormat="1" applyFont="1" applyFill="1" applyBorder="1" applyAlignment="1">
      <alignment horizontal="center"/>
    </xf>
    <xf numFmtId="167" fontId="5" fillId="13" borderId="3" xfId="0" applyNumberFormat="1" applyFont="1" applyFill="1" applyBorder="1" applyAlignment="1">
      <alignment horizontal="center"/>
    </xf>
    <xf numFmtId="10" fontId="4" fillId="28" borderId="3" xfId="0" applyNumberFormat="1" applyFont="1" applyFill="1" applyBorder="1" applyAlignment="1">
      <alignment horizontal="center"/>
    </xf>
    <xf numFmtId="0" fontId="12" fillId="29" borderId="0" xfId="0" applyFont="1" applyFill="1"/>
    <xf numFmtId="0" fontId="12" fillId="30" borderId="0" xfId="0" applyFont="1" applyFill="1"/>
    <xf numFmtId="167" fontId="4" fillId="28" borderId="3" xfId="0" applyNumberFormat="1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DAA401"/>
      <color rgb="FF5B5D15"/>
      <color rgb="FF8A8D1E"/>
      <color rgb="FF7B810C"/>
      <color rgb="FFAFB810"/>
      <color rgb="FFFD70A3"/>
      <color rgb="FFECF4C1"/>
      <color rgb="FFBBB92C"/>
      <color rgb="FF6AC5FF"/>
      <color rgb="FFED8E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Arial Nova" panose="020F0502020204030204" pitchFamily="34" charset="0"/>
                <a:ea typeface="+mn-ea"/>
                <a:cs typeface="Arial Nova" panose="020F0502020204030204" pitchFamily="34" charset="0"/>
              </a:defRPr>
            </a:pPr>
            <a:r>
              <a:rPr lang="es-MX" sz="1200" b="1"/>
              <a:t>SH2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Arial Nova" panose="020F0502020204030204" pitchFamily="34" charset="0"/>
              <a:ea typeface="+mn-ea"/>
              <a:cs typeface="Arial Nova" panose="020F0502020204030204" pitchFamily="34" charset="0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R1</c:v>
          </c:tx>
          <c:spPr>
            <a:ln w="19050" cap="rnd">
              <a:solidFill>
                <a:srgbClr val="43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372C4"/>
              </a:solidFill>
              <a:ln w="9525">
                <a:solidFill>
                  <a:srgbClr val="4372C4"/>
                </a:solidFill>
              </a:ln>
              <a:effectLst/>
            </c:spPr>
          </c:marker>
          <c:xVal>
            <c:numRef>
              <c:f>RESUMEN!$C$3:$C$63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69</c:v>
                </c:pt>
                <c:pt idx="38">
                  <c:v>70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79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90</c:v>
                </c:pt>
                <c:pt idx="48">
                  <c:v>91</c:v>
                </c:pt>
                <c:pt idx="49">
                  <c:v>92</c:v>
                </c:pt>
                <c:pt idx="50">
                  <c:v>93</c:v>
                </c:pt>
                <c:pt idx="51">
                  <c:v>97</c:v>
                </c:pt>
                <c:pt idx="52">
                  <c:v>98</c:v>
                </c:pt>
                <c:pt idx="53">
                  <c:v>99</c:v>
                </c:pt>
                <c:pt idx="54">
                  <c:v>100</c:v>
                </c:pt>
                <c:pt idx="55">
                  <c:v>104</c:v>
                </c:pt>
                <c:pt idx="56">
                  <c:v>105</c:v>
                </c:pt>
                <c:pt idx="57">
                  <c:v>106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</c:numCache>
            </c:numRef>
          </c:xVal>
          <c:yVal>
            <c:numRef>
              <c:f>RESUMEN!$H$3:$H$63</c:f>
              <c:numCache>
                <c:formatCode>0.00</c:formatCode>
                <c:ptCount val="61"/>
                <c:pt idx="0">
                  <c:v>3623</c:v>
                </c:pt>
                <c:pt idx="1">
                  <c:v>2937</c:v>
                </c:pt>
                <c:pt idx="2">
                  <c:v>2325</c:v>
                </c:pt>
                <c:pt idx="3">
                  <c:v>2215</c:v>
                </c:pt>
                <c:pt idx="4">
                  <c:v>1955</c:v>
                </c:pt>
                <c:pt idx="5">
                  <c:v>1963</c:v>
                </c:pt>
                <c:pt idx="6">
                  <c:v>1916</c:v>
                </c:pt>
                <c:pt idx="7">
                  <c:v>2079</c:v>
                </c:pt>
                <c:pt idx="8">
                  <c:v>1847</c:v>
                </c:pt>
                <c:pt idx="9">
                  <c:v>1973</c:v>
                </c:pt>
                <c:pt idx="10">
                  <c:v>1944</c:v>
                </c:pt>
                <c:pt idx="11">
                  <c:v>1910</c:v>
                </c:pt>
                <c:pt idx="12">
                  <c:v>1637</c:v>
                </c:pt>
                <c:pt idx="13">
                  <c:v>1104</c:v>
                </c:pt>
                <c:pt idx="14">
                  <c:v>924</c:v>
                </c:pt>
                <c:pt idx="15" formatCode="General">
                  <c:v>1276</c:v>
                </c:pt>
                <c:pt idx="16" formatCode="General">
                  <c:v>857</c:v>
                </c:pt>
                <c:pt idx="17" formatCode="General">
                  <c:v>716</c:v>
                </c:pt>
                <c:pt idx="18" formatCode="General">
                  <c:v>1199</c:v>
                </c:pt>
                <c:pt idx="19" formatCode="General">
                  <c:v>865</c:v>
                </c:pt>
                <c:pt idx="20" formatCode="General">
                  <c:v>862</c:v>
                </c:pt>
                <c:pt idx="21" formatCode="General">
                  <c:v>1190</c:v>
                </c:pt>
                <c:pt idx="22" formatCode="General">
                  <c:v>1149</c:v>
                </c:pt>
                <c:pt idx="23" formatCode="General">
                  <c:v>840</c:v>
                </c:pt>
                <c:pt idx="24" formatCode="General">
                  <c:v>771</c:v>
                </c:pt>
                <c:pt idx="25" formatCode="General">
                  <c:v>994</c:v>
                </c:pt>
                <c:pt idx="26" formatCode="General">
                  <c:v>959</c:v>
                </c:pt>
                <c:pt idx="27" formatCode="General">
                  <c:v>894</c:v>
                </c:pt>
                <c:pt idx="28" formatCode="General">
                  <c:v>811</c:v>
                </c:pt>
                <c:pt idx="29" formatCode="General">
                  <c:v>855</c:v>
                </c:pt>
                <c:pt idx="30" formatCode="General">
                  <c:v>481</c:v>
                </c:pt>
                <c:pt idx="31" formatCode="General">
                  <c:v>384</c:v>
                </c:pt>
                <c:pt idx="32" formatCode="General">
                  <c:v>353</c:v>
                </c:pt>
                <c:pt idx="33" formatCode="General">
                  <c:v>374</c:v>
                </c:pt>
                <c:pt idx="34" formatCode="General">
                  <c:v>383</c:v>
                </c:pt>
                <c:pt idx="35" formatCode="General">
                  <c:v>295</c:v>
                </c:pt>
                <c:pt idx="36" formatCode="General">
                  <c:v>265</c:v>
                </c:pt>
                <c:pt idx="37" formatCode="General">
                  <c:v>338</c:v>
                </c:pt>
                <c:pt idx="38" formatCode="General">
                  <c:v>291</c:v>
                </c:pt>
                <c:pt idx="39" formatCode="General">
                  <c:v>202</c:v>
                </c:pt>
                <c:pt idx="40" formatCode="General">
                  <c:v>213</c:v>
                </c:pt>
                <c:pt idx="41" formatCode="General">
                  <c:v>142</c:v>
                </c:pt>
                <c:pt idx="42" formatCode="General">
                  <c:v>57</c:v>
                </c:pt>
                <c:pt idx="43" formatCode="General">
                  <c:v>28</c:v>
                </c:pt>
                <c:pt idx="44" formatCode="General">
                  <c:v>19</c:v>
                </c:pt>
                <c:pt idx="45" formatCode="General">
                  <c:v>23</c:v>
                </c:pt>
                <c:pt idx="46" formatCode="General">
                  <c:v>23</c:v>
                </c:pt>
                <c:pt idx="47" formatCode="General">
                  <c:v>56</c:v>
                </c:pt>
                <c:pt idx="48" formatCode="General">
                  <c:v>28</c:v>
                </c:pt>
                <c:pt idx="49" formatCode="General">
                  <c:v>32</c:v>
                </c:pt>
                <c:pt idx="50" formatCode="General">
                  <c:v>34</c:v>
                </c:pt>
                <c:pt idx="51" formatCode="General">
                  <c:v>751</c:v>
                </c:pt>
                <c:pt idx="52" formatCode="General">
                  <c:v>929</c:v>
                </c:pt>
                <c:pt idx="53" formatCode="General">
                  <c:v>1180</c:v>
                </c:pt>
                <c:pt idx="54" formatCode="General">
                  <c:v>1535</c:v>
                </c:pt>
                <c:pt idx="55" formatCode="General">
                  <c:v>2454</c:v>
                </c:pt>
                <c:pt idx="56" formatCode="General">
                  <c:v>2588</c:v>
                </c:pt>
                <c:pt idx="57" formatCode="General">
                  <c:v>2523</c:v>
                </c:pt>
                <c:pt idx="58" formatCode="General">
                  <c:v>2643</c:v>
                </c:pt>
                <c:pt idx="59" formatCode="General">
                  <c:v>2605</c:v>
                </c:pt>
                <c:pt idx="60" formatCode="General">
                  <c:v>2643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7E-514D-BEFD-177D5FF767B2}"/>
            </c:ext>
          </c:extLst>
        </c:ser>
        <c:ser>
          <c:idx val="1"/>
          <c:order val="1"/>
          <c:tx>
            <c:v>R2</c:v>
          </c:tx>
          <c:spPr>
            <a:ln w="19050" cap="rnd">
              <a:solidFill>
                <a:srgbClr val="BBB92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BB92C"/>
              </a:solidFill>
              <a:ln w="9525">
                <a:solidFill>
                  <a:srgbClr val="BBB92C"/>
                </a:solidFill>
              </a:ln>
              <a:effectLst/>
            </c:spPr>
          </c:marker>
          <c:xVal>
            <c:numRef>
              <c:f>RESUMEN!$C$3:$C$63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69</c:v>
                </c:pt>
                <c:pt idx="38">
                  <c:v>70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79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90</c:v>
                </c:pt>
                <c:pt idx="48">
                  <c:v>91</c:v>
                </c:pt>
                <c:pt idx="49">
                  <c:v>92</c:v>
                </c:pt>
                <c:pt idx="50">
                  <c:v>93</c:v>
                </c:pt>
                <c:pt idx="51">
                  <c:v>97</c:v>
                </c:pt>
                <c:pt idx="52">
                  <c:v>98</c:v>
                </c:pt>
                <c:pt idx="53">
                  <c:v>99</c:v>
                </c:pt>
                <c:pt idx="54">
                  <c:v>100</c:v>
                </c:pt>
                <c:pt idx="55">
                  <c:v>104</c:v>
                </c:pt>
                <c:pt idx="56">
                  <c:v>105</c:v>
                </c:pt>
                <c:pt idx="57">
                  <c:v>106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</c:numCache>
            </c:numRef>
          </c:xVal>
          <c:yVal>
            <c:numRef>
              <c:f>RESUMEN!$P$3:$P$63</c:f>
              <c:numCache>
                <c:formatCode>General</c:formatCode>
                <c:ptCount val="61"/>
                <c:pt idx="0">
                  <c:v>3323</c:v>
                </c:pt>
                <c:pt idx="1">
                  <c:v>3323</c:v>
                </c:pt>
                <c:pt idx="2">
                  <c:v>3337</c:v>
                </c:pt>
                <c:pt idx="3">
                  <c:v>2610</c:v>
                </c:pt>
                <c:pt idx="4">
                  <c:v>2576</c:v>
                </c:pt>
                <c:pt idx="5">
                  <c:v>2473</c:v>
                </c:pt>
                <c:pt idx="6">
                  <c:v>3068</c:v>
                </c:pt>
                <c:pt idx="7">
                  <c:v>2725</c:v>
                </c:pt>
                <c:pt idx="8">
                  <c:v>3267</c:v>
                </c:pt>
                <c:pt idx="9">
                  <c:v>2533</c:v>
                </c:pt>
                <c:pt idx="10">
                  <c:v>3076</c:v>
                </c:pt>
                <c:pt idx="11">
                  <c:v>2375</c:v>
                </c:pt>
                <c:pt idx="12">
                  <c:v>2545</c:v>
                </c:pt>
                <c:pt idx="13">
                  <c:v>2629</c:v>
                </c:pt>
                <c:pt idx="14">
                  <c:v>2578</c:v>
                </c:pt>
                <c:pt idx="15">
                  <c:v>2645</c:v>
                </c:pt>
                <c:pt idx="16">
                  <c:v>2650</c:v>
                </c:pt>
                <c:pt idx="17">
                  <c:v>2627</c:v>
                </c:pt>
                <c:pt idx="18">
                  <c:v>3545</c:v>
                </c:pt>
                <c:pt idx="19">
                  <c:v>2406</c:v>
                </c:pt>
                <c:pt idx="20">
                  <c:v>2476</c:v>
                </c:pt>
                <c:pt idx="21">
                  <c:v>2868</c:v>
                </c:pt>
                <c:pt idx="22">
                  <c:v>2925</c:v>
                </c:pt>
                <c:pt idx="23">
                  <c:v>2853</c:v>
                </c:pt>
                <c:pt idx="24">
                  <c:v>2462</c:v>
                </c:pt>
                <c:pt idx="25">
                  <c:v>2838</c:v>
                </c:pt>
                <c:pt idx="26">
                  <c:v>2939</c:v>
                </c:pt>
                <c:pt idx="27">
                  <c:v>2800</c:v>
                </c:pt>
                <c:pt idx="28">
                  <c:v>2765</c:v>
                </c:pt>
                <c:pt idx="29">
                  <c:v>3285</c:v>
                </c:pt>
                <c:pt idx="30">
                  <c:v>2790</c:v>
                </c:pt>
                <c:pt idx="31">
                  <c:v>2624</c:v>
                </c:pt>
                <c:pt idx="32">
                  <c:v>2677</c:v>
                </c:pt>
                <c:pt idx="33">
                  <c:v>2721</c:v>
                </c:pt>
                <c:pt idx="34">
                  <c:v>2664</c:v>
                </c:pt>
                <c:pt idx="35">
                  <c:v>2489</c:v>
                </c:pt>
                <c:pt idx="36">
                  <c:v>2843</c:v>
                </c:pt>
                <c:pt idx="37">
                  <c:v>2908</c:v>
                </c:pt>
                <c:pt idx="38">
                  <c:v>2660</c:v>
                </c:pt>
                <c:pt idx="39">
                  <c:v>2076</c:v>
                </c:pt>
                <c:pt idx="40">
                  <c:v>2337</c:v>
                </c:pt>
                <c:pt idx="41">
                  <c:v>2756</c:v>
                </c:pt>
                <c:pt idx="42">
                  <c:v>2619</c:v>
                </c:pt>
                <c:pt idx="43">
                  <c:v>2719</c:v>
                </c:pt>
                <c:pt idx="44">
                  <c:v>2854</c:v>
                </c:pt>
                <c:pt idx="45">
                  <c:v>2505</c:v>
                </c:pt>
                <c:pt idx="46">
                  <c:v>2556</c:v>
                </c:pt>
                <c:pt idx="47">
                  <c:v>2726</c:v>
                </c:pt>
                <c:pt idx="48">
                  <c:v>2696</c:v>
                </c:pt>
                <c:pt idx="49">
                  <c:v>2851</c:v>
                </c:pt>
                <c:pt idx="50">
                  <c:v>2961</c:v>
                </c:pt>
                <c:pt idx="51">
                  <c:v>3280</c:v>
                </c:pt>
                <c:pt idx="52">
                  <c:v>3320</c:v>
                </c:pt>
                <c:pt idx="53">
                  <c:v>3285</c:v>
                </c:pt>
                <c:pt idx="54">
                  <c:v>2790</c:v>
                </c:pt>
                <c:pt idx="55">
                  <c:v>2624</c:v>
                </c:pt>
                <c:pt idx="56">
                  <c:v>2677</c:v>
                </c:pt>
                <c:pt idx="57">
                  <c:v>2721</c:v>
                </c:pt>
                <c:pt idx="58">
                  <c:v>2664</c:v>
                </c:pt>
                <c:pt idx="59">
                  <c:v>2489</c:v>
                </c:pt>
                <c:pt idx="60">
                  <c:v>2843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7E-514D-BEFD-177D5FF767B2}"/>
            </c:ext>
          </c:extLst>
        </c:ser>
        <c:ser>
          <c:idx val="2"/>
          <c:order val="2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23</c:v>
              </c:pt>
              <c:pt idx="1">
                <c:v>23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4500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E7E-514D-BEFD-177D5FF767B2}"/>
            </c:ext>
          </c:extLst>
        </c:ser>
        <c:ser>
          <c:idx val="3"/>
          <c:order val="3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48</c:v>
              </c:pt>
              <c:pt idx="1">
                <c:v>48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4500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3E7E-514D-BEFD-177D5FF767B2}"/>
            </c:ext>
          </c:extLst>
        </c:ser>
        <c:ser>
          <c:idx val="4"/>
          <c:order val="4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71</c:v>
              </c:pt>
              <c:pt idx="1">
                <c:v>71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4500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3E7E-514D-BEFD-177D5FF767B2}"/>
            </c:ext>
          </c:extLst>
        </c:ser>
        <c:ser>
          <c:idx val="5"/>
          <c:order val="5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93</c:v>
              </c:pt>
              <c:pt idx="1">
                <c:v>93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4500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3E7E-514D-BEFD-177D5FF767B2}"/>
            </c:ext>
          </c:extLst>
        </c:ser>
        <c:ser>
          <c:idx val="6"/>
          <c:order val="6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4500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6-3E7E-514D-BEFD-177D5FF76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741823"/>
        <c:axId val="1215972831"/>
      </c:scatterChart>
      <c:valAx>
        <c:axId val="119674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ova" panose="020F0502020204030204" pitchFamily="34" charset="0"/>
                    <a:ea typeface="+mn-ea"/>
                    <a:cs typeface="Arial Nova" panose="020F0502020204030204" pitchFamily="34" charset="0"/>
                  </a:defRPr>
                </a:pPr>
                <a:r>
                  <a:rPr lang="es-MX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Nova" panose="020F0502020204030204" pitchFamily="34" charset="0"/>
                  <a:ea typeface="+mn-ea"/>
                  <a:cs typeface="Arial Nova" panose="020F050202020403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ova" panose="020F0502020204030204" pitchFamily="34" charset="0"/>
                <a:ea typeface="+mn-ea"/>
                <a:cs typeface="Arial Nova" panose="020F0502020204030204" pitchFamily="34" charset="0"/>
              </a:defRPr>
            </a:pPr>
            <a:endParaRPr lang="es-AR"/>
          </a:p>
        </c:txPr>
        <c:crossAx val="1215972831"/>
        <c:crosses val="autoZero"/>
        <c:crossBetween val="midCat"/>
      </c:valAx>
      <c:valAx>
        <c:axId val="1215972831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ova" panose="020F0502020204030204" pitchFamily="34" charset="0"/>
                    <a:ea typeface="+mn-ea"/>
                    <a:cs typeface="Arial Nova" panose="020F0502020204030204" pitchFamily="34" charset="0"/>
                  </a:defRPr>
                </a:pPr>
                <a:r>
                  <a:rPr lang="es-MX"/>
                  <a:t>SH2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Nova" panose="020F0502020204030204" pitchFamily="34" charset="0"/>
                  <a:ea typeface="+mn-ea"/>
                  <a:cs typeface="Arial Nova" panose="020F0502020204030204" pitchFamily="34" charset="0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ova" panose="020F0502020204030204" pitchFamily="34" charset="0"/>
                <a:ea typeface="+mn-ea"/>
                <a:cs typeface="Arial Nova" panose="020F0502020204030204" pitchFamily="34" charset="0"/>
              </a:defRPr>
            </a:pPr>
            <a:endParaRPr lang="es-AR"/>
          </a:p>
        </c:txPr>
        <c:crossAx val="119674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Nova" panose="020F0502020204030204" pitchFamily="34" charset="0"/>
              <a:ea typeface="+mn-ea"/>
              <a:cs typeface="Arial Nova" panose="020F0502020204030204" pitchFamily="34" charset="0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 Nova" panose="020F0502020204030204" pitchFamily="34" charset="0"/>
          <a:cs typeface="Arial Nova" panose="020F050202020403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Arial Nova" panose="020F0502020204030204" pitchFamily="34" charset="0"/>
                <a:ea typeface="+mn-ea"/>
                <a:cs typeface="Arial Nova" panose="020F0502020204030204" pitchFamily="34" charset="0"/>
              </a:defRPr>
            </a:pPr>
            <a:r>
              <a:rPr lang="es-MX" b="1"/>
              <a:t>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 Nova" panose="020F0502020204030204" pitchFamily="34" charset="0"/>
              <a:ea typeface="+mn-ea"/>
              <a:cs typeface="Arial Nova" panose="020F0502020204030204" pitchFamily="34" charset="0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R1</c:v>
          </c:tx>
          <c:spPr>
            <a:ln w="19050" cap="rnd">
              <a:solidFill>
                <a:srgbClr val="43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372C4"/>
              </a:solidFill>
              <a:ln w="9525">
                <a:solidFill>
                  <a:srgbClr val="4372C4"/>
                </a:solidFill>
              </a:ln>
              <a:effectLst/>
            </c:spPr>
          </c:marker>
          <c:xVal>
            <c:numRef>
              <c:f>RESUMEN!$AL$4:$AL$19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23</c:v>
                </c:pt>
                <c:pt idx="4">
                  <c:v>27</c:v>
                </c:pt>
                <c:pt idx="5">
                  <c:v>37</c:v>
                </c:pt>
                <c:pt idx="6">
                  <c:v>44</c:v>
                </c:pt>
                <c:pt idx="7">
                  <c:v>51</c:v>
                </c:pt>
                <c:pt idx="8">
                  <c:v>58</c:v>
                </c:pt>
                <c:pt idx="9">
                  <c:v>65</c:v>
                </c:pt>
                <c:pt idx="10">
                  <c:v>70</c:v>
                </c:pt>
                <c:pt idx="11">
                  <c:v>85</c:v>
                </c:pt>
                <c:pt idx="12">
                  <c:v>88</c:v>
                </c:pt>
                <c:pt idx="13">
                  <c:v>93</c:v>
                </c:pt>
                <c:pt idx="14">
                  <c:v>100</c:v>
                </c:pt>
                <c:pt idx="15">
                  <c:v>114</c:v>
                </c:pt>
              </c:numCache>
            </c:numRef>
          </c:xVal>
          <c:yVal>
            <c:numRef>
              <c:f>RESUMEN!$AM$4:$AM$19</c:f>
              <c:numCache>
                <c:formatCode>0.00</c:formatCode>
                <c:ptCount val="16"/>
                <c:pt idx="0">
                  <c:v>7.48</c:v>
                </c:pt>
                <c:pt idx="1">
                  <c:v>7.49</c:v>
                </c:pt>
                <c:pt idx="2">
                  <c:v>7.43</c:v>
                </c:pt>
                <c:pt idx="3">
                  <c:v>7.4</c:v>
                </c:pt>
                <c:pt idx="4">
                  <c:v>7.38</c:v>
                </c:pt>
                <c:pt idx="5">
                  <c:v>7.41</c:v>
                </c:pt>
                <c:pt idx="6">
                  <c:v>7.35</c:v>
                </c:pt>
                <c:pt idx="7">
                  <c:v>7.3</c:v>
                </c:pt>
                <c:pt idx="8">
                  <c:v>7.39</c:v>
                </c:pt>
                <c:pt idx="9">
                  <c:v>7.4</c:v>
                </c:pt>
                <c:pt idx="10">
                  <c:v>7.41</c:v>
                </c:pt>
                <c:pt idx="11">
                  <c:v>7.47</c:v>
                </c:pt>
                <c:pt idx="12">
                  <c:v>7.43</c:v>
                </c:pt>
                <c:pt idx="13">
                  <c:v>7.45</c:v>
                </c:pt>
                <c:pt idx="14">
                  <c:v>7.47</c:v>
                </c:pt>
                <c:pt idx="15">
                  <c:v>7.56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C5-7645-A5A6-D81C48C6E53F}"/>
            </c:ext>
          </c:extLst>
        </c:ser>
        <c:ser>
          <c:idx val="1"/>
          <c:order val="1"/>
          <c:tx>
            <c:v>R2</c:v>
          </c:tx>
          <c:spPr>
            <a:ln w="19050" cap="rnd">
              <a:solidFill>
                <a:srgbClr val="BBB92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BB92C"/>
              </a:solidFill>
              <a:ln w="9525">
                <a:solidFill>
                  <a:srgbClr val="BBB92C"/>
                </a:solidFill>
              </a:ln>
              <a:effectLst/>
            </c:spPr>
          </c:marker>
          <c:xVal>
            <c:numRef>
              <c:f>RESUMEN!$AL$4:$AL$19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23</c:v>
                </c:pt>
                <c:pt idx="4">
                  <c:v>27</c:v>
                </c:pt>
                <c:pt idx="5">
                  <c:v>37</c:v>
                </c:pt>
                <c:pt idx="6">
                  <c:v>44</c:v>
                </c:pt>
                <c:pt idx="7">
                  <c:v>51</c:v>
                </c:pt>
                <c:pt idx="8">
                  <c:v>58</c:v>
                </c:pt>
                <c:pt idx="9">
                  <c:v>65</c:v>
                </c:pt>
                <c:pt idx="10">
                  <c:v>70</c:v>
                </c:pt>
                <c:pt idx="11">
                  <c:v>85</c:v>
                </c:pt>
                <c:pt idx="12">
                  <c:v>88</c:v>
                </c:pt>
                <c:pt idx="13">
                  <c:v>93</c:v>
                </c:pt>
                <c:pt idx="14">
                  <c:v>100</c:v>
                </c:pt>
                <c:pt idx="15">
                  <c:v>114</c:v>
                </c:pt>
              </c:numCache>
            </c:numRef>
          </c:xVal>
          <c:yVal>
            <c:numRef>
              <c:f>RESUMEN!$AN$4:$AN$19</c:f>
              <c:numCache>
                <c:formatCode>0.00</c:formatCode>
                <c:ptCount val="16"/>
                <c:pt idx="0">
                  <c:v>7.6</c:v>
                </c:pt>
                <c:pt idx="1">
                  <c:v>7.54</c:v>
                </c:pt>
                <c:pt idx="2">
                  <c:v>7.54</c:v>
                </c:pt>
                <c:pt idx="3">
                  <c:v>7.58</c:v>
                </c:pt>
                <c:pt idx="4">
                  <c:v>7.53</c:v>
                </c:pt>
                <c:pt idx="5">
                  <c:v>7.57</c:v>
                </c:pt>
                <c:pt idx="6">
                  <c:v>7.54</c:v>
                </c:pt>
                <c:pt idx="7">
                  <c:v>7.55</c:v>
                </c:pt>
                <c:pt idx="8">
                  <c:v>7.6</c:v>
                </c:pt>
                <c:pt idx="9">
                  <c:v>7.64</c:v>
                </c:pt>
                <c:pt idx="10">
                  <c:v>7.62</c:v>
                </c:pt>
                <c:pt idx="11">
                  <c:v>7.69</c:v>
                </c:pt>
                <c:pt idx="12">
                  <c:v>7.65</c:v>
                </c:pt>
                <c:pt idx="13">
                  <c:v>7.64</c:v>
                </c:pt>
                <c:pt idx="14">
                  <c:v>7.62</c:v>
                </c:pt>
                <c:pt idx="15">
                  <c:v>7.47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C5-7645-A5A6-D81C48C6E53F}"/>
            </c:ext>
          </c:extLst>
        </c:ser>
        <c:ser>
          <c:idx val="2"/>
          <c:order val="2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23</c:v>
              </c:pt>
              <c:pt idx="1">
                <c:v>23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4500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9C5-7645-A5A6-D81C48C6E53F}"/>
            </c:ext>
          </c:extLst>
        </c:ser>
        <c:ser>
          <c:idx val="3"/>
          <c:order val="3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48</c:v>
              </c:pt>
              <c:pt idx="1">
                <c:v>48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4500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9C5-7645-A5A6-D81C48C6E53F}"/>
            </c:ext>
          </c:extLst>
        </c:ser>
        <c:ser>
          <c:idx val="4"/>
          <c:order val="4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71</c:v>
              </c:pt>
              <c:pt idx="1">
                <c:v>71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4500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9C5-7645-A5A6-D81C48C6E53F}"/>
            </c:ext>
          </c:extLst>
        </c:ser>
        <c:ser>
          <c:idx val="5"/>
          <c:order val="5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93</c:v>
              </c:pt>
              <c:pt idx="1">
                <c:v>93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4500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E9C5-7645-A5A6-D81C48C6E53F}"/>
            </c:ext>
          </c:extLst>
        </c:ser>
        <c:ser>
          <c:idx val="6"/>
          <c:order val="6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4500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E9C5-7645-A5A6-D81C48C6E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741823"/>
        <c:axId val="1215972831"/>
      </c:scatterChart>
      <c:valAx>
        <c:axId val="119674182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ova" panose="020F0502020204030204" pitchFamily="34" charset="0"/>
                    <a:ea typeface="+mn-ea"/>
                    <a:cs typeface="Arial Nova" panose="020F0502020204030204" pitchFamily="34" charset="0"/>
                  </a:defRPr>
                </a:pPr>
                <a:r>
                  <a:rPr lang="es-MX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Nova" panose="020F0502020204030204" pitchFamily="34" charset="0"/>
                  <a:ea typeface="+mn-ea"/>
                  <a:cs typeface="Arial Nova" panose="020F050202020403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 Nova" panose="020F0502020204030204" pitchFamily="34" charset="0"/>
                <a:ea typeface="+mn-ea"/>
                <a:cs typeface="Arial Nova" panose="020F0502020204030204" pitchFamily="34" charset="0"/>
              </a:defRPr>
            </a:pPr>
            <a:endParaRPr lang="es-AR"/>
          </a:p>
        </c:txPr>
        <c:crossAx val="1215972831"/>
        <c:crosses val="autoZero"/>
        <c:crossBetween val="midCat"/>
      </c:valAx>
      <c:valAx>
        <c:axId val="1215972831"/>
        <c:scaling>
          <c:orientation val="minMax"/>
          <c:max val="1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ova" panose="020F0502020204030204" pitchFamily="34" charset="0"/>
                    <a:ea typeface="+mn-ea"/>
                    <a:cs typeface="Arial Nova" panose="020F0502020204030204" pitchFamily="34" charset="0"/>
                  </a:defRPr>
                </a:pPr>
                <a:r>
                  <a:rPr lang="es-MX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Nova" panose="020F0502020204030204" pitchFamily="34" charset="0"/>
                  <a:ea typeface="+mn-ea"/>
                  <a:cs typeface="Arial Nova" panose="020F0502020204030204" pitchFamily="34" charset="0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 Nova" panose="020F0502020204030204" pitchFamily="34" charset="0"/>
                <a:ea typeface="+mn-ea"/>
                <a:cs typeface="Arial Nova" panose="020F0502020204030204" pitchFamily="34" charset="0"/>
              </a:defRPr>
            </a:pPr>
            <a:endParaRPr lang="es-AR"/>
          </a:p>
        </c:txPr>
        <c:crossAx val="119674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 Nova" panose="020F0502020204030204" pitchFamily="34" charset="0"/>
              <a:ea typeface="+mn-ea"/>
              <a:cs typeface="Arial Nova" panose="020F0502020204030204" pitchFamily="34" charset="0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 Nova" panose="020F0502020204030204" pitchFamily="34" charset="0"/>
          <a:cs typeface="Arial Nova" panose="020F050202020403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ova" panose="020F0502020204030204" pitchFamily="34" charset="0"/>
              <a:ea typeface="+mn-ea"/>
              <a:cs typeface="Arial Nova" panose="020F0502020204030204" pitchFamily="34" charset="0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'[1]Resumen ORIG'!$AI$146</c:f>
              <c:strCache>
                <c:ptCount val="1"/>
                <c:pt idx="0">
                  <c:v>Fe3+ mg/d</c:v>
                </c:pt>
              </c:strCache>
            </c:strRef>
          </c:tx>
          <c:spPr>
            <a:ln w="19050" cap="rnd">
              <a:solidFill>
                <a:srgbClr val="FD70A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D70A3"/>
              </a:solidFill>
              <a:ln w="9525">
                <a:solidFill>
                  <a:srgbClr val="FD70A3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D70A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129083552055993"/>
                  <c:y val="-2.5187007874015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 Nova" panose="020F0502020204030204" pitchFamily="34" charset="0"/>
                      <a:ea typeface="+mn-ea"/>
                      <a:cs typeface="Arial Nova" panose="020F0502020204030204" pitchFamily="34" charset="0"/>
                    </a:defRPr>
                  </a:pPr>
                  <a:endParaRPr lang="es-A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'RELACIÓN HIERRO'!$E$13:$E$16</c:f>
              <c:numCache>
                <c:formatCode>0.0</c:formatCode>
                <c:ptCount val="4"/>
                <c:pt idx="0">
                  <c:v>15.905267486559037</c:v>
                </c:pt>
                <c:pt idx="1">
                  <c:v>20.122960266753655</c:v>
                </c:pt>
                <c:pt idx="2">
                  <c:v>27.01036488243853</c:v>
                </c:pt>
                <c:pt idx="3">
                  <c:v>29.692083543576434</c:v>
                </c:pt>
              </c:numCache>
            </c:numRef>
          </c:xVal>
          <c:yVal>
            <c:numRef>
              <c:f>'RELACIÓN HIERRO'!$D$13:$D$16</c:f>
              <c:numCache>
                <c:formatCode>0.0</c:formatCode>
                <c:ptCount val="4"/>
                <c:pt idx="0">
                  <c:v>41.321366205937196</c:v>
                </c:pt>
                <c:pt idx="1">
                  <c:v>61.982049308905793</c:v>
                </c:pt>
                <c:pt idx="2">
                  <c:v>82.642732411874391</c:v>
                </c:pt>
                <c:pt idx="3">
                  <c:v>92.973073963358686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B1-B348-8010-A83EA2ECE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951536"/>
        <c:axId val="1406976080"/>
      </c:scatterChart>
      <c:valAx>
        <c:axId val="140695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ova" panose="020F0502020204030204" pitchFamily="34" charset="0"/>
                    <a:ea typeface="+mn-ea"/>
                    <a:cs typeface="Arial Nova" panose="020F0502020204030204" pitchFamily="34" charset="0"/>
                  </a:defRPr>
                </a:pPr>
                <a:r>
                  <a:rPr lang="es-AR"/>
                  <a:t>S total abatido (mg/d)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Nova" panose="020F0502020204030204" pitchFamily="34" charset="0"/>
                  <a:ea typeface="+mn-ea"/>
                  <a:cs typeface="Arial Nova" panose="020F0502020204030204" pitchFamily="34" charset="0"/>
                </a:defRPr>
              </a:pPr>
              <a:endParaRPr lang="es-A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ova" panose="020F0502020204030204" pitchFamily="34" charset="0"/>
                <a:ea typeface="+mn-ea"/>
                <a:cs typeface="Arial Nova" panose="020F0502020204030204" pitchFamily="34" charset="0"/>
              </a:defRPr>
            </a:pPr>
            <a:endParaRPr lang="es-AR"/>
          </a:p>
        </c:txPr>
        <c:crossAx val="1406976080"/>
        <c:crosses val="autoZero"/>
        <c:crossBetween val="midCat"/>
      </c:valAx>
      <c:valAx>
        <c:axId val="14069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ova" panose="020F0502020204030204" pitchFamily="34" charset="0"/>
                    <a:ea typeface="+mn-ea"/>
                    <a:cs typeface="Arial Nova" panose="020F0502020204030204" pitchFamily="34" charset="0"/>
                  </a:defRPr>
                </a:pPr>
                <a:r>
                  <a:rPr lang="es-AR"/>
                  <a:t>Fe3+ (mg/d)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Nova" panose="020F0502020204030204" pitchFamily="34" charset="0"/>
                  <a:ea typeface="+mn-ea"/>
                  <a:cs typeface="Arial Nova" panose="020F0502020204030204" pitchFamily="34" charset="0"/>
                </a:defRPr>
              </a:pPr>
              <a:endParaRPr lang="es-A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ova" panose="020F0502020204030204" pitchFamily="34" charset="0"/>
                <a:ea typeface="+mn-ea"/>
                <a:cs typeface="Arial Nova" panose="020F0502020204030204" pitchFamily="34" charset="0"/>
              </a:defRPr>
            </a:pPr>
            <a:endParaRPr lang="es-AR"/>
          </a:p>
        </c:txPr>
        <c:crossAx val="140695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 Nova" panose="020F0502020204030204" pitchFamily="34" charset="0"/>
          <a:cs typeface="Arial Nova" panose="020F050202020403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ova" panose="020F0502020204030204" pitchFamily="34" charset="0"/>
              <a:ea typeface="+mn-ea"/>
              <a:cs typeface="Arial Nova" panose="020F0502020204030204" pitchFamily="34" charset="0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'[1]Resumen ORIG'!$AS$146</c:f>
              <c:strCache>
                <c:ptCount val="1"/>
                <c:pt idx="0">
                  <c:v>S mg/d abatidos total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291968503937008"/>
                  <c:y val="-3.120807815689705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 Nova" panose="020F0502020204030204" pitchFamily="34" charset="0"/>
                      <a:ea typeface="+mn-ea"/>
                      <a:cs typeface="Arial Nova" panose="020F0502020204030204" pitchFamily="34" charset="0"/>
                    </a:defRPr>
                  </a:pPr>
                  <a:endParaRPr lang="es-AR"/>
                </a:p>
              </c:txPr>
            </c:trendlineLbl>
          </c:trendline>
          <c:xVal>
            <c:numRef>
              <c:f>'RELACIÓN HIERRO'!$D$13:$D$16</c:f>
              <c:numCache>
                <c:formatCode>0.0</c:formatCode>
                <c:ptCount val="4"/>
                <c:pt idx="0">
                  <c:v>41.321366205937196</c:v>
                </c:pt>
                <c:pt idx="1">
                  <c:v>61.982049308905793</c:v>
                </c:pt>
                <c:pt idx="2">
                  <c:v>82.642732411874391</c:v>
                </c:pt>
                <c:pt idx="3">
                  <c:v>92.973073963358686</c:v>
                </c:pt>
              </c:numCache>
            </c:numRef>
          </c:xVal>
          <c:yVal>
            <c:numRef>
              <c:f>'RELACIÓN HIERRO'!$E$13:$E$16</c:f>
              <c:numCache>
                <c:formatCode>0.0</c:formatCode>
                <c:ptCount val="4"/>
                <c:pt idx="0">
                  <c:v>15.905267486559037</c:v>
                </c:pt>
                <c:pt idx="1">
                  <c:v>20.122960266753655</c:v>
                </c:pt>
                <c:pt idx="2">
                  <c:v>27.01036488243853</c:v>
                </c:pt>
                <c:pt idx="3">
                  <c:v>29.692083543576434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8A-C646-9321-A381041CC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951536"/>
        <c:axId val="1406976080"/>
      </c:scatterChart>
      <c:valAx>
        <c:axId val="140695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ova" panose="020F0502020204030204" pitchFamily="34" charset="0"/>
                    <a:ea typeface="+mn-ea"/>
                    <a:cs typeface="Arial Nova" panose="020F0502020204030204" pitchFamily="34" charset="0"/>
                  </a:defRPr>
                </a:pPr>
                <a:r>
                  <a:rPr lang="es-AR"/>
                  <a:t>Fe3+ (mg/d)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Nova" panose="020F0502020204030204" pitchFamily="34" charset="0"/>
                  <a:ea typeface="+mn-ea"/>
                  <a:cs typeface="Arial Nova" panose="020F0502020204030204" pitchFamily="34" charset="0"/>
                </a:defRPr>
              </a:pPr>
              <a:endParaRPr lang="es-A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ova" panose="020F0502020204030204" pitchFamily="34" charset="0"/>
                <a:ea typeface="+mn-ea"/>
                <a:cs typeface="Arial Nova" panose="020F0502020204030204" pitchFamily="34" charset="0"/>
              </a:defRPr>
            </a:pPr>
            <a:endParaRPr lang="es-AR"/>
          </a:p>
        </c:txPr>
        <c:crossAx val="1406976080"/>
        <c:crosses val="autoZero"/>
        <c:crossBetween val="midCat"/>
      </c:valAx>
      <c:valAx>
        <c:axId val="14069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ova" panose="020F0502020204030204" pitchFamily="34" charset="0"/>
                    <a:ea typeface="+mn-ea"/>
                    <a:cs typeface="Arial Nova" panose="020F0502020204030204" pitchFamily="34" charset="0"/>
                  </a:defRPr>
                </a:pPr>
                <a:r>
                  <a:rPr lang="es-AR"/>
                  <a:t>S total abatido (mg/d)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Nova" panose="020F0502020204030204" pitchFamily="34" charset="0"/>
                  <a:ea typeface="+mn-ea"/>
                  <a:cs typeface="Arial Nova" panose="020F0502020204030204" pitchFamily="34" charset="0"/>
                </a:defRPr>
              </a:pPr>
              <a:endParaRPr lang="es-A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ova" panose="020F0502020204030204" pitchFamily="34" charset="0"/>
                <a:ea typeface="+mn-ea"/>
                <a:cs typeface="Arial Nova" panose="020F0502020204030204" pitchFamily="34" charset="0"/>
              </a:defRPr>
            </a:pPr>
            <a:endParaRPr lang="es-AR"/>
          </a:p>
        </c:txPr>
        <c:crossAx val="140695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 Nova" panose="020F0502020204030204" pitchFamily="34" charset="0"/>
          <a:cs typeface="Arial Nova" panose="020F050202020403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ova" panose="020F0502020204030204" pitchFamily="34" charset="0"/>
                <a:ea typeface="+mn-ea"/>
                <a:cs typeface="Arial Nova" panose="020F0502020204030204" pitchFamily="34" charset="0"/>
              </a:defRPr>
            </a:pPr>
            <a:r>
              <a:rPr lang="en-US"/>
              <a:t>Fe3+</a:t>
            </a:r>
            <a:r>
              <a:rPr lang="en-US" baseline="0"/>
              <a:t> mmol</a:t>
            </a:r>
            <a:r>
              <a:rPr lang="en-US"/>
              <a:t>/d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ova" panose="020F0502020204030204" pitchFamily="34" charset="0"/>
              <a:ea typeface="+mn-ea"/>
              <a:cs typeface="Arial Nova" panose="020F0502020204030204" pitchFamily="34" charset="0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'[1]Resumen ORIG'!$AI$146</c:f>
              <c:strCache>
                <c:ptCount val="1"/>
                <c:pt idx="0">
                  <c:v>Fe3+ mg/d</c:v>
                </c:pt>
              </c:strCache>
            </c:strRef>
          </c:tx>
          <c:spPr>
            <a:ln w="19050" cap="rnd">
              <a:solidFill>
                <a:srgbClr val="FD70A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D70A3"/>
              </a:solidFill>
              <a:ln w="9525">
                <a:solidFill>
                  <a:srgbClr val="FD70A3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D70A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129083552055993"/>
                  <c:y val="-2.5187007874015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 Nova" panose="020F0502020204030204" pitchFamily="34" charset="0"/>
                      <a:ea typeface="+mn-ea"/>
                      <a:cs typeface="Arial Nova" panose="020F0502020204030204" pitchFamily="34" charset="0"/>
                    </a:defRPr>
                  </a:pPr>
                  <a:endParaRPr lang="es-AR"/>
                </a:p>
              </c:txPr>
            </c:trendlineLbl>
          </c:trendline>
          <c:xVal>
            <c:numRef>
              <c:f>'RELACIÓN HIERRO'!$G$13:$G$16</c:f>
              <c:numCache>
                <c:formatCode>0.00000</c:formatCode>
                <c:ptCount val="4"/>
                <c:pt idx="0">
                  <c:v>0.49610940382280211</c:v>
                </c:pt>
                <c:pt idx="1">
                  <c:v>0.62766563526992059</c:v>
                </c:pt>
                <c:pt idx="2">
                  <c:v>0.84249422590263656</c:v>
                </c:pt>
                <c:pt idx="3">
                  <c:v>0.92614109618142337</c:v>
                </c:pt>
              </c:numCache>
            </c:numRef>
          </c:xVal>
          <c:yVal>
            <c:numRef>
              <c:f>'RELACIÓN HIERRO'!$F$13:$F$16</c:f>
              <c:numCache>
                <c:formatCode>0.00000</c:formatCode>
                <c:ptCount val="4"/>
                <c:pt idx="0">
                  <c:v>0.73992955870601118</c:v>
                </c:pt>
                <c:pt idx="1">
                  <c:v>1.1098943380590167</c:v>
                </c:pt>
                <c:pt idx="2">
                  <c:v>1.4798591174120224</c:v>
                </c:pt>
                <c:pt idx="3">
                  <c:v>1.6648415070885252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C1-3C46-BB26-66262BB19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951536"/>
        <c:axId val="1406976080"/>
      </c:scatterChart>
      <c:valAx>
        <c:axId val="140695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ova" panose="020F0502020204030204" pitchFamily="34" charset="0"/>
                    <a:ea typeface="+mn-ea"/>
                    <a:cs typeface="Arial Nova" panose="020F0502020204030204" pitchFamily="34" charset="0"/>
                  </a:defRPr>
                </a:pPr>
                <a:r>
                  <a:rPr lang="es-AR"/>
                  <a:t>S total abatido (mg/d)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Nova" panose="020F0502020204030204" pitchFamily="34" charset="0"/>
                  <a:ea typeface="+mn-ea"/>
                  <a:cs typeface="Arial Nova" panose="020F0502020204030204" pitchFamily="34" charset="0"/>
                </a:defRPr>
              </a:pPr>
              <a:endParaRPr lang="es-AR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ova" panose="020F0502020204030204" pitchFamily="34" charset="0"/>
                <a:ea typeface="+mn-ea"/>
                <a:cs typeface="Arial Nova" panose="020F0502020204030204" pitchFamily="34" charset="0"/>
              </a:defRPr>
            </a:pPr>
            <a:endParaRPr lang="es-AR"/>
          </a:p>
        </c:txPr>
        <c:crossAx val="1406976080"/>
        <c:crosses val="autoZero"/>
        <c:crossBetween val="midCat"/>
      </c:valAx>
      <c:valAx>
        <c:axId val="14069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ova" panose="020F0502020204030204" pitchFamily="34" charset="0"/>
                    <a:ea typeface="+mn-ea"/>
                    <a:cs typeface="Arial Nova" panose="020F0502020204030204" pitchFamily="34" charset="0"/>
                  </a:defRPr>
                </a:pPr>
                <a:r>
                  <a:rPr lang="es-AR"/>
                  <a:t>Fe3+ (mmol/d)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Nova" panose="020F0502020204030204" pitchFamily="34" charset="0"/>
                  <a:ea typeface="+mn-ea"/>
                  <a:cs typeface="Arial Nova" panose="020F0502020204030204" pitchFamily="34" charset="0"/>
                </a:defRPr>
              </a:pPr>
              <a:endParaRPr lang="es-AR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ova" panose="020F0502020204030204" pitchFamily="34" charset="0"/>
                <a:ea typeface="+mn-ea"/>
                <a:cs typeface="Arial Nova" panose="020F0502020204030204" pitchFamily="34" charset="0"/>
              </a:defRPr>
            </a:pPr>
            <a:endParaRPr lang="es-AR"/>
          </a:p>
        </c:txPr>
        <c:crossAx val="140695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 Nova" panose="020F0502020204030204" pitchFamily="34" charset="0"/>
          <a:cs typeface="Arial Nova" panose="020F050202020403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ova" panose="020F0502020204030204" pitchFamily="34" charset="0"/>
                <a:ea typeface="+mn-ea"/>
                <a:cs typeface="Arial Nova" panose="020F0502020204030204" pitchFamily="34" charset="0"/>
              </a:defRPr>
            </a:pPr>
            <a:r>
              <a:rPr lang="en-US"/>
              <a:t>S mmol/d abatidos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ova" panose="020F0502020204030204" pitchFamily="34" charset="0"/>
              <a:ea typeface="+mn-ea"/>
              <a:cs typeface="Arial Nova" panose="020F0502020204030204" pitchFamily="34" charset="0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'[1]Resumen ORIG'!$AS$146</c:f>
              <c:strCache>
                <c:ptCount val="1"/>
                <c:pt idx="0">
                  <c:v>S mg/d abatidos total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291968503937008"/>
                  <c:y val="-3.120807815689705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 Nova" panose="020F0502020204030204" pitchFamily="34" charset="0"/>
                      <a:ea typeface="+mn-ea"/>
                      <a:cs typeface="Arial Nova" panose="020F0502020204030204" pitchFamily="34" charset="0"/>
                    </a:defRPr>
                  </a:pPr>
                  <a:endParaRPr lang="es-AR"/>
                </a:p>
              </c:txPr>
            </c:trendlineLbl>
          </c:trendline>
          <c:xVal>
            <c:numRef>
              <c:f>'RELACIÓN HIERRO'!$F$13:$F$16</c:f>
              <c:numCache>
                <c:formatCode>0.00000</c:formatCode>
                <c:ptCount val="4"/>
                <c:pt idx="0">
                  <c:v>0.73992955870601118</c:v>
                </c:pt>
                <c:pt idx="1">
                  <c:v>1.1098943380590167</c:v>
                </c:pt>
                <c:pt idx="2">
                  <c:v>1.4798591174120224</c:v>
                </c:pt>
                <c:pt idx="3">
                  <c:v>1.6648415070885252</c:v>
                </c:pt>
              </c:numCache>
            </c:numRef>
          </c:xVal>
          <c:yVal>
            <c:numRef>
              <c:f>'RELACIÓN HIERRO'!$G$13:$G$16</c:f>
              <c:numCache>
                <c:formatCode>0.00000</c:formatCode>
                <c:ptCount val="4"/>
                <c:pt idx="0">
                  <c:v>0.49610940382280211</c:v>
                </c:pt>
                <c:pt idx="1">
                  <c:v>0.62766563526992059</c:v>
                </c:pt>
                <c:pt idx="2">
                  <c:v>0.84249422590263656</c:v>
                </c:pt>
                <c:pt idx="3">
                  <c:v>0.92614109618142337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0F-1641-A1C5-556529482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951536"/>
        <c:axId val="1406976080"/>
      </c:scatterChart>
      <c:valAx>
        <c:axId val="140695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ova" panose="020F0502020204030204" pitchFamily="34" charset="0"/>
                    <a:ea typeface="+mn-ea"/>
                    <a:cs typeface="Arial Nova" panose="020F0502020204030204" pitchFamily="34" charset="0"/>
                  </a:defRPr>
                </a:pPr>
                <a:r>
                  <a:rPr lang="es-AR"/>
                  <a:t>Fe3+ (mg/d)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Nova" panose="020F0502020204030204" pitchFamily="34" charset="0"/>
                  <a:ea typeface="+mn-ea"/>
                  <a:cs typeface="Arial Nova" panose="020F0502020204030204" pitchFamily="34" charset="0"/>
                </a:defRPr>
              </a:pPr>
              <a:endParaRPr lang="es-AR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ova" panose="020F0502020204030204" pitchFamily="34" charset="0"/>
                <a:ea typeface="+mn-ea"/>
                <a:cs typeface="Arial Nova" panose="020F0502020204030204" pitchFamily="34" charset="0"/>
              </a:defRPr>
            </a:pPr>
            <a:endParaRPr lang="es-AR"/>
          </a:p>
        </c:txPr>
        <c:crossAx val="1406976080"/>
        <c:crosses val="autoZero"/>
        <c:crossBetween val="midCat"/>
      </c:valAx>
      <c:valAx>
        <c:axId val="14069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ova" panose="020F0502020204030204" pitchFamily="34" charset="0"/>
                    <a:ea typeface="+mn-ea"/>
                    <a:cs typeface="Arial Nova" panose="020F0502020204030204" pitchFamily="34" charset="0"/>
                  </a:defRPr>
                </a:pPr>
                <a:r>
                  <a:rPr lang="es-AR"/>
                  <a:t>S total abatido (mmol/d)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Nova" panose="020F0502020204030204" pitchFamily="34" charset="0"/>
                  <a:ea typeface="+mn-ea"/>
                  <a:cs typeface="Arial Nova" panose="020F0502020204030204" pitchFamily="34" charset="0"/>
                </a:defRPr>
              </a:pPr>
              <a:endParaRPr lang="es-AR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ova" panose="020F0502020204030204" pitchFamily="34" charset="0"/>
                <a:ea typeface="+mn-ea"/>
                <a:cs typeface="Arial Nova" panose="020F0502020204030204" pitchFamily="34" charset="0"/>
              </a:defRPr>
            </a:pPr>
            <a:endParaRPr lang="es-AR"/>
          </a:p>
        </c:txPr>
        <c:crossAx val="140695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 Nova" panose="020F0502020204030204" pitchFamily="34" charset="0"/>
          <a:cs typeface="Arial Nova" panose="020F050202020403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ova" panose="020F0502020204030204" pitchFamily="34" charset="0"/>
              <a:ea typeface="+mn-ea"/>
              <a:cs typeface="Arial Nova" panose="020F0502020204030204" pitchFamily="34" charset="0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'[1]Resumen ORIG'!$AS$146</c:f>
              <c:strCache>
                <c:ptCount val="1"/>
                <c:pt idx="0">
                  <c:v>S mg/d abatidos 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291968503937008"/>
                  <c:y val="-3.120807815689705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 Nova" panose="020F0502020204030204" pitchFamily="34" charset="0"/>
                      <a:ea typeface="+mn-ea"/>
                      <a:cs typeface="Arial Nova" panose="020F0502020204030204" pitchFamily="34" charset="0"/>
                    </a:defRPr>
                  </a:pPr>
                  <a:endParaRPr lang="es-AR"/>
                </a:p>
              </c:txPr>
            </c:trendlineLbl>
          </c:trendline>
          <c:xVal>
            <c:numRef>
              <c:f>'RELACIÓN HIERRO'!$D$53:$D$57</c:f>
              <c:numCache>
                <c:formatCode>0</c:formatCode>
                <c:ptCount val="5"/>
                <c:pt idx="0">
                  <c:v>0</c:v>
                </c:pt>
                <c:pt idx="1">
                  <c:v>41.321366205937196</c:v>
                </c:pt>
                <c:pt idx="2">
                  <c:v>61.9820493089058</c:v>
                </c:pt>
                <c:pt idx="3">
                  <c:v>82.642732411874391</c:v>
                </c:pt>
                <c:pt idx="4">
                  <c:v>92.973073963358686</c:v>
                </c:pt>
              </c:numCache>
            </c:numRef>
          </c:xVal>
          <c:yVal>
            <c:numRef>
              <c:f>'RELACIÓN HIERRO'!$E$53:$E$57</c:f>
              <c:numCache>
                <c:formatCode>0</c:formatCode>
                <c:ptCount val="5"/>
                <c:pt idx="0">
                  <c:v>0</c:v>
                </c:pt>
                <c:pt idx="1">
                  <c:v>15.905267486559037</c:v>
                </c:pt>
                <c:pt idx="2">
                  <c:v>20.122960266753655</c:v>
                </c:pt>
                <c:pt idx="3">
                  <c:v>27.01036488243853</c:v>
                </c:pt>
                <c:pt idx="4">
                  <c:v>29.692083543576398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FE-4E45-BE6D-F289E4980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951536"/>
        <c:axId val="1406976080"/>
      </c:scatterChart>
      <c:valAx>
        <c:axId val="140695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ova" panose="020F0502020204030204" pitchFamily="34" charset="0"/>
                    <a:ea typeface="+mn-ea"/>
                    <a:cs typeface="Arial Nova" panose="020F0502020204030204" pitchFamily="34" charset="0"/>
                  </a:defRPr>
                </a:pPr>
                <a:r>
                  <a:rPr lang="es-AR"/>
                  <a:t>Fe3+ (mg/d)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Nova" panose="020F0502020204030204" pitchFamily="34" charset="0"/>
                  <a:ea typeface="+mn-ea"/>
                  <a:cs typeface="Arial Nova" panose="020F0502020204030204" pitchFamily="34" charset="0"/>
                </a:defRPr>
              </a:pPr>
              <a:endParaRPr lang="es-A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ova" panose="020F0502020204030204" pitchFamily="34" charset="0"/>
                <a:ea typeface="+mn-ea"/>
                <a:cs typeface="Arial Nova" panose="020F0502020204030204" pitchFamily="34" charset="0"/>
              </a:defRPr>
            </a:pPr>
            <a:endParaRPr lang="es-AR"/>
          </a:p>
        </c:txPr>
        <c:crossAx val="1406976080"/>
        <c:crosses val="autoZero"/>
        <c:crossBetween val="midCat"/>
      </c:valAx>
      <c:valAx>
        <c:axId val="14069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ova" panose="020F0502020204030204" pitchFamily="34" charset="0"/>
                    <a:ea typeface="+mn-ea"/>
                    <a:cs typeface="Arial Nova" panose="020F0502020204030204" pitchFamily="34" charset="0"/>
                  </a:defRPr>
                </a:pPr>
                <a:r>
                  <a:rPr lang="es-AR"/>
                  <a:t>S total abatido (mg/d)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Nova" panose="020F0502020204030204" pitchFamily="34" charset="0"/>
                  <a:ea typeface="+mn-ea"/>
                  <a:cs typeface="Arial Nova" panose="020F0502020204030204" pitchFamily="34" charset="0"/>
                </a:defRPr>
              </a:pPr>
              <a:endParaRPr lang="es-A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ova" panose="020F0502020204030204" pitchFamily="34" charset="0"/>
                <a:ea typeface="+mn-ea"/>
                <a:cs typeface="Arial Nova" panose="020F0502020204030204" pitchFamily="34" charset="0"/>
              </a:defRPr>
            </a:pPr>
            <a:endParaRPr lang="es-AR"/>
          </a:p>
        </c:txPr>
        <c:crossAx val="140695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 Nova" panose="020F0502020204030204" pitchFamily="34" charset="0"/>
          <a:cs typeface="Arial Nova" panose="020F050202020403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ova" panose="020F0502020204030204" pitchFamily="34" charset="0"/>
                <a:ea typeface="+mn-ea"/>
                <a:cs typeface="Arial Nova" panose="020F0502020204030204" pitchFamily="34" charset="0"/>
              </a:defRPr>
            </a:pPr>
            <a:r>
              <a:rPr lang="en-US"/>
              <a:t>Fe3+</a:t>
            </a:r>
            <a:r>
              <a:rPr lang="en-US" baseline="0"/>
              <a:t> mmol</a:t>
            </a:r>
            <a:r>
              <a:rPr lang="en-US"/>
              <a:t>/d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ova" panose="020F0502020204030204" pitchFamily="34" charset="0"/>
              <a:ea typeface="+mn-ea"/>
              <a:cs typeface="Arial Nova" panose="020F0502020204030204" pitchFamily="34" charset="0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'[1]Resumen ORIG'!$AI$146</c:f>
              <c:strCache>
                <c:ptCount val="1"/>
                <c:pt idx="0">
                  <c:v>Fe3+ mg/d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D70A3"/>
              </a:solidFill>
              <a:ln w="9525">
                <a:solidFill>
                  <a:srgbClr val="FD70A3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D70A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129083552055993"/>
                  <c:y val="-2.5187007874015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 Nova" panose="020F0502020204030204" pitchFamily="34" charset="0"/>
                      <a:ea typeface="+mn-ea"/>
                      <a:cs typeface="Arial Nova" panose="020F0502020204030204" pitchFamily="34" charset="0"/>
                    </a:defRPr>
                  </a:pPr>
                  <a:endParaRPr lang="es-AR"/>
                </a:p>
              </c:txPr>
            </c:trendlineLbl>
          </c:trendline>
          <c:xVal>
            <c:numRef>
              <c:f>'RELACIÓN HIERRO'!$G$53:$G$57</c:f>
              <c:numCache>
                <c:formatCode>0.000</c:formatCode>
                <c:ptCount val="5"/>
                <c:pt idx="0" formatCode="0">
                  <c:v>0</c:v>
                </c:pt>
                <c:pt idx="1">
                  <c:v>0.49610940382280211</c:v>
                </c:pt>
                <c:pt idx="2">
                  <c:v>0.62766563526992059</c:v>
                </c:pt>
                <c:pt idx="3">
                  <c:v>0.84249422590263656</c:v>
                </c:pt>
                <c:pt idx="4">
                  <c:v>0.92614109618142337</c:v>
                </c:pt>
              </c:numCache>
            </c:numRef>
          </c:xVal>
          <c:yVal>
            <c:numRef>
              <c:f>'RELACIÓN HIERRO'!$F$53:$F$57</c:f>
              <c:numCache>
                <c:formatCode>0,000</c:formatCode>
                <c:ptCount val="5"/>
                <c:pt idx="0" formatCode="0">
                  <c:v>0</c:v>
                </c:pt>
                <c:pt idx="1">
                  <c:v>0.73992955870601118</c:v>
                </c:pt>
                <c:pt idx="2">
                  <c:v>1.1098943380590167</c:v>
                </c:pt>
                <c:pt idx="3">
                  <c:v>1.4798591174120224</c:v>
                </c:pt>
                <c:pt idx="4">
                  <c:v>1.6648415070885252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65-564F-91A4-5011A9FFE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951536"/>
        <c:axId val="1406976080"/>
      </c:scatterChart>
      <c:valAx>
        <c:axId val="140695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ova" panose="020F0502020204030204" pitchFamily="34" charset="0"/>
                    <a:ea typeface="+mn-ea"/>
                    <a:cs typeface="Arial Nova" panose="020F0502020204030204" pitchFamily="34" charset="0"/>
                  </a:defRPr>
                </a:pPr>
                <a:r>
                  <a:rPr lang="es-AR"/>
                  <a:t>S total abatido (mg/d)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Nova" panose="020F0502020204030204" pitchFamily="34" charset="0"/>
                  <a:ea typeface="+mn-ea"/>
                  <a:cs typeface="Arial Nova" panose="020F0502020204030204" pitchFamily="34" charset="0"/>
                </a:defRPr>
              </a:pPr>
              <a:endParaRPr lang="es-A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ova" panose="020F0502020204030204" pitchFamily="34" charset="0"/>
                <a:ea typeface="+mn-ea"/>
                <a:cs typeface="Arial Nova" panose="020F0502020204030204" pitchFamily="34" charset="0"/>
              </a:defRPr>
            </a:pPr>
            <a:endParaRPr lang="es-AR"/>
          </a:p>
        </c:txPr>
        <c:crossAx val="1406976080"/>
        <c:crosses val="autoZero"/>
        <c:crossBetween val="midCat"/>
      </c:valAx>
      <c:valAx>
        <c:axId val="14069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ova" panose="020F0502020204030204" pitchFamily="34" charset="0"/>
                    <a:ea typeface="+mn-ea"/>
                    <a:cs typeface="Arial Nova" panose="020F0502020204030204" pitchFamily="34" charset="0"/>
                  </a:defRPr>
                </a:pPr>
                <a:r>
                  <a:rPr lang="es-AR"/>
                  <a:t>Fe3+ (mmol/d)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Nova" panose="020F0502020204030204" pitchFamily="34" charset="0"/>
                  <a:ea typeface="+mn-ea"/>
                  <a:cs typeface="Arial Nova" panose="020F0502020204030204" pitchFamily="34" charset="0"/>
                </a:defRPr>
              </a:pPr>
              <a:endParaRPr lang="es-A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ova" panose="020F0502020204030204" pitchFamily="34" charset="0"/>
                <a:ea typeface="+mn-ea"/>
                <a:cs typeface="Arial Nova" panose="020F0502020204030204" pitchFamily="34" charset="0"/>
              </a:defRPr>
            </a:pPr>
            <a:endParaRPr lang="es-AR"/>
          </a:p>
        </c:txPr>
        <c:crossAx val="140695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 Nova" panose="020F0502020204030204" pitchFamily="34" charset="0"/>
          <a:cs typeface="Arial Nova" panose="020F050202020403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ova" panose="020F0502020204030204" pitchFamily="34" charset="0"/>
                <a:ea typeface="+mn-ea"/>
                <a:cs typeface="Arial Nova" panose="020F0502020204030204" pitchFamily="34" charset="0"/>
              </a:defRPr>
            </a:pPr>
            <a:r>
              <a:rPr lang="en-US"/>
              <a:t>S mmol/d abatidos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ova" panose="020F0502020204030204" pitchFamily="34" charset="0"/>
              <a:ea typeface="+mn-ea"/>
              <a:cs typeface="Arial Nova" panose="020F0502020204030204" pitchFamily="34" charset="0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'[1]Resumen ORIG'!$AS$146</c:f>
              <c:strCache>
                <c:ptCount val="1"/>
                <c:pt idx="0">
                  <c:v>S mg/d abatidos 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291968503937008"/>
                  <c:y val="-3.120807815689705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 Nova" panose="020F0502020204030204" pitchFamily="34" charset="0"/>
                      <a:ea typeface="+mn-ea"/>
                      <a:cs typeface="Arial Nova" panose="020F0502020204030204" pitchFamily="34" charset="0"/>
                    </a:defRPr>
                  </a:pPr>
                  <a:endParaRPr lang="es-AR"/>
                </a:p>
              </c:txPr>
            </c:trendlineLbl>
          </c:trendline>
          <c:xVal>
            <c:numRef>
              <c:f>'RELACIÓN HIERRO'!$F$53:$F$57</c:f>
              <c:numCache>
                <c:formatCode>0.000</c:formatCode>
                <c:ptCount val="5"/>
                <c:pt idx="0" formatCode="0">
                  <c:v>0</c:v>
                </c:pt>
                <c:pt idx="1">
                  <c:v>0.73992955870601118</c:v>
                </c:pt>
                <c:pt idx="2">
                  <c:v>1.1098943380590167</c:v>
                </c:pt>
                <c:pt idx="3">
                  <c:v>1.4798591174120224</c:v>
                </c:pt>
                <c:pt idx="4">
                  <c:v>1.6648415070885252</c:v>
                </c:pt>
              </c:numCache>
            </c:numRef>
          </c:xVal>
          <c:yVal>
            <c:numRef>
              <c:f>'RELACIÓN HIERRO'!$G$53:$G$57</c:f>
              <c:numCache>
                <c:formatCode>0,000</c:formatCode>
                <c:ptCount val="5"/>
                <c:pt idx="0" formatCode="0">
                  <c:v>0</c:v>
                </c:pt>
                <c:pt idx="1">
                  <c:v>0.49610940382280211</c:v>
                </c:pt>
                <c:pt idx="2">
                  <c:v>0.62766563526992059</c:v>
                </c:pt>
                <c:pt idx="3">
                  <c:v>0.84249422590263656</c:v>
                </c:pt>
                <c:pt idx="4">
                  <c:v>0.92614109618142337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FC-3541-BC8C-88D1302D4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951536"/>
        <c:axId val="1406976080"/>
      </c:scatterChart>
      <c:valAx>
        <c:axId val="140695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ova" panose="020F0502020204030204" pitchFamily="34" charset="0"/>
                    <a:ea typeface="+mn-ea"/>
                    <a:cs typeface="Arial Nova" panose="020F0502020204030204" pitchFamily="34" charset="0"/>
                  </a:defRPr>
                </a:pPr>
                <a:r>
                  <a:rPr lang="es-AR"/>
                  <a:t>Fe3+ (mg/d)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Nova" panose="020F0502020204030204" pitchFamily="34" charset="0"/>
                  <a:ea typeface="+mn-ea"/>
                  <a:cs typeface="Arial Nova" panose="020F0502020204030204" pitchFamily="34" charset="0"/>
                </a:defRPr>
              </a:pPr>
              <a:endParaRPr lang="es-A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ova" panose="020F0502020204030204" pitchFamily="34" charset="0"/>
                <a:ea typeface="+mn-ea"/>
                <a:cs typeface="Arial Nova" panose="020F0502020204030204" pitchFamily="34" charset="0"/>
              </a:defRPr>
            </a:pPr>
            <a:endParaRPr lang="es-AR"/>
          </a:p>
        </c:txPr>
        <c:crossAx val="1406976080"/>
        <c:crosses val="autoZero"/>
        <c:crossBetween val="midCat"/>
      </c:valAx>
      <c:valAx>
        <c:axId val="14069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ova" panose="020F0502020204030204" pitchFamily="34" charset="0"/>
                    <a:ea typeface="+mn-ea"/>
                    <a:cs typeface="Arial Nova" panose="020F0502020204030204" pitchFamily="34" charset="0"/>
                  </a:defRPr>
                </a:pPr>
                <a:r>
                  <a:rPr lang="es-AR"/>
                  <a:t>S total abatido (mmol/d)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Nova" panose="020F0502020204030204" pitchFamily="34" charset="0"/>
                  <a:ea typeface="+mn-ea"/>
                  <a:cs typeface="Arial Nova" panose="020F0502020204030204" pitchFamily="34" charset="0"/>
                </a:defRPr>
              </a:pPr>
              <a:endParaRPr lang="es-A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ova" panose="020F0502020204030204" pitchFamily="34" charset="0"/>
                <a:ea typeface="+mn-ea"/>
                <a:cs typeface="Arial Nova" panose="020F0502020204030204" pitchFamily="34" charset="0"/>
              </a:defRPr>
            </a:pPr>
            <a:endParaRPr lang="es-AR"/>
          </a:p>
        </c:txPr>
        <c:crossAx val="140695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 Nova" panose="020F0502020204030204" pitchFamily="34" charset="0"/>
          <a:cs typeface="Arial Nova" panose="020F050202020403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ova" panose="020F0502020204030204" pitchFamily="34" charset="0"/>
                <a:ea typeface="+mn-ea"/>
                <a:cs typeface="Arial Nova" panose="020F0502020204030204" pitchFamily="34" charset="0"/>
              </a:defRPr>
            </a:pPr>
            <a:r>
              <a:rPr lang="en-US"/>
              <a:t>Fe3+</a:t>
            </a:r>
            <a:r>
              <a:rPr lang="en-US" baseline="0"/>
              <a:t> mmol</a:t>
            </a:r>
            <a:r>
              <a:rPr lang="en-US"/>
              <a:t>/d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ova" panose="020F0502020204030204" pitchFamily="34" charset="0"/>
              <a:ea typeface="+mn-ea"/>
              <a:cs typeface="Arial Nova" panose="020F0502020204030204" pitchFamily="34" charset="0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'[1]Resumen ORIG'!$AI$146</c:f>
              <c:strCache>
                <c:ptCount val="1"/>
                <c:pt idx="0">
                  <c:v>Fe3+ mg/d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D70A3"/>
              </a:solidFill>
              <a:ln w="9525">
                <a:solidFill>
                  <a:srgbClr val="FD70A3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D70A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129083552055993"/>
                  <c:y val="-2.5187007874015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 Nova" panose="020F0502020204030204" pitchFamily="34" charset="0"/>
                      <a:ea typeface="+mn-ea"/>
                      <a:cs typeface="Arial Nova" panose="020F0502020204030204" pitchFamily="34" charset="0"/>
                    </a:defRPr>
                  </a:pPr>
                  <a:endParaRPr lang="es-AR"/>
                </a:p>
              </c:txPr>
            </c:trendlineLbl>
          </c:trendline>
          <c:xVal>
            <c:numRef>
              <c:f>'RELACIÓN HIERRO'!$E$53:$E$57</c:f>
              <c:numCache>
                <c:formatCode>0</c:formatCode>
                <c:ptCount val="5"/>
                <c:pt idx="0">
                  <c:v>0</c:v>
                </c:pt>
                <c:pt idx="1">
                  <c:v>15.905267486559037</c:v>
                </c:pt>
                <c:pt idx="2">
                  <c:v>20.122960266753655</c:v>
                </c:pt>
                <c:pt idx="3">
                  <c:v>27.01036488243853</c:v>
                </c:pt>
                <c:pt idx="4">
                  <c:v>29.692083543576398</c:v>
                </c:pt>
              </c:numCache>
            </c:numRef>
          </c:xVal>
          <c:yVal>
            <c:numRef>
              <c:f>'RELACIÓN HIERRO'!$D$53:$D$57</c:f>
              <c:numCache>
                <c:formatCode>0</c:formatCode>
                <c:ptCount val="5"/>
                <c:pt idx="0">
                  <c:v>0</c:v>
                </c:pt>
                <c:pt idx="1">
                  <c:v>41.321366205937196</c:v>
                </c:pt>
                <c:pt idx="2">
                  <c:v>61.9820493089058</c:v>
                </c:pt>
                <c:pt idx="3">
                  <c:v>82.642732411874391</c:v>
                </c:pt>
                <c:pt idx="4">
                  <c:v>92.973073963358686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D6-4E40-BADA-6A8762AC2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951536"/>
        <c:axId val="1406976080"/>
      </c:scatterChart>
      <c:valAx>
        <c:axId val="140695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ova" panose="020F0502020204030204" pitchFamily="34" charset="0"/>
                    <a:ea typeface="+mn-ea"/>
                    <a:cs typeface="Arial Nova" panose="020F0502020204030204" pitchFamily="34" charset="0"/>
                  </a:defRPr>
                </a:pPr>
                <a:r>
                  <a:rPr lang="es-AR"/>
                  <a:t>S total abatido (mg/d)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Nova" panose="020F0502020204030204" pitchFamily="34" charset="0"/>
                  <a:ea typeface="+mn-ea"/>
                  <a:cs typeface="Arial Nova" panose="020F0502020204030204" pitchFamily="34" charset="0"/>
                </a:defRPr>
              </a:pPr>
              <a:endParaRPr lang="es-A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ova" panose="020F0502020204030204" pitchFamily="34" charset="0"/>
                <a:ea typeface="+mn-ea"/>
                <a:cs typeface="Arial Nova" panose="020F0502020204030204" pitchFamily="34" charset="0"/>
              </a:defRPr>
            </a:pPr>
            <a:endParaRPr lang="es-AR"/>
          </a:p>
        </c:txPr>
        <c:crossAx val="1406976080"/>
        <c:crosses val="autoZero"/>
        <c:crossBetween val="midCat"/>
      </c:valAx>
      <c:valAx>
        <c:axId val="14069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ova" panose="020F0502020204030204" pitchFamily="34" charset="0"/>
                    <a:ea typeface="+mn-ea"/>
                    <a:cs typeface="Arial Nova" panose="020F0502020204030204" pitchFamily="34" charset="0"/>
                  </a:defRPr>
                </a:pPr>
                <a:r>
                  <a:rPr lang="es-AR"/>
                  <a:t>Fe3+ (mmol/d)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Nova" panose="020F0502020204030204" pitchFamily="34" charset="0"/>
                  <a:ea typeface="+mn-ea"/>
                  <a:cs typeface="Arial Nova" panose="020F0502020204030204" pitchFamily="34" charset="0"/>
                </a:defRPr>
              </a:pPr>
              <a:endParaRPr lang="es-A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ova" panose="020F0502020204030204" pitchFamily="34" charset="0"/>
                <a:ea typeface="+mn-ea"/>
                <a:cs typeface="Arial Nova" panose="020F0502020204030204" pitchFamily="34" charset="0"/>
              </a:defRPr>
            </a:pPr>
            <a:endParaRPr lang="es-AR"/>
          </a:p>
        </c:txPr>
        <c:crossAx val="140695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 Nova" panose="020F0502020204030204" pitchFamily="34" charset="0"/>
          <a:cs typeface="Arial Nova" panose="020F050202020403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0860B2"/>
                </a:solidFill>
                <a:latin typeface=""/>
                <a:ea typeface="+mn-ea"/>
                <a:cs typeface="+mn-cs"/>
              </a:defRPr>
            </a:pPr>
            <a:r>
              <a:rPr lang="es-AR" sz="1800">
                <a:solidFill>
                  <a:srgbClr val="0860B2"/>
                </a:solidFill>
              </a:rPr>
              <a:t>balS 1-23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0860B2"/>
              </a:solidFill>
              <a:latin typeface="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R1 por día</c:v>
          </c:tx>
          <c:spPr>
            <a:solidFill>
              <a:srgbClr val="4372C4"/>
            </a:solidFill>
            <a:ln>
              <a:noFill/>
            </a:ln>
            <a:effectLst/>
          </c:spPr>
          <c:invertIfNegative val="0"/>
          <c:cat>
            <c:strRef>
              <c:f>'[1]bal 1 235-264'!$D$195:$J$195</c:f>
              <c:strCache>
                <c:ptCount val="7"/>
                <c:pt idx="0">
                  <c:v>S total input ACUM </c:v>
                </c:pt>
                <c:pt idx="1">
                  <c:v>H2S ACUM</c:v>
                </c:pt>
                <c:pt idx="2">
                  <c:v>Bioreactor Cambio Stotal de SO4 </c:v>
                </c:pt>
                <c:pt idx="3">
                  <c:v>Bioreactor Cambio Stotal de S= </c:v>
                </c:pt>
                <c:pt idx="4">
                  <c:v>DIG ACUM Stotal de SO4 </c:v>
                </c:pt>
                <c:pt idx="5">
                  <c:v>DIG ACUM Stotal de S= </c:v>
                </c:pt>
                <c:pt idx="6">
                  <c:v>S total output ACUM </c:v>
                </c:pt>
              </c:strCache>
            </c:strRef>
          </c:cat>
          <c:val>
            <c:numRef>
              <c:f>'Bal S 1-23'!$E$166:$K$166</c:f>
              <c:numCache>
                <c:formatCode>0.00</c:formatCode>
                <c:ptCount val="7"/>
                <c:pt idx="0" formatCode="0.0">
                  <c:v>29.982268470343381</c:v>
                </c:pt>
                <c:pt idx="1">
                  <c:v>9.1702935606721265</c:v>
                </c:pt>
                <c:pt idx="2" formatCode="0">
                  <c:v>-2.9206690324830817</c:v>
                </c:pt>
                <c:pt idx="3" formatCode="0">
                  <c:v>0.33793043478260149</c:v>
                </c:pt>
                <c:pt idx="4" formatCode="0">
                  <c:v>1.2246448324068995</c:v>
                </c:pt>
                <c:pt idx="5">
                  <c:v>6.2648011884057988</c:v>
                </c:pt>
                <c:pt idx="6">
                  <c:v>14.077000983784345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C-9F46-96CA-9C1EB61A58C7}"/>
            </c:ext>
          </c:extLst>
        </c:ser>
        <c:ser>
          <c:idx val="1"/>
          <c:order val="1"/>
          <c:tx>
            <c:v>R2 por día</c:v>
          </c:tx>
          <c:spPr>
            <a:solidFill>
              <a:srgbClr val="BBB92C"/>
            </a:solidFill>
            <a:ln>
              <a:noFill/>
            </a:ln>
            <a:effectLst/>
          </c:spPr>
          <c:invertIfNegative val="0"/>
          <c:cat>
            <c:strRef>
              <c:f>'[1]bal 1 235-264'!$D$195:$J$195</c:f>
              <c:strCache>
                <c:ptCount val="7"/>
                <c:pt idx="0">
                  <c:v>S total input ACUM </c:v>
                </c:pt>
                <c:pt idx="1">
                  <c:v>H2S ACUM</c:v>
                </c:pt>
                <c:pt idx="2">
                  <c:v>Bioreactor Cambio Stotal de SO4 </c:v>
                </c:pt>
                <c:pt idx="3">
                  <c:v>Bioreactor Cambio Stotal de S= </c:v>
                </c:pt>
                <c:pt idx="4">
                  <c:v>DIG ACUM Stotal de SO4 </c:v>
                </c:pt>
                <c:pt idx="5">
                  <c:v>DIG ACUM Stotal de S= </c:v>
                </c:pt>
                <c:pt idx="6">
                  <c:v>S total output ACUM </c:v>
                </c:pt>
              </c:strCache>
            </c:strRef>
          </c:cat>
          <c:val>
            <c:numRef>
              <c:f>'Bal S 1-23'!$E$167:$K$167</c:f>
              <c:numCache>
                <c:formatCode>0.00</c:formatCode>
                <c:ptCount val="7"/>
                <c:pt idx="0" formatCode="0.0">
                  <c:v>29.982268470343381</c:v>
                </c:pt>
                <c:pt idx="1">
                  <c:v>12.004821086904196</c:v>
                </c:pt>
                <c:pt idx="2" formatCode="0">
                  <c:v>0.36570500602558892</c:v>
                </c:pt>
                <c:pt idx="3" formatCode="0">
                  <c:v>1.4572173913043462</c:v>
                </c:pt>
                <c:pt idx="4" formatCode="0">
                  <c:v>5.2355371498003533</c:v>
                </c:pt>
                <c:pt idx="5" formatCode="0.0">
                  <c:v>10.656967188405797</c:v>
                </c:pt>
                <c:pt idx="6">
                  <c:v>29.720247822440282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3C-9F46-96CA-9C1EB61A5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0602992"/>
        <c:axId val="380614640"/>
      </c:barChart>
      <c:catAx>
        <c:axId val="38060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"/>
                <a:ea typeface="+mn-ea"/>
                <a:cs typeface="+mn-cs"/>
              </a:defRPr>
            </a:pPr>
            <a:endParaRPr lang="es-AR"/>
          </a:p>
        </c:txPr>
        <c:crossAx val="380614640"/>
        <c:crosses val="autoZero"/>
        <c:auto val="0"/>
        <c:lblAlgn val="ctr"/>
        <c:lblOffset val="100"/>
        <c:noMultiLvlLbl val="0"/>
      </c:catAx>
      <c:valAx>
        <c:axId val="380614640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"/>
                    <a:ea typeface="+mn-ea"/>
                    <a:cs typeface="+mn-cs"/>
                  </a:defRPr>
                </a:pPr>
                <a:r>
                  <a:rPr lang="es-MX"/>
                  <a:t>mg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"/>
                <a:ea typeface="+mn-ea"/>
                <a:cs typeface="+mn-cs"/>
              </a:defRPr>
            </a:pPr>
            <a:endParaRPr lang="es-AR"/>
          </a:p>
        </c:txPr>
        <c:crossAx val="38060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Arial Nova" panose="020F0502020204030204" pitchFamily="34" charset="0"/>
                <a:ea typeface="+mn-ea"/>
                <a:cs typeface="Arial Nova" panose="020F0502020204030204" pitchFamily="34" charset="0"/>
              </a:defRPr>
            </a:pPr>
            <a:r>
              <a:rPr lang="es-MX" b="1"/>
              <a:t>Sulfatos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 Nova" panose="020F0502020204030204" pitchFamily="34" charset="0"/>
              <a:ea typeface="+mn-ea"/>
              <a:cs typeface="Arial Nova" panose="020F0502020204030204" pitchFamily="34" charset="0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R1</c:v>
          </c:tx>
          <c:spPr>
            <a:ln w="19050" cap="rnd">
              <a:solidFill>
                <a:srgbClr val="43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372C4"/>
              </a:solidFill>
              <a:ln w="9525">
                <a:solidFill>
                  <a:srgbClr val="4372C4"/>
                </a:solidFill>
              </a:ln>
              <a:effectLst/>
            </c:spPr>
          </c:marker>
          <c:xVal>
            <c:numRef>
              <c:f>RESUMEN!$AB$4:$AB$13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21</c:v>
                </c:pt>
                <c:pt idx="4">
                  <c:v>34</c:v>
                </c:pt>
                <c:pt idx="5">
                  <c:v>48</c:v>
                </c:pt>
                <c:pt idx="6">
                  <c:v>56</c:v>
                </c:pt>
                <c:pt idx="7">
                  <c:v>69</c:v>
                </c:pt>
                <c:pt idx="8">
                  <c:v>84</c:v>
                </c:pt>
                <c:pt idx="9">
                  <c:v>97</c:v>
                </c:pt>
              </c:numCache>
            </c:numRef>
          </c:xVal>
          <c:yVal>
            <c:numRef>
              <c:f>RESUMEN!$AC$4:$AC$13</c:f>
              <c:numCache>
                <c:formatCode>General</c:formatCode>
                <c:ptCount val="10"/>
                <c:pt idx="0">
                  <c:v>188.32374999996901</c:v>
                </c:pt>
                <c:pt idx="1">
                  <c:v>43.159999999992699</c:v>
                </c:pt>
                <c:pt idx="2">
                  <c:v>45.661875000007825</c:v>
                </c:pt>
                <c:pt idx="3">
                  <c:v>48.706000000008345</c:v>
                </c:pt>
                <c:pt idx="4">
                  <c:v>56.507796610161726</c:v>
                </c:pt>
                <c:pt idx="5">
                  <c:v>58.3199999999729</c:v>
                </c:pt>
                <c:pt idx="6">
                  <c:v>91.94181818179382</c:v>
                </c:pt>
                <c:pt idx="7">
                  <c:v>73.982339999999994</c:v>
                </c:pt>
                <c:pt idx="8">
                  <c:v>56.897647058819949</c:v>
                </c:pt>
                <c:pt idx="9">
                  <c:v>50.897647058819899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49-CA4E-932C-562D65270554}"/>
            </c:ext>
          </c:extLst>
        </c:ser>
        <c:ser>
          <c:idx val="1"/>
          <c:order val="1"/>
          <c:tx>
            <c:v>R2</c:v>
          </c:tx>
          <c:spPr>
            <a:ln w="19050" cap="rnd">
              <a:solidFill>
                <a:srgbClr val="BBB92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BB92C"/>
              </a:solidFill>
              <a:ln w="9525">
                <a:solidFill>
                  <a:srgbClr val="BBB92C"/>
                </a:solidFill>
              </a:ln>
              <a:effectLst/>
            </c:spPr>
          </c:marker>
          <c:xVal>
            <c:numRef>
              <c:f>RESUMEN!$AB$4:$AB$13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21</c:v>
                </c:pt>
                <c:pt idx="4">
                  <c:v>34</c:v>
                </c:pt>
                <c:pt idx="5">
                  <c:v>48</c:v>
                </c:pt>
                <c:pt idx="6">
                  <c:v>56</c:v>
                </c:pt>
                <c:pt idx="7">
                  <c:v>69</c:v>
                </c:pt>
                <c:pt idx="8">
                  <c:v>84</c:v>
                </c:pt>
                <c:pt idx="9">
                  <c:v>97</c:v>
                </c:pt>
              </c:numCache>
            </c:numRef>
          </c:xVal>
          <c:yVal>
            <c:numRef>
              <c:f>RESUMEN!$AD$4:$AD$13</c:f>
              <c:numCache>
                <c:formatCode>General</c:formatCode>
                <c:ptCount val="10"/>
                <c:pt idx="0">
                  <c:v>190.83272727272566</c:v>
                </c:pt>
                <c:pt idx="1">
                  <c:v>194.88777999999999</c:v>
                </c:pt>
                <c:pt idx="2">
                  <c:v>200.35235294116114</c:v>
                </c:pt>
                <c:pt idx="3">
                  <c:v>201.25400000000101</c:v>
                </c:pt>
                <c:pt idx="4">
                  <c:v>195.03507692307232</c:v>
                </c:pt>
                <c:pt idx="5">
                  <c:v>201.36738461541026</c:v>
                </c:pt>
                <c:pt idx="6">
                  <c:v>217.48054054056723</c:v>
                </c:pt>
                <c:pt idx="7">
                  <c:v>217.32480000000044</c:v>
                </c:pt>
                <c:pt idx="8">
                  <c:v>205.16676923074101</c:v>
                </c:pt>
                <c:pt idx="9">
                  <c:v>207.67090909089038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49-CA4E-932C-562D65270554}"/>
            </c:ext>
          </c:extLst>
        </c:ser>
        <c:ser>
          <c:idx val="2"/>
          <c:order val="2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23</c:v>
              </c:pt>
              <c:pt idx="1">
                <c:v>23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4500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F49-CA4E-932C-562D65270554}"/>
            </c:ext>
          </c:extLst>
        </c:ser>
        <c:ser>
          <c:idx val="3"/>
          <c:order val="3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48</c:v>
              </c:pt>
              <c:pt idx="1">
                <c:v>48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4500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F49-CA4E-932C-562D65270554}"/>
            </c:ext>
          </c:extLst>
        </c:ser>
        <c:ser>
          <c:idx val="4"/>
          <c:order val="4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71</c:v>
              </c:pt>
              <c:pt idx="1">
                <c:v>71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4500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F49-CA4E-932C-562D65270554}"/>
            </c:ext>
          </c:extLst>
        </c:ser>
        <c:ser>
          <c:idx val="5"/>
          <c:order val="5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93</c:v>
              </c:pt>
              <c:pt idx="1">
                <c:v>93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4500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F49-CA4E-932C-562D65270554}"/>
            </c:ext>
          </c:extLst>
        </c:ser>
        <c:ser>
          <c:idx val="6"/>
          <c:order val="6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4500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4F49-CA4E-932C-562D65270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741823"/>
        <c:axId val="1215972831"/>
      </c:scatterChart>
      <c:valAx>
        <c:axId val="119674182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ova" panose="020F0502020204030204" pitchFamily="34" charset="0"/>
                    <a:ea typeface="+mn-ea"/>
                    <a:cs typeface="Arial Nova" panose="020F0502020204030204" pitchFamily="34" charset="0"/>
                  </a:defRPr>
                </a:pPr>
                <a:r>
                  <a:rPr lang="es-MX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Nova" panose="020F0502020204030204" pitchFamily="34" charset="0"/>
                  <a:ea typeface="+mn-ea"/>
                  <a:cs typeface="Arial Nova" panose="020F050202020403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 Nova" panose="020F0502020204030204" pitchFamily="34" charset="0"/>
                <a:ea typeface="+mn-ea"/>
                <a:cs typeface="Arial Nova" panose="020F0502020204030204" pitchFamily="34" charset="0"/>
              </a:defRPr>
            </a:pPr>
            <a:endParaRPr lang="es-AR"/>
          </a:p>
        </c:txPr>
        <c:crossAx val="1215972831"/>
        <c:crosses val="autoZero"/>
        <c:crossBetween val="midCat"/>
      </c:valAx>
      <c:valAx>
        <c:axId val="121597283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ova" panose="020F0502020204030204" pitchFamily="34" charset="0"/>
                    <a:ea typeface="+mn-ea"/>
                    <a:cs typeface="Arial Nova" panose="020F0502020204030204" pitchFamily="34" charset="0"/>
                  </a:defRPr>
                </a:pPr>
                <a:r>
                  <a:rPr lang="es-MX"/>
                  <a:t>SO4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Nova" panose="020F0502020204030204" pitchFamily="34" charset="0"/>
                  <a:ea typeface="+mn-ea"/>
                  <a:cs typeface="Arial Nova" panose="020F050202020403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 Nova" panose="020F0502020204030204" pitchFamily="34" charset="0"/>
                <a:ea typeface="+mn-ea"/>
                <a:cs typeface="Arial Nova" panose="020F0502020204030204" pitchFamily="34" charset="0"/>
              </a:defRPr>
            </a:pPr>
            <a:endParaRPr lang="es-AR"/>
          </a:p>
        </c:txPr>
        <c:crossAx val="119674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 Nova" panose="020F0502020204030204" pitchFamily="34" charset="0"/>
              <a:ea typeface="+mn-ea"/>
              <a:cs typeface="Arial Nova" panose="020F0502020204030204" pitchFamily="34" charset="0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 Nova" panose="020F0502020204030204" pitchFamily="34" charset="0"/>
          <a:cs typeface="Arial Nova" panose="020F050202020403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accent1"/>
                </a:solidFill>
                <a:latin typeface=""/>
                <a:ea typeface="+mn-ea"/>
                <a:cs typeface="+mn-cs"/>
              </a:defRPr>
            </a:pPr>
            <a:r>
              <a:rPr lang="en-US" sz="1800">
                <a:solidFill>
                  <a:srgbClr val="BBB92C"/>
                </a:solidFill>
                <a:latin typeface=""/>
              </a:rPr>
              <a:t>Reactor 2 - Período 1-23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804478692965473"/>
          <c:y val="7.3136264430868569E-2"/>
          <c:w val="0.50699663325111388"/>
          <c:h val="0.76760233137053291"/>
        </c:manualLayout>
      </c:layout>
      <c:doughnutChart>
        <c:varyColors val="1"/>
        <c:ser>
          <c:idx val="0"/>
          <c:order val="0"/>
          <c:tx>
            <c:v>Reactor 2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'[1]bal 1 235-264'!$E$195:$I$195</c:f>
              <c:strCache>
                <c:ptCount val="5"/>
                <c:pt idx="0">
                  <c:v>H2S ACUM</c:v>
                </c:pt>
                <c:pt idx="1">
                  <c:v>Bioreactor Cambio Stotal de SO4 </c:v>
                </c:pt>
                <c:pt idx="2">
                  <c:v>Bioreactor Cambio Stotal de S= </c:v>
                </c:pt>
                <c:pt idx="3">
                  <c:v>DIG ACUM Stotal de SO4 </c:v>
                </c:pt>
                <c:pt idx="4">
                  <c:v>DIG ACUM Stotal de S= </c:v>
                </c:pt>
              </c:strCache>
            </c:strRef>
          </c:cat>
          <c:val>
            <c:numRef>
              <c:f>'Bal S 1-23'!$F$162:$J$162</c:f>
              <c:numCache>
                <c:formatCode>0</c:formatCode>
                <c:ptCount val="5"/>
                <c:pt idx="0" formatCode="0.00">
                  <c:v>276.11088499879651</c:v>
                </c:pt>
                <c:pt idx="1">
                  <c:v>8.4112151385885454</c:v>
                </c:pt>
                <c:pt idx="2">
                  <c:v>33.515999999999963</c:v>
                </c:pt>
                <c:pt idx="3">
                  <c:v>120.41735444540814</c:v>
                </c:pt>
                <c:pt idx="4" formatCode="0.0">
                  <c:v>245.11024533333335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FC-D24B-8516-D0C873ACEA5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</c:plotArea>
    <c:legend>
      <c:legendPos val="b"/>
      <c:layout>
        <c:manualLayout>
          <c:xMode val="edge"/>
          <c:yMode val="edge"/>
          <c:x val="0.18315562605053295"/>
          <c:y val="0.96164797677134528"/>
          <c:w val="7.2185585647470433E-3"/>
          <c:h val="3.83520232286546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  <c:extLst/>
  </c:chart>
  <c:spPr>
    <a:ln>
      <a:solidFill>
        <a:srgbClr val="BBB92C"/>
      </a:solidFill>
    </a:ln>
  </c:spPr>
  <c:txPr>
    <a:bodyPr/>
    <a:lstStyle/>
    <a:p>
      <a:pPr>
        <a:defRPr sz="1000" b="1">
          <a:solidFill>
            <a:schemeClr val="tx1"/>
          </a:solidFill>
          <a:latin typeface=""/>
        </a:defRPr>
      </a:pPr>
      <a:endParaRPr lang="es-AR"/>
    </a:p>
  </c:tx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accent1"/>
                </a:solidFill>
                <a:latin typeface=""/>
                <a:ea typeface="+mn-ea"/>
                <a:cs typeface="+mn-cs"/>
              </a:defRPr>
            </a:pPr>
            <a:r>
              <a:rPr lang="en-US" sz="1800">
                <a:solidFill>
                  <a:schemeClr val="accent1"/>
                </a:solidFill>
                <a:latin typeface=""/>
              </a:rPr>
              <a:t>Reactor 1 - Período 1-23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accent1"/>
              </a:solidFill>
              <a:latin typeface="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24804478692965473"/>
          <c:y val="7.3136264430868569E-2"/>
          <c:w val="0.50699663325111388"/>
          <c:h val="0.76760233137053291"/>
        </c:manualLayout>
      </c:layout>
      <c:doughnutChart>
        <c:varyColors val="1"/>
        <c:ser>
          <c:idx val="0"/>
          <c:order val="0"/>
          <c:tx>
            <c:v>Reactor 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34-8E4A-A6DB-0E51535956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34-8E4A-A6DB-0E51535956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34-8E4A-A6DB-0E51535956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34-8E4A-A6DB-0E51535956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34-8E4A-A6DB-0E51535956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'[1]bal 1 235-264'!$E$195:$I$195</c:f>
              <c:strCache>
                <c:ptCount val="5"/>
                <c:pt idx="0">
                  <c:v>H2S ACUM</c:v>
                </c:pt>
                <c:pt idx="1">
                  <c:v>Bioreactor Cambio Stotal de SO4 </c:v>
                </c:pt>
                <c:pt idx="2">
                  <c:v>Bioreactor Cambio Stotal de S= </c:v>
                </c:pt>
                <c:pt idx="3">
                  <c:v>DIG ACUM Stotal de SO4 </c:v>
                </c:pt>
                <c:pt idx="4">
                  <c:v>DIG ACUM Stotal de S= </c:v>
                </c:pt>
              </c:strCache>
            </c:strRef>
          </c:cat>
          <c:val>
            <c:numRef>
              <c:f>'Bal S 1-23'!$F$166:$J$166</c:f>
              <c:numCache>
                <c:formatCode>0</c:formatCode>
                <c:ptCount val="5"/>
                <c:pt idx="0" formatCode="0.00">
                  <c:v>9.1702935606721265</c:v>
                </c:pt>
                <c:pt idx="1">
                  <c:v>-2.9206690324830817</c:v>
                </c:pt>
                <c:pt idx="2">
                  <c:v>0.33793043478260149</c:v>
                </c:pt>
                <c:pt idx="3">
                  <c:v>1.2246448324068995</c:v>
                </c:pt>
                <c:pt idx="4" formatCode="0.00">
                  <c:v>6.2648011884057988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34-8E4A-A6DB-0E515359564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15562605053295"/>
          <c:y val="0.96164797677134528"/>
          <c:w val="7.2185585647470433E-3"/>
          <c:h val="3.83520232286546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4372C4"/>
      </a:solidFill>
      <a:round/>
    </a:ln>
    <a:effectLst/>
  </c:spPr>
  <c:txPr>
    <a:bodyPr/>
    <a:lstStyle/>
    <a:p>
      <a:pPr>
        <a:defRPr sz="1000" b="1">
          <a:solidFill>
            <a:schemeClr val="tx1"/>
          </a:solidFill>
          <a:latin typeface=""/>
        </a:defRPr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1"/>
                </a:solidFill>
                <a:latin typeface=""/>
                <a:ea typeface="+mn-ea"/>
                <a:cs typeface="+mn-cs"/>
              </a:defRPr>
            </a:pPr>
            <a:r>
              <a:rPr lang="es-AR" sz="1800">
                <a:solidFill>
                  <a:schemeClr val="accent1"/>
                </a:solidFill>
              </a:rPr>
              <a:t>Balance de masa - azufre. Reactor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Período 1-23</c:v>
          </c:tx>
          <c:spPr>
            <a:solidFill>
              <a:srgbClr val="FD70A3"/>
            </a:solidFill>
          </c:spPr>
          <c:invertIfNegative val="0"/>
          <c:cat>
            <c:strRef>
              <c:f>'[1]bal 1 235-264'!$D$195:$J$195</c:f>
              <c:strCache>
                <c:ptCount val="7"/>
                <c:pt idx="0">
                  <c:v>S total input ACUM </c:v>
                </c:pt>
                <c:pt idx="1">
                  <c:v>H2S ACUM</c:v>
                </c:pt>
                <c:pt idx="2">
                  <c:v>Bioreactor Cambio Stotal de SO4 </c:v>
                </c:pt>
                <c:pt idx="3">
                  <c:v>Bioreactor Cambio Stotal de S= </c:v>
                </c:pt>
                <c:pt idx="4">
                  <c:v>DIG ACUM Stotal de SO4 </c:v>
                </c:pt>
                <c:pt idx="5">
                  <c:v>DIG ACUM Stotal de S= </c:v>
                </c:pt>
                <c:pt idx="6">
                  <c:v>S total output ACUM </c:v>
                </c:pt>
              </c:strCache>
            </c:strRef>
          </c:cat>
          <c:val>
            <c:numRef>
              <c:f>'Bal S 1-23'!$E$166:$K$166</c:f>
              <c:numCache>
                <c:formatCode>0.00</c:formatCode>
                <c:ptCount val="7"/>
                <c:pt idx="0" formatCode="0.0">
                  <c:v>29.982268470343381</c:v>
                </c:pt>
                <c:pt idx="1">
                  <c:v>9.1702935606721265</c:v>
                </c:pt>
                <c:pt idx="2" formatCode="0">
                  <c:v>-2.9206690324830817</c:v>
                </c:pt>
                <c:pt idx="3" formatCode="0">
                  <c:v>0.33793043478260149</c:v>
                </c:pt>
                <c:pt idx="4" formatCode="0">
                  <c:v>1.2246448324068995</c:v>
                </c:pt>
                <c:pt idx="5">
                  <c:v>6.2648011884057988</c:v>
                </c:pt>
                <c:pt idx="6">
                  <c:v>14.077000983784345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5-CC42-9921-3C938C2913E3}"/>
            </c:ext>
          </c:extLst>
        </c:ser>
        <c:ser>
          <c:idx val="1"/>
          <c:order val="1"/>
          <c:tx>
            <c:v>Período 24-47</c:v>
          </c:tx>
          <c:spPr>
            <a:solidFill>
              <a:srgbClr val="FFC000"/>
            </a:solidFill>
          </c:spPr>
          <c:invertIfNegative val="0"/>
          <c:val>
            <c:numRef>
              <c:f>'Bal S 24-47'!$E$172:$K$172</c:f>
              <c:numCache>
                <c:formatCode>0.00</c:formatCode>
                <c:ptCount val="7"/>
                <c:pt idx="0" formatCode="0.0">
                  <c:v>29.982268470343381</c:v>
                </c:pt>
                <c:pt idx="1">
                  <c:v>3.6752886646876344</c:v>
                </c:pt>
                <c:pt idx="2" formatCode="0">
                  <c:v>0.20070850676304808</c:v>
                </c:pt>
                <c:pt idx="3" formatCode="0">
                  <c:v>-0.92727499999999807</c:v>
                </c:pt>
                <c:pt idx="4" formatCode="0">
                  <c:v>1.5166847988057113</c:v>
                </c:pt>
                <c:pt idx="5">
                  <c:v>5.3939012333333318</c:v>
                </c:pt>
                <c:pt idx="6">
                  <c:v>9.8593082035897268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5-CC42-9921-3C938C2913E3}"/>
            </c:ext>
          </c:extLst>
        </c:ser>
        <c:ser>
          <c:idx val="2"/>
          <c:order val="2"/>
          <c:tx>
            <c:v>Período 48-70</c:v>
          </c:tx>
          <c:spPr>
            <a:solidFill>
              <a:srgbClr val="BBB92C"/>
            </a:solidFill>
          </c:spPr>
          <c:invertIfNegative val="0"/>
          <c:val>
            <c:numRef>
              <c:f>'Bal S 48-70'!$E$167:$K$167</c:f>
              <c:numCache>
                <c:formatCode>0.00</c:formatCode>
                <c:ptCount val="7"/>
                <c:pt idx="0" formatCode="0.0">
                  <c:v>29.982268470343381</c:v>
                </c:pt>
                <c:pt idx="1">
                  <c:v>1.7954574413441151</c:v>
                </c:pt>
                <c:pt idx="2">
                  <c:v>0.68238851830186409</c:v>
                </c:pt>
                <c:pt idx="3">
                  <c:v>-4.4400521739130445</c:v>
                </c:pt>
                <c:pt idx="4">
                  <c:v>2.1670281210124944</c:v>
                </c:pt>
                <c:pt idx="5">
                  <c:v>2.7670816811594214</c:v>
                </c:pt>
                <c:pt idx="6">
                  <c:v>2.9719035879048503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05-CC42-9921-3C938C2913E3}"/>
            </c:ext>
          </c:extLst>
        </c:ser>
        <c:ser>
          <c:idx val="3"/>
          <c:order val="3"/>
          <c:tx>
            <c:v>Período 71-92</c:v>
          </c:tx>
          <c:spPr>
            <a:solidFill>
              <a:srgbClr val="7FCAF1"/>
            </a:solidFill>
          </c:spPr>
          <c:invertIfNegative val="0"/>
          <c:val>
            <c:numRef>
              <c:f>'Bal S 71-92'!$E$162:$K$162</c:f>
              <c:numCache>
                <c:formatCode>0.00</c:formatCode>
                <c:ptCount val="7"/>
                <c:pt idx="0" formatCode="0.0">
                  <c:v>29.982268470343385</c:v>
                </c:pt>
                <c:pt idx="1">
                  <c:v>0.36769931949469026</c:v>
                </c:pt>
                <c:pt idx="2" formatCode="0">
                  <c:v>-0.52574400015032741</c:v>
                </c:pt>
                <c:pt idx="3" formatCode="0">
                  <c:v>-2.2012363636363643</c:v>
                </c:pt>
                <c:pt idx="4" formatCode="0">
                  <c:v>1.6668177286347083</c:v>
                </c:pt>
                <c:pt idx="5">
                  <c:v>0.98264824242424276</c:v>
                </c:pt>
                <c:pt idx="6">
                  <c:v>0.29018492676694974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05-CC42-9921-3C938C291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0602992"/>
        <c:axId val="380614640"/>
      </c:barChart>
      <c:catAx>
        <c:axId val="38060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"/>
                <a:ea typeface="+mn-ea"/>
                <a:cs typeface="+mn-cs"/>
              </a:defRPr>
            </a:pPr>
            <a:endParaRPr lang="es-AR"/>
          </a:p>
        </c:txPr>
        <c:crossAx val="380614640"/>
        <c:crosses val="autoZero"/>
        <c:auto val="0"/>
        <c:lblAlgn val="ctr"/>
        <c:lblOffset val="100"/>
        <c:noMultiLvlLbl val="0"/>
      </c:catAx>
      <c:valAx>
        <c:axId val="380614640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"/>
                    <a:ea typeface="+mn-ea"/>
                    <a:cs typeface="+mn-cs"/>
                  </a:defRPr>
                </a:pPr>
                <a:r>
                  <a:rPr lang="es-MX"/>
                  <a:t>mg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"/>
                <a:ea typeface="+mn-ea"/>
                <a:cs typeface="+mn-cs"/>
              </a:defRPr>
            </a:pPr>
            <a:endParaRPr lang="es-AR"/>
          </a:p>
        </c:txPr>
        <c:crossAx val="38060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  <c:extLst/>
  </c:chart>
  <c:txPr>
    <a:bodyPr/>
    <a:lstStyle/>
    <a:p>
      <a:pPr>
        <a:defRPr sz="1000">
          <a:latin typeface="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1"/>
                </a:solidFill>
                <a:latin typeface=""/>
                <a:ea typeface="+mn-ea"/>
                <a:cs typeface="+mn-cs"/>
              </a:defRPr>
            </a:pPr>
            <a:r>
              <a:rPr lang="es-AR" sz="1800">
                <a:solidFill>
                  <a:srgbClr val="BBB92C"/>
                </a:solidFill>
              </a:rPr>
              <a:t>Balance de masa - azufre. Reactor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Período 1-23</c:v>
          </c:tx>
          <c:spPr>
            <a:solidFill>
              <a:srgbClr val="C366DF"/>
            </a:solidFill>
          </c:spPr>
          <c:invertIfNegative val="0"/>
          <c:cat>
            <c:strRef>
              <c:f>'[1]bal 1 235-264'!$D$195:$J$195</c:f>
              <c:strCache>
                <c:ptCount val="7"/>
                <c:pt idx="0">
                  <c:v>S total input ACUM </c:v>
                </c:pt>
                <c:pt idx="1">
                  <c:v>H2S ACUM</c:v>
                </c:pt>
                <c:pt idx="2">
                  <c:v>Bioreactor Cambio Stotal de SO4 </c:v>
                </c:pt>
                <c:pt idx="3">
                  <c:v>Bioreactor Cambio Stotal de S= </c:v>
                </c:pt>
                <c:pt idx="4">
                  <c:v>DIG ACUM Stotal de SO4 </c:v>
                </c:pt>
                <c:pt idx="5">
                  <c:v>DIG ACUM Stotal de S= </c:v>
                </c:pt>
                <c:pt idx="6">
                  <c:v>S total output ACUM </c:v>
                </c:pt>
              </c:strCache>
            </c:strRef>
          </c:cat>
          <c:val>
            <c:numRef>
              <c:f>'Bal S 1-23'!$E$167:$K$167</c:f>
              <c:numCache>
                <c:formatCode>0.00</c:formatCode>
                <c:ptCount val="7"/>
                <c:pt idx="0" formatCode="0.0">
                  <c:v>29.982268470343381</c:v>
                </c:pt>
                <c:pt idx="1">
                  <c:v>12.004821086904196</c:v>
                </c:pt>
                <c:pt idx="2" formatCode="0">
                  <c:v>0.36570500602558892</c:v>
                </c:pt>
                <c:pt idx="3" formatCode="0">
                  <c:v>1.4572173913043462</c:v>
                </c:pt>
                <c:pt idx="4" formatCode="0">
                  <c:v>5.2355371498003533</c:v>
                </c:pt>
                <c:pt idx="5" formatCode="0.0">
                  <c:v>10.656967188405797</c:v>
                </c:pt>
                <c:pt idx="6">
                  <c:v>29.720247822440282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B-1146-812D-560FCD860372}"/>
            </c:ext>
          </c:extLst>
        </c:ser>
        <c:ser>
          <c:idx val="1"/>
          <c:order val="1"/>
          <c:tx>
            <c:v>Período 24-47</c:v>
          </c:tx>
          <c:spPr>
            <a:solidFill>
              <a:srgbClr val="FD70A3"/>
            </a:solidFill>
          </c:spPr>
          <c:invertIfNegative val="0"/>
          <c:val>
            <c:numRef>
              <c:f>'Bal S 24-47'!$E$173:$K$173</c:f>
              <c:numCache>
                <c:formatCode>0.00</c:formatCode>
                <c:ptCount val="7"/>
                <c:pt idx="0" formatCode="0.0">
                  <c:v>29.982268470343381</c:v>
                </c:pt>
                <c:pt idx="1">
                  <c:v>9.2569451562165685</c:v>
                </c:pt>
                <c:pt idx="2" formatCode="0">
                  <c:v>2.3670955740347686E-3</c:v>
                </c:pt>
                <c:pt idx="3" formatCode="0">
                  <c:v>0</c:v>
                </c:pt>
                <c:pt idx="4" formatCode="0">
                  <c:v>5.4245146141440488</c:v>
                </c:pt>
                <c:pt idx="5" formatCode="0.0">
                  <c:v>11.159507783333332</c:v>
                </c:pt>
                <c:pt idx="6">
                  <c:v>25.843334649267984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1B-1146-812D-560FCD860372}"/>
            </c:ext>
          </c:extLst>
        </c:ser>
        <c:ser>
          <c:idx val="2"/>
          <c:order val="2"/>
          <c:tx>
            <c:v>Período 48-70</c:v>
          </c:tx>
          <c:invertIfNegative val="0"/>
          <c:val>
            <c:numRef>
              <c:f>'Bal S 48-70'!$E$168:$K$168</c:f>
              <c:numCache>
                <c:formatCode>0.00</c:formatCode>
                <c:ptCount val="7"/>
                <c:pt idx="0" formatCode="0.0">
                  <c:v>29.982268470343381</c:v>
                </c:pt>
                <c:pt idx="1">
                  <c:v>10.560997777948316</c:v>
                </c:pt>
                <c:pt idx="2" formatCode="0">
                  <c:v>0.43038950368556012</c:v>
                </c:pt>
                <c:pt idx="3" formatCode="0">
                  <c:v>-0.10854782608695655</c:v>
                </c:pt>
                <c:pt idx="4" formatCode="0">
                  <c:v>5.86176672204222</c:v>
                </c:pt>
                <c:pt idx="5" formatCode="0.0">
                  <c:v>11.004376707246381</c:v>
                </c:pt>
                <c:pt idx="6">
                  <c:v>27.74898288483552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1B-1146-812D-560FCD860372}"/>
            </c:ext>
          </c:extLst>
        </c:ser>
        <c:ser>
          <c:idx val="3"/>
          <c:order val="3"/>
          <c:tx>
            <c:v>Período 71-92</c:v>
          </c:tx>
          <c:spPr>
            <a:solidFill>
              <a:srgbClr val="7FCAF1"/>
            </a:solidFill>
          </c:spPr>
          <c:invertIfNegative val="0"/>
          <c:val>
            <c:numRef>
              <c:f>'Bal S 71-92'!$E$163:$K$163</c:f>
              <c:numCache>
                <c:formatCode>0.00</c:formatCode>
                <c:ptCount val="7"/>
                <c:pt idx="0" formatCode="0.0">
                  <c:v>29.982268470343385</c:v>
                </c:pt>
                <c:pt idx="1">
                  <c:v>8.9754154419272947</c:v>
                </c:pt>
                <c:pt idx="2" formatCode="0">
                  <c:v>-0.21986323303076719</c:v>
                </c:pt>
                <c:pt idx="3" formatCode="0">
                  <c:v>0.60005454545454417</c:v>
                </c:pt>
                <c:pt idx="4" formatCode="0">
                  <c:v>5.7304230077199323</c:v>
                </c:pt>
                <c:pt idx="5" formatCode="0.0">
                  <c:v>11.187732369696972</c:v>
                </c:pt>
                <c:pt idx="6">
                  <c:v>26.273762131767974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1B-1146-812D-560FCD860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0602992"/>
        <c:axId val="380614640"/>
      </c:barChart>
      <c:catAx>
        <c:axId val="38060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"/>
                <a:ea typeface="+mn-ea"/>
                <a:cs typeface="+mn-cs"/>
              </a:defRPr>
            </a:pPr>
            <a:endParaRPr lang="es-AR"/>
          </a:p>
        </c:txPr>
        <c:crossAx val="380614640"/>
        <c:crosses val="autoZero"/>
        <c:auto val="0"/>
        <c:lblAlgn val="ctr"/>
        <c:lblOffset val="100"/>
        <c:noMultiLvlLbl val="0"/>
      </c:catAx>
      <c:valAx>
        <c:axId val="380614640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"/>
                    <a:ea typeface="+mn-ea"/>
                    <a:cs typeface="+mn-cs"/>
                  </a:defRPr>
                </a:pPr>
                <a:r>
                  <a:rPr lang="es-MX"/>
                  <a:t>mg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"/>
                <a:ea typeface="+mn-ea"/>
                <a:cs typeface="+mn-cs"/>
              </a:defRPr>
            </a:pPr>
            <a:endParaRPr lang="es-AR"/>
          </a:p>
        </c:txPr>
        <c:crossAx val="38060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84798333703462"/>
          <c:y val="0.93472593642473834"/>
          <c:w val="0.51409209748893037"/>
          <c:h val="4.8292729671426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  <c:extLst/>
  </c:chart>
  <c:txPr>
    <a:bodyPr/>
    <a:lstStyle/>
    <a:p>
      <a:pPr>
        <a:defRPr sz="1000">
          <a:latin typeface="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accent1"/>
                </a:solidFill>
                <a:latin typeface=""/>
                <a:ea typeface="+mn-ea"/>
                <a:cs typeface="+mn-cs"/>
              </a:defRPr>
            </a:pPr>
            <a:r>
              <a:rPr lang="en-US" sz="1800">
                <a:solidFill>
                  <a:srgbClr val="BBB92C"/>
                </a:solidFill>
                <a:latin typeface=""/>
              </a:rPr>
              <a:t>Reactor 2 - Período 24-47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804478692965473"/>
          <c:y val="7.3136264430868569E-2"/>
          <c:w val="0.50699663325111388"/>
          <c:h val="0.76760233137053291"/>
        </c:manualLayout>
      </c:layout>
      <c:doughnutChart>
        <c:varyColors val="1"/>
        <c:ser>
          <c:idx val="0"/>
          <c:order val="0"/>
          <c:tx>
            <c:v>Reactor 2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'[1]bal 1 235-264'!$E$195:$I$195</c:f>
              <c:strCache>
                <c:ptCount val="5"/>
                <c:pt idx="0">
                  <c:v>H2S ACUM</c:v>
                </c:pt>
                <c:pt idx="1">
                  <c:v>Bioreactor Cambio Stotal de SO4 </c:v>
                </c:pt>
                <c:pt idx="2">
                  <c:v>Bioreactor Cambio Stotal de S= </c:v>
                </c:pt>
                <c:pt idx="3">
                  <c:v>DIG ACUM Stotal de SO4 </c:v>
                </c:pt>
                <c:pt idx="4">
                  <c:v>DIG ACUM Stotal de S= </c:v>
                </c:pt>
              </c:strCache>
            </c:strRef>
          </c:cat>
          <c:val>
            <c:numRef>
              <c:f>'Bal S 24-47'!$F$168:$J$168</c:f>
              <c:numCache>
                <c:formatCode>0</c:formatCode>
                <c:ptCount val="5"/>
                <c:pt idx="0" formatCode="0.00">
                  <c:v>222.16668374919766</c:v>
                </c:pt>
                <c:pt idx="1">
                  <c:v>5.6810293776834442E-2</c:v>
                </c:pt>
                <c:pt idx="2">
                  <c:v>0</c:v>
                </c:pt>
                <c:pt idx="3">
                  <c:v>130.18835073945718</c:v>
                </c:pt>
                <c:pt idx="4" formatCode="0.0">
                  <c:v>267.82818679999997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2-0540-AE15-9155ECEBBDB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</c:plotArea>
    <c:legend>
      <c:legendPos val="b"/>
      <c:layout>
        <c:manualLayout>
          <c:xMode val="edge"/>
          <c:yMode val="edge"/>
          <c:x val="0.18315562605053295"/>
          <c:y val="0.96164797677134528"/>
          <c:w val="7.2185585647470433E-3"/>
          <c:h val="3.83520232286546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  <c:extLst/>
  </c:chart>
  <c:spPr>
    <a:ln>
      <a:solidFill>
        <a:srgbClr val="BBB92C"/>
      </a:solidFill>
    </a:ln>
  </c:spPr>
  <c:txPr>
    <a:bodyPr/>
    <a:lstStyle/>
    <a:p>
      <a:pPr>
        <a:defRPr sz="1000" b="1">
          <a:solidFill>
            <a:schemeClr val="tx1"/>
          </a:solidFill>
          <a:latin typeface=""/>
        </a:defRPr>
      </a:pPr>
      <a:endParaRPr lang="es-AR"/>
    </a:p>
  </c:txPr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accent1"/>
                </a:solidFill>
                <a:latin typeface=""/>
                <a:ea typeface="+mn-ea"/>
                <a:cs typeface="+mn-cs"/>
              </a:defRPr>
            </a:pPr>
            <a:r>
              <a:rPr lang="en-US" sz="1800">
                <a:solidFill>
                  <a:schemeClr val="accent1"/>
                </a:solidFill>
                <a:latin typeface=""/>
              </a:rPr>
              <a:t>Reactor 1 - Período 24-47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accent1"/>
              </a:solidFill>
              <a:latin typeface="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24804478692965473"/>
          <c:y val="7.3136264430868569E-2"/>
          <c:w val="0.50699663325111388"/>
          <c:h val="0.76760233137053291"/>
        </c:manualLayout>
      </c:layout>
      <c:doughnutChart>
        <c:varyColors val="1"/>
        <c:ser>
          <c:idx val="0"/>
          <c:order val="0"/>
          <c:tx>
            <c:v>Reactor 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3B-844A-A6BD-AC6E691C07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3B-844A-A6BD-AC6E691C07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3B-844A-A6BD-AC6E691C07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13B-844A-A6BD-AC6E691C07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13B-844A-A6BD-AC6E691C07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'[1]bal 1 235-264'!$E$195:$I$195</c:f>
              <c:strCache>
                <c:ptCount val="5"/>
                <c:pt idx="0">
                  <c:v>H2S ACUM</c:v>
                </c:pt>
                <c:pt idx="1">
                  <c:v>Bioreactor Cambio Stotal de SO4 </c:v>
                </c:pt>
                <c:pt idx="2">
                  <c:v>Bioreactor Cambio Stotal de S= </c:v>
                </c:pt>
                <c:pt idx="3">
                  <c:v>DIG ACUM Stotal de SO4 </c:v>
                </c:pt>
                <c:pt idx="4">
                  <c:v>DIG ACUM Stotal de S= </c:v>
                </c:pt>
              </c:strCache>
            </c:strRef>
          </c:cat>
          <c:val>
            <c:numRef>
              <c:f>'Bal S 24-47'!$F$167:$J$167</c:f>
              <c:numCache>
                <c:formatCode>0</c:formatCode>
                <c:ptCount val="5"/>
                <c:pt idx="0" formatCode="0.00">
                  <c:v>88.206927952503221</c:v>
                </c:pt>
                <c:pt idx="1">
                  <c:v>4.8170041623131539</c:v>
                </c:pt>
                <c:pt idx="2">
                  <c:v>-22.254599999999954</c:v>
                </c:pt>
                <c:pt idx="3">
                  <c:v>36.400435171337072</c:v>
                </c:pt>
                <c:pt idx="4" formatCode="0.00">
                  <c:v>129.45362959999997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3B-844A-A6BD-AC6E691C071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15562605053295"/>
          <c:y val="0.96164797677134528"/>
          <c:w val="7.2185585647470433E-3"/>
          <c:h val="3.83520232286546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4372C4"/>
      </a:solidFill>
      <a:round/>
    </a:ln>
    <a:effectLst/>
  </c:spPr>
  <c:txPr>
    <a:bodyPr/>
    <a:lstStyle/>
    <a:p>
      <a:pPr>
        <a:defRPr sz="1000" b="1">
          <a:solidFill>
            <a:schemeClr val="tx1"/>
          </a:solidFill>
          <a:latin typeface=""/>
        </a:defRPr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0860B2"/>
                </a:solidFill>
                <a:latin typeface=""/>
                <a:ea typeface="+mn-ea"/>
                <a:cs typeface="+mn-cs"/>
              </a:defRPr>
            </a:pPr>
            <a:r>
              <a:rPr lang="es-AR" sz="1800">
                <a:solidFill>
                  <a:srgbClr val="0860B2"/>
                </a:solidFill>
              </a:rPr>
              <a:t>balS 24-47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0860B2"/>
              </a:solidFill>
              <a:latin typeface="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R1 por día</c:v>
          </c:tx>
          <c:spPr>
            <a:solidFill>
              <a:srgbClr val="4372C4"/>
            </a:solidFill>
            <a:ln>
              <a:noFill/>
            </a:ln>
            <a:effectLst/>
          </c:spPr>
          <c:invertIfNegative val="0"/>
          <c:cat>
            <c:strRef>
              <c:f>'[1]bal 1 235-264'!$D$195:$J$195</c:f>
              <c:strCache>
                <c:ptCount val="7"/>
                <c:pt idx="0">
                  <c:v>S total input ACUM </c:v>
                </c:pt>
                <c:pt idx="1">
                  <c:v>H2S ACUM</c:v>
                </c:pt>
                <c:pt idx="2">
                  <c:v>Bioreactor Cambio Stotal de SO4 </c:v>
                </c:pt>
                <c:pt idx="3">
                  <c:v>Bioreactor Cambio Stotal de S= </c:v>
                </c:pt>
                <c:pt idx="4">
                  <c:v>DIG ACUM Stotal de SO4 </c:v>
                </c:pt>
                <c:pt idx="5">
                  <c:v>DIG ACUM Stotal de S= </c:v>
                </c:pt>
                <c:pt idx="6">
                  <c:v>S total output ACUM </c:v>
                </c:pt>
              </c:strCache>
            </c:strRef>
          </c:cat>
          <c:val>
            <c:numRef>
              <c:f>'Bal S 24-47'!$E$172:$K$172</c:f>
              <c:numCache>
                <c:formatCode>0.00</c:formatCode>
                <c:ptCount val="7"/>
                <c:pt idx="0" formatCode="0.0">
                  <c:v>29.982268470343381</c:v>
                </c:pt>
                <c:pt idx="1">
                  <c:v>3.6752886646876344</c:v>
                </c:pt>
                <c:pt idx="2" formatCode="0">
                  <c:v>0.20070850676304808</c:v>
                </c:pt>
                <c:pt idx="3" formatCode="0">
                  <c:v>-0.92727499999999807</c:v>
                </c:pt>
                <c:pt idx="4" formatCode="0">
                  <c:v>1.5166847988057113</c:v>
                </c:pt>
                <c:pt idx="5">
                  <c:v>5.3939012333333318</c:v>
                </c:pt>
                <c:pt idx="6">
                  <c:v>9.8593082035897268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5-0846-94AC-957AD89C266C}"/>
            </c:ext>
          </c:extLst>
        </c:ser>
        <c:ser>
          <c:idx val="1"/>
          <c:order val="1"/>
          <c:tx>
            <c:v>R2 por día</c:v>
          </c:tx>
          <c:spPr>
            <a:solidFill>
              <a:srgbClr val="BBB92C"/>
            </a:solidFill>
            <a:ln>
              <a:noFill/>
            </a:ln>
            <a:effectLst/>
          </c:spPr>
          <c:invertIfNegative val="0"/>
          <c:cat>
            <c:strRef>
              <c:f>'[1]bal 1 235-264'!$D$195:$J$195</c:f>
              <c:strCache>
                <c:ptCount val="7"/>
                <c:pt idx="0">
                  <c:v>S total input ACUM </c:v>
                </c:pt>
                <c:pt idx="1">
                  <c:v>H2S ACUM</c:v>
                </c:pt>
                <c:pt idx="2">
                  <c:v>Bioreactor Cambio Stotal de SO4 </c:v>
                </c:pt>
                <c:pt idx="3">
                  <c:v>Bioreactor Cambio Stotal de S= </c:v>
                </c:pt>
                <c:pt idx="4">
                  <c:v>DIG ACUM Stotal de SO4 </c:v>
                </c:pt>
                <c:pt idx="5">
                  <c:v>DIG ACUM Stotal de S= </c:v>
                </c:pt>
                <c:pt idx="6">
                  <c:v>S total output ACUM </c:v>
                </c:pt>
              </c:strCache>
            </c:strRef>
          </c:cat>
          <c:val>
            <c:numRef>
              <c:f>'Bal S 24-47'!$E$173:$K$173</c:f>
              <c:numCache>
                <c:formatCode>0.00</c:formatCode>
                <c:ptCount val="7"/>
                <c:pt idx="0" formatCode="0.0">
                  <c:v>29.982268470343381</c:v>
                </c:pt>
                <c:pt idx="1">
                  <c:v>9.2569451562165685</c:v>
                </c:pt>
                <c:pt idx="2" formatCode="0">
                  <c:v>2.3670955740347686E-3</c:v>
                </c:pt>
                <c:pt idx="3" formatCode="0">
                  <c:v>0</c:v>
                </c:pt>
                <c:pt idx="4" formatCode="0">
                  <c:v>5.4245146141440488</c:v>
                </c:pt>
                <c:pt idx="5" formatCode="0.0">
                  <c:v>11.159507783333332</c:v>
                </c:pt>
                <c:pt idx="6">
                  <c:v>25.843334649267984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5-0846-94AC-957AD89C2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0602992"/>
        <c:axId val="380614640"/>
      </c:barChart>
      <c:catAx>
        <c:axId val="38060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"/>
                <a:ea typeface="+mn-ea"/>
                <a:cs typeface="+mn-cs"/>
              </a:defRPr>
            </a:pPr>
            <a:endParaRPr lang="es-AR"/>
          </a:p>
        </c:txPr>
        <c:crossAx val="380614640"/>
        <c:crosses val="autoZero"/>
        <c:auto val="0"/>
        <c:lblAlgn val="ctr"/>
        <c:lblOffset val="100"/>
        <c:noMultiLvlLbl val="0"/>
      </c:catAx>
      <c:valAx>
        <c:axId val="380614640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"/>
                    <a:ea typeface="+mn-ea"/>
                    <a:cs typeface="+mn-cs"/>
                  </a:defRPr>
                </a:pPr>
                <a:r>
                  <a:rPr lang="es-MX"/>
                  <a:t>mg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"/>
                <a:ea typeface="+mn-ea"/>
                <a:cs typeface="+mn-cs"/>
              </a:defRPr>
            </a:pPr>
            <a:endParaRPr lang="es-AR"/>
          </a:p>
        </c:txPr>
        <c:crossAx val="38060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accent1"/>
                </a:solidFill>
                <a:latin typeface=""/>
                <a:ea typeface="+mn-ea"/>
                <a:cs typeface="+mn-cs"/>
              </a:defRPr>
            </a:pPr>
            <a:r>
              <a:rPr lang="en-US" sz="1800">
                <a:solidFill>
                  <a:srgbClr val="BBB92C"/>
                </a:solidFill>
                <a:latin typeface=""/>
              </a:rPr>
              <a:t>Reactor 2 - Período 48-70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804478692965473"/>
          <c:y val="7.3136264430868569E-2"/>
          <c:w val="0.50699663325111388"/>
          <c:h val="0.76760233137053291"/>
        </c:manualLayout>
      </c:layout>
      <c:doughnutChart>
        <c:varyColors val="1"/>
        <c:ser>
          <c:idx val="0"/>
          <c:order val="0"/>
          <c:tx>
            <c:v>Reactor 2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'[1]bal 1 235-264'!$E$195:$I$195</c:f>
              <c:strCache>
                <c:ptCount val="5"/>
                <c:pt idx="0">
                  <c:v>H2S ACUM</c:v>
                </c:pt>
                <c:pt idx="1">
                  <c:v>Bioreactor Cambio Stotal de SO4 </c:v>
                </c:pt>
                <c:pt idx="2">
                  <c:v>Bioreactor Cambio Stotal de S= </c:v>
                </c:pt>
                <c:pt idx="3">
                  <c:v>DIG ACUM Stotal de SO4 </c:v>
                </c:pt>
                <c:pt idx="4">
                  <c:v>DIG ACUM Stotal de S= </c:v>
                </c:pt>
              </c:strCache>
            </c:strRef>
          </c:cat>
          <c:val>
            <c:numRef>
              <c:f>'Bal S 48-70'!$F$163:$J$163</c:f>
              <c:numCache>
                <c:formatCode>0</c:formatCode>
                <c:ptCount val="5"/>
                <c:pt idx="0" formatCode="0.00">
                  <c:v>242.90294889281125</c:v>
                </c:pt>
                <c:pt idx="1">
                  <c:v>9.8989585847678825</c:v>
                </c:pt>
                <c:pt idx="2">
                  <c:v>-2.4966000000000008</c:v>
                </c:pt>
                <c:pt idx="3">
                  <c:v>134.82063460697105</c:v>
                </c:pt>
                <c:pt idx="4" formatCode="0.0">
                  <c:v>253.10066426666677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F-324A-936A-94281CA1E7C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</c:plotArea>
    <c:legend>
      <c:legendPos val="b"/>
      <c:layout>
        <c:manualLayout>
          <c:xMode val="edge"/>
          <c:yMode val="edge"/>
          <c:x val="0.18315562605053295"/>
          <c:y val="0.96164797677134528"/>
          <c:w val="7.2185585647470433E-3"/>
          <c:h val="3.83520232286546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  <c:extLst/>
  </c:chart>
  <c:spPr>
    <a:ln>
      <a:solidFill>
        <a:srgbClr val="BBB92C"/>
      </a:solidFill>
    </a:ln>
  </c:spPr>
  <c:txPr>
    <a:bodyPr/>
    <a:lstStyle/>
    <a:p>
      <a:pPr>
        <a:defRPr sz="1000" b="1">
          <a:solidFill>
            <a:schemeClr val="tx1"/>
          </a:solidFill>
          <a:latin typeface=""/>
        </a:defRPr>
      </a:pPr>
      <a:endParaRPr lang="es-AR"/>
    </a:p>
  </c:txPr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accent1"/>
                </a:solidFill>
                <a:latin typeface=""/>
                <a:ea typeface="+mn-ea"/>
                <a:cs typeface="+mn-cs"/>
              </a:defRPr>
            </a:pPr>
            <a:r>
              <a:rPr lang="en-US" sz="1800">
                <a:solidFill>
                  <a:schemeClr val="accent1"/>
                </a:solidFill>
                <a:latin typeface=""/>
              </a:rPr>
              <a:t>Reactor 1 - Período 48-70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accent1"/>
              </a:solidFill>
              <a:latin typeface="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24804478692965473"/>
          <c:y val="7.3136264430868569E-2"/>
          <c:w val="0.50699663325111388"/>
          <c:h val="0.76760233137053291"/>
        </c:manualLayout>
      </c:layout>
      <c:doughnutChart>
        <c:varyColors val="1"/>
        <c:ser>
          <c:idx val="0"/>
          <c:order val="0"/>
          <c:tx>
            <c:v>Reactor 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2B-E641-B87C-BA7FE0500E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2B-E641-B87C-BA7FE0500E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2B-E641-B87C-BA7FE0500E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72B-E641-B87C-BA7FE0500E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72B-E641-B87C-BA7FE0500E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'[1]bal 1 235-264'!$E$195:$I$195</c:f>
              <c:strCache>
                <c:ptCount val="5"/>
                <c:pt idx="0">
                  <c:v>H2S ACUM</c:v>
                </c:pt>
                <c:pt idx="1">
                  <c:v>Bioreactor Cambio Stotal de SO4 </c:v>
                </c:pt>
                <c:pt idx="2">
                  <c:v>Bioreactor Cambio Stotal de S= </c:v>
                </c:pt>
                <c:pt idx="3">
                  <c:v>DIG ACUM Stotal de SO4 </c:v>
                </c:pt>
                <c:pt idx="4">
                  <c:v>DIG ACUM Stotal de S= </c:v>
                </c:pt>
              </c:strCache>
            </c:strRef>
          </c:cat>
          <c:val>
            <c:numRef>
              <c:f>'Bal S 48-70'!$F$162:$J$162</c:f>
              <c:numCache>
                <c:formatCode>0</c:formatCode>
                <c:ptCount val="5"/>
                <c:pt idx="0" formatCode="0.00">
                  <c:v>41.295521150914645</c:v>
                </c:pt>
                <c:pt idx="1">
                  <c:v>15.694935920942875</c:v>
                </c:pt>
                <c:pt idx="2">
                  <c:v>-102.12120000000002</c:v>
                </c:pt>
                <c:pt idx="3">
                  <c:v>49.841646783287374</c:v>
                </c:pt>
                <c:pt idx="4" formatCode="0.00">
                  <c:v>63.642878666666689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2B-E641-B87C-BA7FE0500ED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15562605053295"/>
          <c:y val="0.96164797677134528"/>
          <c:w val="7.2185585647470433E-3"/>
          <c:h val="3.83520232286546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4372C4"/>
      </a:solidFill>
      <a:round/>
    </a:ln>
    <a:effectLst/>
  </c:spPr>
  <c:txPr>
    <a:bodyPr/>
    <a:lstStyle/>
    <a:p>
      <a:pPr>
        <a:defRPr sz="1000" b="1">
          <a:solidFill>
            <a:schemeClr val="tx1"/>
          </a:solidFill>
          <a:latin typeface=""/>
        </a:defRPr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0860B2"/>
                </a:solidFill>
                <a:latin typeface=""/>
                <a:ea typeface="+mn-ea"/>
                <a:cs typeface="+mn-cs"/>
              </a:defRPr>
            </a:pPr>
            <a:r>
              <a:rPr lang="es-AR" sz="1800">
                <a:solidFill>
                  <a:srgbClr val="0860B2"/>
                </a:solidFill>
              </a:rPr>
              <a:t>balS 48-70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0860B2"/>
              </a:solidFill>
              <a:latin typeface="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R1 por día</c:v>
          </c:tx>
          <c:spPr>
            <a:solidFill>
              <a:srgbClr val="4372C4"/>
            </a:solidFill>
            <a:ln>
              <a:noFill/>
            </a:ln>
            <a:effectLst/>
          </c:spPr>
          <c:invertIfNegative val="0"/>
          <c:cat>
            <c:strRef>
              <c:f>'[1]bal 1 235-264'!$D$195:$J$195</c:f>
              <c:strCache>
                <c:ptCount val="7"/>
                <c:pt idx="0">
                  <c:v>S total input ACUM </c:v>
                </c:pt>
                <c:pt idx="1">
                  <c:v>H2S ACUM</c:v>
                </c:pt>
                <c:pt idx="2">
                  <c:v>Bioreactor Cambio Stotal de SO4 </c:v>
                </c:pt>
                <c:pt idx="3">
                  <c:v>Bioreactor Cambio Stotal de S= </c:v>
                </c:pt>
                <c:pt idx="4">
                  <c:v>DIG ACUM Stotal de SO4 </c:v>
                </c:pt>
                <c:pt idx="5">
                  <c:v>DIG ACUM Stotal de S= </c:v>
                </c:pt>
                <c:pt idx="6">
                  <c:v>S total output ACUM </c:v>
                </c:pt>
              </c:strCache>
            </c:strRef>
          </c:cat>
          <c:val>
            <c:numRef>
              <c:f>'Bal S 48-70'!$E$167:$K$167</c:f>
              <c:numCache>
                <c:formatCode>0.00</c:formatCode>
                <c:ptCount val="7"/>
                <c:pt idx="0" formatCode="0.0">
                  <c:v>29.982268470343381</c:v>
                </c:pt>
                <c:pt idx="1">
                  <c:v>1.7954574413441151</c:v>
                </c:pt>
                <c:pt idx="2">
                  <c:v>0.68238851830186409</c:v>
                </c:pt>
                <c:pt idx="3">
                  <c:v>-4.4400521739130445</c:v>
                </c:pt>
                <c:pt idx="4">
                  <c:v>2.1670281210124944</c:v>
                </c:pt>
                <c:pt idx="5">
                  <c:v>2.7670816811594214</c:v>
                </c:pt>
                <c:pt idx="6">
                  <c:v>2.9719035879048503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E-3945-9F63-6B77D32381B8}"/>
            </c:ext>
          </c:extLst>
        </c:ser>
        <c:ser>
          <c:idx val="1"/>
          <c:order val="1"/>
          <c:tx>
            <c:v>R2 por día</c:v>
          </c:tx>
          <c:spPr>
            <a:solidFill>
              <a:srgbClr val="BBB92C"/>
            </a:solidFill>
            <a:ln>
              <a:noFill/>
            </a:ln>
            <a:effectLst/>
          </c:spPr>
          <c:invertIfNegative val="0"/>
          <c:cat>
            <c:strRef>
              <c:f>'[1]bal 1 235-264'!$D$195:$J$195</c:f>
              <c:strCache>
                <c:ptCount val="7"/>
                <c:pt idx="0">
                  <c:v>S total input ACUM </c:v>
                </c:pt>
                <c:pt idx="1">
                  <c:v>H2S ACUM</c:v>
                </c:pt>
                <c:pt idx="2">
                  <c:v>Bioreactor Cambio Stotal de SO4 </c:v>
                </c:pt>
                <c:pt idx="3">
                  <c:v>Bioreactor Cambio Stotal de S= </c:v>
                </c:pt>
                <c:pt idx="4">
                  <c:v>DIG ACUM Stotal de SO4 </c:v>
                </c:pt>
                <c:pt idx="5">
                  <c:v>DIG ACUM Stotal de S= </c:v>
                </c:pt>
                <c:pt idx="6">
                  <c:v>S total output ACUM </c:v>
                </c:pt>
              </c:strCache>
            </c:strRef>
          </c:cat>
          <c:val>
            <c:numRef>
              <c:f>'Bal S 24-47'!$E$173:$K$173</c:f>
              <c:numCache>
                <c:formatCode>0.00</c:formatCode>
                <c:ptCount val="7"/>
                <c:pt idx="0" formatCode="0.0">
                  <c:v>29.982268470343381</c:v>
                </c:pt>
                <c:pt idx="1">
                  <c:v>9.2569451562165685</c:v>
                </c:pt>
                <c:pt idx="2" formatCode="0">
                  <c:v>2.3670955740347686E-3</c:v>
                </c:pt>
                <c:pt idx="3" formatCode="0">
                  <c:v>0</c:v>
                </c:pt>
                <c:pt idx="4" formatCode="0">
                  <c:v>5.4245146141440488</c:v>
                </c:pt>
                <c:pt idx="5" formatCode="0.0">
                  <c:v>11.159507783333332</c:v>
                </c:pt>
                <c:pt idx="6">
                  <c:v>25.843334649267984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CE-3945-9F63-6B77D3238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0602992"/>
        <c:axId val="380614640"/>
      </c:barChart>
      <c:catAx>
        <c:axId val="38060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"/>
                <a:ea typeface="+mn-ea"/>
                <a:cs typeface="+mn-cs"/>
              </a:defRPr>
            </a:pPr>
            <a:endParaRPr lang="es-AR"/>
          </a:p>
        </c:txPr>
        <c:crossAx val="380614640"/>
        <c:crosses val="autoZero"/>
        <c:auto val="0"/>
        <c:lblAlgn val="ctr"/>
        <c:lblOffset val="100"/>
        <c:noMultiLvlLbl val="0"/>
      </c:catAx>
      <c:valAx>
        <c:axId val="380614640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"/>
                    <a:ea typeface="+mn-ea"/>
                    <a:cs typeface="+mn-cs"/>
                  </a:defRPr>
                </a:pPr>
                <a:r>
                  <a:rPr lang="es-MX"/>
                  <a:t>mg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"/>
                <a:ea typeface="+mn-ea"/>
                <a:cs typeface="+mn-cs"/>
              </a:defRPr>
            </a:pPr>
            <a:endParaRPr lang="es-AR"/>
          </a:p>
        </c:txPr>
        <c:crossAx val="38060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Arial Nova" panose="020F0502020204030204" pitchFamily="34" charset="0"/>
                <a:ea typeface="+mn-ea"/>
                <a:cs typeface="Arial Nova" panose="020F0502020204030204" pitchFamily="34" charset="0"/>
              </a:defRPr>
            </a:pPr>
            <a:r>
              <a:rPr lang="es-MX" b="1"/>
              <a:t>Sulfuros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 Nova" panose="020F0502020204030204" pitchFamily="34" charset="0"/>
              <a:ea typeface="+mn-ea"/>
              <a:cs typeface="Arial Nova" panose="020F0502020204030204" pitchFamily="34" charset="0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R1</c:v>
          </c:tx>
          <c:spPr>
            <a:ln w="19050" cap="rnd">
              <a:solidFill>
                <a:srgbClr val="43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372C4"/>
              </a:solidFill>
              <a:ln w="9525">
                <a:solidFill>
                  <a:srgbClr val="4372C4"/>
                </a:solidFill>
              </a:ln>
              <a:effectLst/>
            </c:spPr>
          </c:marker>
          <c:xVal>
            <c:numRef>
              <c:f>RESUMEN!$W$4:$W$24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13</c:v>
                </c:pt>
                <c:pt idx="3">
                  <c:v>21</c:v>
                </c:pt>
                <c:pt idx="4">
                  <c:v>27</c:v>
                </c:pt>
                <c:pt idx="5">
                  <c:v>34</c:v>
                </c:pt>
                <c:pt idx="6">
                  <c:v>41</c:v>
                </c:pt>
                <c:pt idx="7">
                  <c:v>48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69</c:v>
                </c:pt>
                <c:pt idx="12">
                  <c:v>76</c:v>
                </c:pt>
                <c:pt idx="13">
                  <c:v>78</c:v>
                </c:pt>
                <c:pt idx="14">
                  <c:v>84</c:v>
                </c:pt>
                <c:pt idx="15">
                  <c:v>92</c:v>
                </c:pt>
                <c:pt idx="16">
                  <c:v>97</c:v>
                </c:pt>
                <c:pt idx="17">
                  <c:v>100</c:v>
                </c:pt>
                <c:pt idx="18">
                  <c:v>104</c:v>
                </c:pt>
                <c:pt idx="19">
                  <c:v>106</c:v>
                </c:pt>
                <c:pt idx="20">
                  <c:v>112</c:v>
                </c:pt>
              </c:numCache>
            </c:numRef>
          </c:xVal>
          <c:yVal>
            <c:numRef>
              <c:f>RESUMEN!$X$4:$X$24</c:f>
              <c:numCache>
                <c:formatCode>General</c:formatCode>
                <c:ptCount val="21"/>
                <c:pt idx="0">
                  <c:v>78.172133333333306</c:v>
                </c:pt>
                <c:pt idx="1">
                  <c:v>77.732133333333394</c:v>
                </c:pt>
                <c:pt idx="2">
                  <c:v>81.803333333333342</c:v>
                </c:pt>
                <c:pt idx="3">
                  <c:v>80.542933333333295</c:v>
                </c:pt>
                <c:pt idx="4">
                  <c:v>64.270133333333348</c:v>
                </c:pt>
                <c:pt idx="5">
                  <c:v>64.976933333333335</c:v>
                </c:pt>
                <c:pt idx="6">
                  <c:v>64.908533333333338</c:v>
                </c:pt>
                <c:pt idx="7">
                  <c:v>65.068133333333336</c:v>
                </c:pt>
                <c:pt idx="8">
                  <c:v>38.164133333333339</c:v>
                </c:pt>
                <c:pt idx="9">
                  <c:v>29.887733333333337</c:v>
                </c:pt>
                <c:pt idx="10">
                  <c:v>26.741333333333337</c:v>
                </c:pt>
                <c:pt idx="11">
                  <c:v>31.027733333333337</c:v>
                </c:pt>
                <c:pt idx="12">
                  <c:v>15.820133333333334</c:v>
                </c:pt>
                <c:pt idx="13">
                  <c:v>8.7749333333333333</c:v>
                </c:pt>
                <c:pt idx="14">
                  <c:v>8.4101333333333343</c:v>
                </c:pt>
                <c:pt idx="15">
                  <c:v>6.1529333333333343</c:v>
                </c:pt>
                <c:pt idx="16">
                  <c:v>48.059333333333335</c:v>
                </c:pt>
                <c:pt idx="17">
                  <c:v>84.174533333333343</c:v>
                </c:pt>
                <c:pt idx="18">
                  <c:v>92.308133333333004</c:v>
                </c:pt>
                <c:pt idx="19">
                  <c:v>100.53253333333301</c:v>
                </c:pt>
                <c:pt idx="20">
                  <c:v>134.35733333333337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6-7E4E-AECE-69B99DEEEE33}"/>
            </c:ext>
          </c:extLst>
        </c:ser>
        <c:ser>
          <c:idx val="1"/>
          <c:order val="1"/>
          <c:tx>
            <c:v>R2</c:v>
          </c:tx>
          <c:spPr>
            <a:ln w="19050" cap="rnd">
              <a:solidFill>
                <a:srgbClr val="BBB92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BB92C"/>
              </a:solidFill>
              <a:ln w="9525">
                <a:solidFill>
                  <a:srgbClr val="BBB92C"/>
                </a:solidFill>
              </a:ln>
              <a:effectLst/>
            </c:spPr>
          </c:marker>
          <c:xVal>
            <c:numRef>
              <c:f>RESUMEN!$W$4:$W$24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13</c:v>
                </c:pt>
                <c:pt idx="3">
                  <c:v>21</c:v>
                </c:pt>
                <c:pt idx="4">
                  <c:v>27</c:v>
                </c:pt>
                <c:pt idx="5">
                  <c:v>34</c:v>
                </c:pt>
                <c:pt idx="6">
                  <c:v>41</c:v>
                </c:pt>
                <c:pt idx="7">
                  <c:v>48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69</c:v>
                </c:pt>
                <c:pt idx="12">
                  <c:v>76</c:v>
                </c:pt>
                <c:pt idx="13">
                  <c:v>78</c:v>
                </c:pt>
                <c:pt idx="14">
                  <c:v>84</c:v>
                </c:pt>
                <c:pt idx="15">
                  <c:v>92</c:v>
                </c:pt>
                <c:pt idx="16">
                  <c:v>97</c:v>
                </c:pt>
                <c:pt idx="17">
                  <c:v>100</c:v>
                </c:pt>
                <c:pt idx="18">
                  <c:v>104</c:v>
                </c:pt>
                <c:pt idx="19">
                  <c:v>106</c:v>
                </c:pt>
                <c:pt idx="20">
                  <c:v>112</c:v>
                </c:pt>
              </c:numCache>
            </c:numRef>
          </c:xVal>
          <c:yVal>
            <c:numRef>
              <c:f>RESUMEN!$Y$4:$Y$24</c:f>
              <c:numCache>
                <c:formatCode>General</c:formatCode>
                <c:ptCount val="21"/>
                <c:pt idx="0">
                  <c:v>122.86613333333335</c:v>
                </c:pt>
                <c:pt idx="1">
                  <c:v>130.20773333333335</c:v>
                </c:pt>
                <c:pt idx="2">
                  <c:v>143.68253333333334</c:v>
                </c:pt>
                <c:pt idx="3">
                  <c:v>137.70893333333333</c:v>
                </c:pt>
                <c:pt idx="4">
                  <c:v>138.94013333333334</c:v>
                </c:pt>
                <c:pt idx="5">
                  <c:v>137.36693333333335</c:v>
                </c:pt>
                <c:pt idx="6">
                  <c:v>132.32813333333337</c:v>
                </c:pt>
                <c:pt idx="7">
                  <c:v>134.17493333333334</c:v>
                </c:pt>
                <c:pt idx="8">
                  <c:v>139.55573333333336</c:v>
                </c:pt>
                <c:pt idx="9">
                  <c:v>135.61133333333333</c:v>
                </c:pt>
                <c:pt idx="10">
                  <c:v>132.30533333333335</c:v>
                </c:pt>
                <c:pt idx="11">
                  <c:v>130.20773333333335</c:v>
                </c:pt>
                <c:pt idx="12">
                  <c:v>136.47773333333336</c:v>
                </c:pt>
                <c:pt idx="13">
                  <c:v>138.07373333333337</c:v>
                </c:pt>
                <c:pt idx="14">
                  <c:v>135.97613333333334</c:v>
                </c:pt>
                <c:pt idx="15">
                  <c:v>139.51013333333333</c:v>
                </c:pt>
                <c:pt idx="16">
                  <c:v>156.08573333333334</c:v>
                </c:pt>
                <c:pt idx="17">
                  <c:v>134.06093333333334</c:v>
                </c:pt>
                <c:pt idx="18">
                  <c:v>142.72493333333335</c:v>
                </c:pt>
                <c:pt idx="19">
                  <c:v>139.51013333333333</c:v>
                </c:pt>
                <c:pt idx="20">
                  <c:v>156.08573333333334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6-7E4E-AECE-69B99DEEEE33}"/>
            </c:ext>
          </c:extLst>
        </c:ser>
        <c:ser>
          <c:idx val="2"/>
          <c:order val="2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23</c:v>
              </c:pt>
              <c:pt idx="1">
                <c:v>23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4500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006-7E4E-AECE-69B99DEEEE33}"/>
            </c:ext>
          </c:extLst>
        </c:ser>
        <c:ser>
          <c:idx val="3"/>
          <c:order val="3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48</c:v>
              </c:pt>
              <c:pt idx="1">
                <c:v>48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4500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006-7E4E-AECE-69B99DEEEE33}"/>
            </c:ext>
          </c:extLst>
        </c:ser>
        <c:ser>
          <c:idx val="4"/>
          <c:order val="4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71</c:v>
              </c:pt>
              <c:pt idx="1">
                <c:v>71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4500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9006-7E4E-AECE-69B99DEEEE33}"/>
            </c:ext>
          </c:extLst>
        </c:ser>
        <c:ser>
          <c:idx val="5"/>
          <c:order val="5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93</c:v>
              </c:pt>
              <c:pt idx="1">
                <c:v>93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4500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9006-7E4E-AECE-69B99DEEEE33}"/>
            </c:ext>
          </c:extLst>
        </c:ser>
        <c:ser>
          <c:idx val="6"/>
          <c:order val="6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4500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9006-7E4E-AECE-69B99DEEE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741823"/>
        <c:axId val="1215972831"/>
      </c:scatterChart>
      <c:valAx>
        <c:axId val="119674182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ova" panose="020F0502020204030204" pitchFamily="34" charset="0"/>
                    <a:ea typeface="+mn-ea"/>
                    <a:cs typeface="Arial Nova" panose="020F0502020204030204" pitchFamily="34" charset="0"/>
                  </a:defRPr>
                </a:pPr>
                <a:r>
                  <a:rPr lang="es-MX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Nova" panose="020F0502020204030204" pitchFamily="34" charset="0"/>
                  <a:ea typeface="+mn-ea"/>
                  <a:cs typeface="Arial Nova" panose="020F050202020403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 Nova" panose="020F0502020204030204" pitchFamily="34" charset="0"/>
                <a:ea typeface="+mn-ea"/>
                <a:cs typeface="Arial Nova" panose="020F0502020204030204" pitchFamily="34" charset="0"/>
              </a:defRPr>
            </a:pPr>
            <a:endParaRPr lang="es-AR"/>
          </a:p>
        </c:txPr>
        <c:crossAx val="1215972831"/>
        <c:crosses val="autoZero"/>
        <c:crossBetween val="midCat"/>
      </c:valAx>
      <c:valAx>
        <c:axId val="121597283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ova" panose="020F0502020204030204" pitchFamily="34" charset="0"/>
                    <a:ea typeface="+mn-ea"/>
                    <a:cs typeface="Arial Nova" panose="020F0502020204030204" pitchFamily="34" charset="0"/>
                  </a:defRPr>
                </a:pPr>
                <a:r>
                  <a:rPr lang="es-MX"/>
                  <a:t>S-2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Nova" panose="020F0502020204030204" pitchFamily="34" charset="0"/>
                  <a:ea typeface="+mn-ea"/>
                  <a:cs typeface="Arial Nova" panose="020F050202020403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 Nova" panose="020F0502020204030204" pitchFamily="34" charset="0"/>
                <a:ea typeface="+mn-ea"/>
                <a:cs typeface="Arial Nova" panose="020F0502020204030204" pitchFamily="34" charset="0"/>
              </a:defRPr>
            </a:pPr>
            <a:endParaRPr lang="es-AR"/>
          </a:p>
        </c:txPr>
        <c:crossAx val="119674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 Nova" panose="020F0502020204030204" pitchFamily="34" charset="0"/>
              <a:ea typeface="+mn-ea"/>
              <a:cs typeface="Arial Nova" panose="020F0502020204030204" pitchFamily="34" charset="0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 Nova" panose="020F0502020204030204" pitchFamily="34" charset="0"/>
          <a:cs typeface="Arial Nova" panose="020F050202020403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accent1"/>
                </a:solidFill>
                <a:latin typeface=""/>
                <a:ea typeface="+mn-ea"/>
                <a:cs typeface="+mn-cs"/>
              </a:defRPr>
            </a:pPr>
            <a:r>
              <a:rPr lang="en-US" sz="1800">
                <a:solidFill>
                  <a:srgbClr val="BBB92C"/>
                </a:solidFill>
                <a:latin typeface=""/>
              </a:rPr>
              <a:t>Reactor 2 - Período 71-92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804478692965473"/>
          <c:y val="7.3136264430868569E-2"/>
          <c:w val="0.50699663325111388"/>
          <c:h val="0.76760233137053291"/>
        </c:manualLayout>
      </c:layout>
      <c:doughnutChart>
        <c:varyColors val="1"/>
        <c:ser>
          <c:idx val="0"/>
          <c:order val="0"/>
          <c:tx>
            <c:v>Reactor 2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'[1]bal 1 235-264'!$E$195:$I$195</c:f>
              <c:strCache>
                <c:ptCount val="5"/>
                <c:pt idx="0">
                  <c:v>H2S ACUM</c:v>
                </c:pt>
                <c:pt idx="1">
                  <c:v>Bioreactor Cambio Stotal de SO4 </c:v>
                </c:pt>
                <c:pt idx="2">
                  <c:v>Bioreactor Cambio Stotal de S= </c:v>
                </c:pt>
                <c:pt idx="3">
                  <c:v>DIG ACUM Stotal de SO4 </c:v>
                </c:pt>
                <c:pt idx="4">
                  <c:v>DIG ACUM Stotal de S= </c:v>
                </c:pt>
              </c:strCache>
            </c:strRef>
          </c:cat>
          <c:val>
            <c:numRef>
              <c:f>'Bal S 71-92'!$F$158:$J$158</c:f>
              <c:numCache>
                <c:formatCode>0</c:formatCode>
                <c:ptCount val="5"/>
                <c:pt idx="0" formatCode="0.00">
                  <c:v>197.45913972240047</c:v>
                </c:pt>
                <c:pt idx="1">
                  <c:v>-4.8369911266768781</c:v>
                </c:pt>
                <c:pt idx="2">
                  <c:v>13.201199999999972</c:v>
                </c:pt>
                <c:pt idx="3">
                  <c:v>126.06930616983851</c:v>
                </c:pt>
                <c:pt idx="4" formatCode="0.0">
                  <c:v>246.13011213333337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B-CB47-9F03-9DA1CEC253C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</c:plotArea>
    <c:legend>
      <c:legendPos val="b"/>
      <c:layout>
        <c:manualLayout>
          <c:xMode val="edge"/>
          <c:yMode val="edge"/>
          <c:x val="0.18315562605053295"/>
          <c:y val="0.96164797677134528"/>
          <c:w val="7.2185585647470433E-3"/>
          <c:h val="3.83520232286546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  <c:extLst/>
  </c:chart>
  <c:spPr>
    <a:ln>
      <a:solidFill>
        <a:srgbClr val="BBB92C"/>
      </a:solidFill>
    </a:ln>
  </c:spPr>
  <c:txPr>
    <a:bodyPr/>
    <a:lstStyle/>
    <a:p>
      <a:pPr>
        <a:defRPr sz="1000" b="1">
          <a:solidFill>
            <a:schemeClr val="tx1"/>
          </a:solidFill>
          <a:latin typeface=""/>
        </a:defRPr>
      </a:pPr>
      <a:endParaRPr lang="es-AR"/>
    </a:p>
  </c:txPr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accent1"/>
                </a:solidFill>
                <a:latin typeface=""/>
                <a:ea typeface="+mn-ea"/>
                <a:cs typeface="+mn-cs"/>
              </a:defRPr>
            </a:pPr>
            <a:r>
              <a:rPr lang="en-US" sz="1800">
                <a:solidFill>
                  <a:schemeClr val="accent1"/>
                </a:solidFill>
                <a:latin typeface="Arial Nova" panose="020F0502020204030204" pitchFamily="34" charset="0"/>
                <a:cs typeface="Arial Nova" panose="020F0502020204030204" pitchFamily="34" charset="0"/>
              </a:rPr>
              <a:t>Reactor </a:t>
            </a:r>
            <a:r>
              <a:rPr lang="en-US" sz="1800">
                <a:solidFill>
                  <a:schemeClr val="accent1"/>
                </a:solidFill>
                <a:latin typeface=""/>
              </a:rPr>
              <a:t>1 - Período 71-92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accent1"/>
              </a:solidFill>
              <a:latin typeface="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24804478692965473"/>
          <c:y val="7.3136264430868569E-2"/>
          <c:w val="0.50699663325111388"/>
          <c:h val="0.76760233137053291"/>
        </c:manualLayout>
      </c:layout>
      <c:doughnutChart>
        <c:varyColors val="1"/>
        <c:ser>
          <c:idx val="0"/>
          <c:order val="0"/>
          <c:tx>
            <c:v>Reactor 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D7-5445-BC88-12FBA86EB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D7-5445-BC88-12FBA86EB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D7-5445-BC88-12FBA86EB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7D7-5445-BC88-12FBA86EB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7D7-5445-BC88-12FBA86EB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'[1]bal 1 235-264'!$E$195:$I$195</c:f>
              <c:strCache>
                <c:ptCount val="5"/>
                <c:pt idx="0">
                  <c:v>H2S ACUM</c:v>
                </c:pt>
                <c:pt idx="1">
                  <c:v>Bioreactor Cambio Stotal de SO4 </c:v>
                </c:pt>
                <c:pt idx="2">
                  <c:v>Bioreactor Cambio Stotal de S= </c:v>
                </c:pt>
                <c:pt idx="3">
                  <c:v>DIG ACUM Stotal de SO4 </c:v>
                </c:pt>
                <c:pt idx="4">
                  <c:v>DIG ACUM Stotal de S= </c:v>
                </c:pt>
              </c:strCache>
            </c:strRef>
          </c:cat>
          <c:val>
            <c:numRef>
              <c:f>'Bal S 71-92'!$F$157:$J$157</c:f>
              <c:numCache>
                <c:formatCode>0</c:formatCode>
                <c:ptCount val="5"/>
                <c:pt idx="0" formatCode="0.00">
                  <c:v>8.0893850288831857</c:v>
                </c:pt>
                <c:pt idx="1">
                  <c:v>-11.566368003307204</c:v>
                </c:pt>
                <c:pt idx="2">
                  <c:v>-48.427200000000013</c:v>
                </c:pt>
                <c:pt idx="3">
                  <c:v>36.669990029963586</c:v>
                </c:pt>
                <c:pt idx="4" formatCode="0.00">
                  <c:v>21.61826133333334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7D7-5445-BC88-12FBA86EB1C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15562605053295"/>
          <c:y val="0.96164797677134528"/>
          <c:w val="7.2185585647470433E-3"/>
          <c:h val="3.83520232286546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4372C4"/>
      </a:solidFill>
      <a:round/>
    </a:ln>
    <a:effectLst/>
  </c:spPr>
  <c:txPr>
    <a:bodyPr/>
    <a:lstStyle/>
    <a:p>
      <a:pPr>
        <a:defRPr sz="1000" b="1">
          <a:solidFill>
            <a:schemeClr val="tx1"/>
          </a:solidFill>
          <a:latin typeface=""/>
        </a:defRPr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0860B2"/>
                </a:solidFill>
                <a:latin typeface=""/>
                <a:ea typeface="+mn-ea"/>
                <a:cs typeface="+mn-cs"/>
              </a:defRPr>
            </a:pPr>
            <a:r>
              <a:rPr lang="es-AR" sz="1800">
                <a:solidFill>
                  <a:srgbClr val="0860B2"/>
                </a:solidFill>
              </a:rPr>
              <a:t>balS 71-92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0860B2"/>
              </a:solidFill>
              <a:latin typeface="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R1 por día</c:v>
          </c:tx>
          <c:spPr>
            <a:solidFill>
              <a:srgbClr val="4372C4"/>
            </a:solidFill>
            <a:ln>
              <a:noFill/>
            </a:ln>
            <a:effectLst/>
          </c:spPr>
          <c:invertIfNegative val="0"/>
          <c:cat>
            <c:strRef>
              <c:f>'[1]bal 1 235-264'!$D$195:$J$195</c:f>
              <c:strCache>
                <c:ptCount val="7"/>
                <c:pt idx="0">
                  <c:v>S total input ACUM </c:v>
                </c:pt>
                <c:pt idx="1">
                  <c:v>H2S ACUM</c:v>
                </c:pt>
                <c:pt idx="2">
                  <c:v>Bioreactor Cambio Stotal de SO4 </c:v>
                </c:pt>
                <c:pt idx="3">
                  <c:v>Bioreactor Cambio Stotal de S= </c:v>
                </c:pt>
                <c:pt idx="4">
                  <c:v>DIG ACUM Stotal de SO4 </c:v>
                </c:pt>
                <c:pt idx="5">
                  <c:v>DIG ACUM Stotal de S= </c:v>
                </c:pt>
                <c:pt idx="6">
                  <c:v>S total output ACUM </c:v>
                </c:pt>
              </c:strCache>
            </c:strRef>
          </c:cat>
          <c:val>
            <c:numRef>
              <c:f>'Bal S 71-92'!$E$162:$K$162</c:f>
              <c:numCache>
                <c:formatCode>0.00</c:formatCode>
                <c:ptCount val="7"/>
                <c:pt idx="0" formatCode="0.0">
                  <c:v>29.982268470343385</c:v>
                </c:pt>
                <c:pt idx="1">
                  <c:v>0.36769931949469026</c:v>
                </c:pt>
                <c:pt idx="2" formatCode="0">
                  <c:v>-0.52574400015032741</c:v>
                </c:pt>
                <c:pt idx="3" formatCode="0">
                  <c:v>-2.2012363636363643</c:v>
                </c:pt>
                <c:pt idx="4" formatCode="0">
                  <c:v>1.6668177286347083</c:v>
                </c:pt>
                <c:pt idx="5">
                  <c:v>0.98264824242424276</c:v>
                </c:pt>
                <c:pt idx="6">
                  <c:v>0.29018492676694974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C-A544-9C0B-71F19C5A3A0B}"/>
            </c:ext>
          </c:extLst>
        </c:ser>
        <c:ser>
          <c:idx val="1"/>
          <c:order val="1"/>
          <c:tx>
            <c:v>R2 por día</c:v>
          </c:tx>
          <c:spPr>
            <a:solidFill>
              <a:srgbClr val="BBB92C"/>
            </a:solidFill>
            <a:ln>
              <a:noFill/>
            </a:ln>
            <a:effectLst/>
          </c:spPr>
          <c:invertIfNegative val="0"/>
          <c:cat>
            <c:strRef>
              <c:f>'[1]bal 1 235-264'!$D$195:$J$195</c:f>
              <c:strCache>
                <c:ptCount val="7"/>
                <c:pt idx="0">
                  <c:v>S total input ACUM </c:v>
                </c:pt>
                <c:pt idx="1">
                  <c:v>H2S ACUM</c:v>
                </c:pt>
                <c:pt idx="2">
                  <c:v>Bioreactor Cambio Stotal de SO4 </c:v>
                </c:pt>
                <c:pt idx="3">
                  <c:v>Bioreactor Cambio Stotal de S= </c:v>
                </c:pt>
                <c:pt idx="4">
                  <c:v>DIG ACUM Stotal de SO4 </c:v>
                </c:pt>
                <c:pt idx="5">
                  <c:v>DIG ACUM Stotal de S= </c:v>
                </c:pt>
                <c:pt idx="6">
                  <c:v>S total output ACUM </c:v>
                </c:pt>
              </c:strCache>
            </c:strRef>
          </c:cat>
          <c:val>
            <c:numRef>
              <c:f>'Bal S 71-92'!$E$163:$K$163</c:f>
              <c:numCache>
                <c:formatCode>0.00</c:formatCode>
                <c:ptCount val="7"/>
                <c:pt idx="0" formatCode="0.0">
                  <c:v>29.982268470343385</c:v>
                </c:pt>
                <c:pt idx="1">
                  <c:v>8.9754154419272947</c:v>
                </c:pt>
                <c:pt idx="2" formatCode="0">
                  <c:v>-0.21986323303076719</c:v>
                </c:pt>
                <c:pt idx="3" formatCode="0">
                  <c:v>0.60005454545454417</c:v>
                </c:pt>
                <c:pt idx="4" formatCode="0">
                  <c:v>5.7304230077199323</c:v>
                </c:pt>
                <c:pt idx="5" formatCode="0.0">
                  <c:v>11.187732369696972</c:v>
                </c:pt>
                <c:pt idx="6">
                  <c:v>26.273762131767974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4C-A544-9C0B-71F19C5A3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0602992"/>
        <c:axId val="380614640"/>
      </c:barChart>
      <c:catAx>
        <c:axId val="38060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"/>
                <a:ea typeface="+mn-ea"/>
                <a:cs typeface="+mn-cs"/>
              </a:defRPr>
            </a:pPr>
            <a:endParaRPr lang="es-AR"/>
          </a:p>
        </c:txPr>
        <c:crossAx val="380614640"/>
        <c:crosses val="autoZero"/>
        <c:auto val="0"/>
        <c:lblAlgn val="ctr"/>
        <c:lblOffset val="100"/>
        <c:noMultiLvlLbl val="0"/>
      </c:catAx>
      <c:valAx>
        <c:axId val="380614640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"/>
                    <a:ea typeface="+mn-ea"/>
                    <a:cs typeface="+mn-cs"/>
                  </a:defRPr>
                </a:pPr>
                <a:r>
                  <a:rPr lang="es-MX"/>
                  <a:t>mg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"/>
                <a:ea typeface="+mn-ea"/>
                <a:cs typeface="+mn-cs"/>
              </a:defRPr>
            </a:pPr>
            <a:endParaRPr lang="es-AR"/>
          </a:p>
        </c:txPr>
        <c:crossAx val="38060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accent1"/>
                </a:solidFill>
                <a:latin typeface=""/>
                <a:ea typeface="+mn-ea"/>
                <a:cs typeface="+mn-cs"/>
              </a:defRPr>
            </a:pPr>
            <a:r>
              <a:rPr lang="en-US" sz="1800">
                <a:solidFill>
                  <a:srgbClr val="BBB92C"/>
                </a:solidFill>
                <a:latin typeface=""/>
              </a:rPr>
              <a:t>Reactor 2 - Período 93-113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804478692965473"/>
          <c:y val="7.3136264430868569E-2"/>
          <c:w val="0.50699663325111388"/>
          <c:h val="0.76760233137053291"/>
        </c:manualLayout>
      </c:layout>
      <c:doughnutChart>
        <c:varyColors val="1"/>
        <c:ser>
          <c:idx val="0"/>
          <c:order val="0"/>
          <c:tx>
            <c:v>Reactor 2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'[1]bal 1 235-264'!$E$195:$I$195</c:f>
              <c:strCache>
                <c:ptCount val="5"/>
                <c:pt idx="0">
                  <c:v>H2S ACUM</c:v>
                </c:pt>
                <c:pt idx="1">
                  <c:v>Bioreactor Cambio Stotal de SO4 </c:v>
                </c:pt>
                <c:pt idx="2">
                  <c:v>Bioreactor Cambio Stotal de S= </c:v>
                </c:pt>
                <c:pt idx="3">
                  <c:v>DIG ACUM Stotal de SO4 </c:v>
                </c:pt>
                <c:pt idx="4">
                  <c:v>DIG ACUM Stotal de S= </c:v>
                </c:pt>
              </c:strCache>
            </c:strRef>
          </c:cat>
          <c:val>
            <c:numRef>
              <c:f>'Bal S 93-113'!$F$158:$J$158</c:f>
              <c:numCache>
                <c:formatCode>0</c:formatCode>
                <c:ptCount val="5"/>
                <c:pt idx="0" formatCode="0.00">
                  <c:v>10.861334297538814</c:v>
                </c:pt>
                <c:pt idx="1">
                  <c:v>5.9746461655115421E-2</c:v>
                </c:pt>
                <c:pt idx="2">
                  <c:v>1.1839714285714291</c:v>
                </c:pt>
                <c:pt idx="3">
                  <c:v>5.6816193009316196</c:v>
                </c:pt>
                <c:pt idx="4" formatCode="0.0">
                  <c:v>11.953169676190479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C-7A4A-BF4B-2EB2263E8CD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</c:plotArea>
    <c:legend>
      <c:legendPos val="b"/>
      <c:layout>
        <c:manualLayout>
          <c:xMode val="edge"/>
          <c:yMode val="edge"/>
          <c:x val="0.18315562605053295"/>
          <c:y val="0.96164797677134528"/>
          <c:w val="7.2185585647470433E-3"/>
          <c:h val="3.83520232286546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  <c:extLst/>
  </c:chart>
  <c:spPr>
    <a:ln>
      <a:solidFill>
        <a:srgbClr val="BBB92C"/>
      </a:solidFill>
    </a:ln>
  </c:spPr>
  <c:txPr>
    <a:bodyPr/>
    <a:lstStyle/>
    <a:p>
      <a:pPr>
        <a:defRPr sz="1000" b="1">
          <a:solidFill>
            <a:schemeClr val="tx1"/>
          </a:solidFill>
          <a:latin typeface=""/>
        </a:defRPr>
      </a:pPr>
      <a:endParaRPr lang="es-AR"/>
    </a:p>
  </c:txPr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accent1"/>
                </a:solidFill>
                <a:latin typeface=""/>
                <a:ea typeface="+mn-ea"/>
                <a:cs typeface="+mn-cs"/>
              </a:defRPr>
            </a:pPr>
            <a:r>
              <a:rPr lang="en-US" sz="1800">
                <a:solidFill>
                  <a:schemeClr val="accent1"/>
                </a:solidFill>
                <a:latin typeface="Arial Nova" panose="020F0502020204030204" pitchFamily="34" charset="0"/>
                <a:cs typeface="Arial Nova" panose="020F0502020204030204" pitchFamily="34" charset="0"/>
              </a:rPr>
              <a:t>Reactor </a:t>
            </a:r>
            <a:r>
              <a:rPr lang="en-US" sz="1800">
                <a:solidFill>
                  <a:schemeClr val="accent1"/>
                </a:solidFill>
                <a:latin typeface=""/>
              </a:rPr>
              <a:t>1 - Período 93-113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accent1"/>
              </a:solidFill>
              <a:latin typeface="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24804478692965473"/>
          <c:y val="7.3136264430868569E-2"/>
          <c:w val="0.50699663325111388"/>
          <c:h val="0.76760233137053291"/>
        </c:manualLayout>
      </c:layout>
      <c:doughnutChart>
        <c:varyColors val="1"/>
        <c:ser>
          <c:idx val="0"/>
          <c:order val="0"/>
          <c:tx>
            <c:v>Reactor 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6B-7748-9B2E-4474E7474E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6B-7748-9B2E-4474E7474E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6B-7748-9B2E-4474E7474E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6B-7748-9B2E-4474E7474E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36B-7748-9B2E-4474E7474E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'[1]bal 1 235-264'!$E$195:$I$195</c:f>
              <c:strCache>
                <c:ptCount val="5"/>
                <c:pt idx="0">
                  <c:v>H2S ACUM</c:v>
                </c:pt>
                <c:pt idx="1">
                  <c:v>Bioreactor Cambio Stotal de SO4 </c:v>
                </c:pt>
                <c:pt idx="2">
                  <c:v>Bioreactor Cambio Stotal de S= </c:v>
                </c:pt>
                <c:pt idx="3">
                  <c:v>DIG ACUM Stotal de SO4 </c:v>
                </c:pt>
                <c:pt idx="4">
                  <c:v>DIG ACUM Stotal de S= </c:v>
                </c:pt>
              </c:strCache>
            </c:strRef>
          </c:cat>
          <c:val>
            <c:numRef>
              <c:f>'Bal S 93-113'!$F$157:$J$157</c:f>
              <c:numCache>
                <c:formatCode>0</c:formatCode>
                <c:ptCount val="5"/>
                <c:pt idx="0" formatCode="0.00">
                  <c:v>6.796041456537683</c:v>
                </c:pt>
                <c:pt idx="1">
                  <c:v>-0.14315445220752293</c:v>
                </c:pt>
                <c:pt idx="2">
                  <c:v>15.321600000000005</c:v>
                </c:pt>
                <c:pt idx="3">
                  <c:v>1.4097492286570246</c:v>
                </c:pt>
                <c:pt idx="4" formatCode="0.00">
                  <c:v>6.9614743428571346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6B-7748-9B2E-4474E7474EF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15562605053295"/>
          <c:y val="0.96164797677134528"/>
          <c:w val="7.2185585647470433E-3"/>
          <c:h val="3.83520232286546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4372C4"/>
      </a:solidFill>
      <a:round/>
    </a:ln>
    <a:effectLst/>
  </c:spPr>
  <c:txPr>
    <a:bodyPr/>
    <a:lstStyle/>
    <a:p>
      <a:pPr>
        <a:defRPr sz="1000" b="1">
          <a:solidFill>
            <a:schemeClr val="tx1"/>
          </a:solidFill>
          <a:latin typeface=""/>
        </a:defRPr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0860B2"/>
                </a:solidFill>
                <a:latin typeface=""/>
                <a:ea typeface="+mn-ea"/>
                <a:cs typeface="+mn-cs"/>
              </a:defRPr>
            </a:pPr>
            <a:r>
              <a:rPr lang="es-AR" sz="1800">
                <a:solidFill>
                  <a:srgbClr val="0860B2"/>
                </a:solidFill>
              </a:rPr>
              <a:t>balS 91-113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0860B2"/>
              </a:solidFill>
              <a:latin typeface="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R1 por día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'[1]bal 1 235-264'!$D$195:$J$195</c:f>
              <c:strCache>
                <c:ptCount val="7"/>
                <c:pt idx="0">
                  <c:v>S total input ACUM </c:v>
                </c:pt>
                <c:pt idx="1">
                  <c:v>H2S ACUM</c:v>
                </c:pt>
                <c:pt idx="2">
                  <c:v>Bioreactor Cambio Stotal de SO4 </c:v>
                </c:pt>
                <c:pt idx="3">
                  <c:v>Bioreactor Cambio Stotal de S= </c:v>
                </c:pt>
                <c:pt idx="4">
                  <c:v>DIG ACUM Stotal de SO4 </c:v>
                </c:pt>
                <c:pt idx="5">
                  <c:v>DIG ACUM Stotal de S= </c:v>
                </c:pt>
                <c:pt idx="6">
                  <c:v>S total output ACUM </c:v>
                </c:pt>
              </c:strCache>
            </c:strRef>
          </c:cat>
          <c:val>
            <c:numRef>
              <c:f>'Bal S 93-113'!$E$157:$K$157</c:f>
              <c:numCache>
                <c:formatCode>0.00</c:formatCode>
                <c:ptCount val="7"/>
                <c:pt idx="0" formatCode="0.0">
                  <c:v>29.982268470343385</c:v>
                </c:pt>
                <c:pt idx="1">
                  <c:v>6.796041456537683</c:v>
                </c:pt>
                <c:pt idx="2" formatCode="0">
                  <c:v>-0.14315445220752293</c:v>
                </c:pt>
                <c:pt idx="3" formatCode="0">
                  <c:v>15.321600000000005</c:v>
                </c:pt>
                <c:pt idx="4" formatCode="0">
                  <c:v>1.4097492286570246</c:v>
                </c:pt>
                <c:pt idx="5">
                  <c:v>6.9614743428571346</c:v>
                </c:pt>
                <c:pt idx="6">
                  <c:v>30.345710575844322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A-5D45-9F51-900B5B3F19E7}"/>
            </c:ext>
          </c:extLst>
        </c:ser>
        <c:ser>
          <c:idx val="1"/>
          <c:order val="1"/>
          <c:tx>
            <c:v>R2 por día</c:v>
          </c:tx>
          <c:spPr>
            <a:solidFill>
              <a:srgbClr val="BBB92C"/>
            </a:solidFill>
            <a:ln>
              <a:noFill/>
            </a:ln>
            <a:effectLst/>
          </c:spPr>
          <c:invertIfNegative val="0"/>
          <c:cat>
            <c:strRef>
              <c:f>'[1]bal 1 235-264'!$D$195:$J$195</c:f>
              <c:strCache>
                <c:ptCount val="7"/>
                <c:pt idx="0">
                  <c:v>S total input ACUM </c:v>
                </c:pt>
                <c:pt idx="1">
                  <c:v>H2S ACUM</c:v>
                </c:pt>
                <c:pt idx="2">
                  <c:v>Bioreactor Cambio Stotal de SO4 </c:v>
                </c:pt>
                <c:pt idx="3">
                  <c:v>Bioreactor Cambio Stotal de S= </c:v>
                </c:pt>
                <c:pt idx="4">
                  <c:v>DIG ACUM Stotal de SO4 </c:v>
                </c:pt>
                <c:pt idx="5">
                  <c:v>DIG ACUM Stotal de S= </c:v>
                </c:pt>
                <c:pt idx="6">
                  <c:v>S total output ACUM </c:v>
                </c:pt>
              </c:strCache>
            </c:strRef>
          </c:cat>
          <c:val>
            <c:numRef>
              <c:f>'Bal S 93-113'!$E$158:$K$158</c:f>
              <c:numCache>
                <c:formatCode>0.00</c:formatCode>
                <c:ptCount val="7"/>
                <c:pt idx="0" formatCode="0.0">
                  <c:v>29.982268470343385</c:v>
                </c:pt>
                <c:pt idx="1">
                  <c:v>10.861334297538814</c:v>
                </c:pt>
                <c:pt idx="2" formatCode="0">
                  <c:v>5.9746461655115421E-2</c:v>
                </c:pt>
                <c:pt idx="3" formatCode="0">
                  <c:v>1.1839714285714291</c:v>
                </c:pt>
                <c:pt idx="4" formatCode="0">
                  <c:v>5.6816193009316196</c:v>
                </c:pt>
                <c:pt idx="5" formatCode="0.0">
                  <c:v>11.953169676190479</c:v>
                </c:pt>
                <c:pt idx="6">
                  <c:v>29.739841164887459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EA-5D45-9F51-900B5B3F1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0602992"/>
        <c:axId val="380614640"/>
      </c:barChart>
      <c:catAx>
        <c:axId val="38060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"/>
                <a:ea typeface="+mn-ea"/>
                <a:cs typeface="+mn-cs"/>
              </a:defRPr>
            </a:pPr>
            <a:endParaRPr lang="es-AR"/>
          </a:p>
        </c:txPr>
        <c:crossAx val="380614640"/>
        <c:crosses val="autoZero"/>
        <c:auto val="0"/>
        <c:lblAlgn val="ctr"/>
        <c:lblOffset val="100"/>
        <c:noMultiLvlLbl val="0"/>
      </c:catAx>
      <c:valAx>
        <c:axId val="380614640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"/>
                    <a:ea typeface="+mn-ea"/>
                    <a:cs typeface="+mn-cs"/>
                  </a:defRPr>
                </a:pPr>
                <a:r>
                  <a:rPr lang="es-MX"/>
                  <a:t>mg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"/>
                <a:ea typeface="+mn-ea"/>
                <a:cs typeface="+mn-cs"/>
              </a:defRPr>
            </a:pPr>
            <a:endParaRPr lang="es-AR"/>
          </a:p>
        </c:txPr>
        <c:crossAx val="38060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Arial Nova" panose="020F0502020204030204" pitchFamily="34" charset="0"/>
                <a:ea typeface="+mn-ea"/>
                <a:cs typeface="Arial Nova" panose="020F0502020204030204" pitchFamily="34" charset="0"/>
              </a:defRPr>
            </a:pPr>
            <a:r>
              <a:rPr lang="es-MX" b="1"/>
              <a:t>Volumen de biogás diario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 Nova" panose="020F0502020204030204" pitchFamily="34" charset="0"/>
              <a:ea typeface="+mn-ea"/>
              <a:cs typeface="Arial Nova" panose="020F0502020204030204" pitchFamily="34" charset="0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R1</c:v>
          </c:tx>
          <c:spPr>
            <a:ln w="19050" cap="rnd">
              <a:solidFill>
                <a:srgbClr val="43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372C4"/>
              </a:solidFill>
              <a:ln w="9525">
                <a:solidFill>
                  <a:srgbClr val="4372C4"/>
                </a:solidFill>
              </a:ln>
              <a:effectLst/>
            </c:spPr>
          </c:marker>
          <c:xVal>
            <c:numRef>
              <c:f>RESUMEN!$C$3:$C$63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69</c:v>
                </c:pt>
                <c:pt idx="38">
                  <c:v>70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79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90</c:v>
                </c:pt>
                <c:pt idx="48">
                  <c:v>91</c:v>
                </c:pt>
                <c:pt idx="49">
                  <c:v>92</c:v>
                </c:pt>
                <c:pt idx="50">
                  <c:v>93</c:v>
                </c:pt>
                <c:pt idx="51">
                  <c:v>97</c:v>
                </c:pt>
                <c:pt idx="52">
                  <c:v>98</c:v>
                </c:pt>
                <c:pt idx="53">
                  <c:v>99</c:v>
                </c:pt>
                <c:pt idx="54">
                  <c:v>100</c:v>
                </c:pt>
                <c:pt idx="55">
                  <c:v>104</c:v>
                </c:pt>
                <c:pt idx="56">
                  <c:v>105</c:v>
                </c:pt>
                <c:pt idx="57">
                  <c:v>106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</c:numCache>
            </c:numRef>
          </c:xVal>
          <c:yVal>
            <c:numRef>
              <c:f>RESUMEN!$D$3:$D$63</c:f>
              <c:numCache>
                <c:formatCode>General</c:formatCode>
                <c:ptCount val="61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3.3</c:v>
                </c:pt>
                <c:pt idx="4">
                  <c:v>3.2</c:v>
                </c:pt>
                <c:pt idx="5">
                  <c:v>3.3</c:v>
                </c:pt>
                <c:pt idx="6">
                  <c:v>3.4</c:v>
                </c:pt>
                <c:pt idx="7">
                  <c:v>3.5</c:v>
                </c:pt>
                <c:pt idx="8">
                  <c:v>3.4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3.4</c:v>
                </c:pt>
                <c:pt idx="13">
                  <c:v>3.2</c:v>
                </c:pt>
                <c:pt idx="14">
                  <c:v>2.8</c:v>
                </c:pt>
                <c:pt idx="15">
                  <c:v>2.7</c:v>
                </c:pt>
                <c:pt idx="16">
                  <c:v>2.8</c:v>
                </c:pt>
                <c:pt idx="17">
                  <c:v>2.8</c:v>
                </c:pt>
                <c:pt idx="18">
                  <c:v>2.7</c:v>
                </c:pt>
                <c:pt idx="19">
                  <c:v>2.9</c:v>
                </c:pt>
                <c:pt idx="20">
                  <c:v>2.8</c:v>
                </c:pt>
                <c:pt idx="21">
                  <c:v>2.8</c:v>
                </c:pt>
                <c:pt idx="22">
                  <c:v>2.6</c:v>
                </c:pt>
                <c:pt idx="23">
                  <c:v>2.8</c:v>
                </c:pt>
                <c:pt idx="24">
                  <c:v>2.5</c:v>
                </c:pt>
                <c:pt idx="25">
                  <c:v>2.6</c:v>
                </c:pt>
                <c:pt idx="26">
                  <c:v>2.6</c:v>
                </c:pt>
                <c:pt idx="27">
                  <c:v>2.8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2.9</c:v>
                </c:pt>
                <c:pt idx="35">
                  <c:v>3</c:v>
                </c:pt>
                <c:pt idx="36">
                  <c:v>2.8</c:v>
                </c:pt>
                <c:pt idx="37">
                  <c:v>2.5</c:v>
                </c:pt>
                <c:pt idx="38">
                  <c:v>2.9</c:v>
                </c:pt>
                <c:pt idx="39">
                  <c:v>2.6</c:v>
                </c:pt>
                <c:pt idx="40">
                  <c:v>2.6</c:v>
                </c:pt>
                <c:pt idx="41">
                  <c:v>3.1</c:v>
                </c:pt>
                <c:pt idx="42">
                  <c:v>3.1</c:v>
                </c:pt>
                <c:pt idx="43">
                  <c:v>2.9</c:v>
                </c:pt>
                <c:pt idx="44">
                  <c:v>2.7</c:v>
                </c:pt>
                <c:pt idx="45">
                  <c:v>2.7</c:v>
                </c:pt>
                <c:pt idx="46">
                  <c:v>2.5</c:v>
                </c:pt>
                <c:pt idx="47">
                  <c:v>2.4</c:v>
                </c:pt>
                <c:pt idx="48">
                  <c:v>2.4</c:v>
                </c:pt>
                <c:pt idx="49">
                  <c:v>2.5</c:v>
                </c:pt>
                <c:pt idx="50">
                  <c:v>2.6</c:v>
                </c:pt>
                <c:pt idx="51">
                  <c:v>3</c:v>
                </c:pt>
                <c:pt idx="52">
                  <c:v>2.6</c:v>
                </c:pt>
                <c:pt idx="53">
                  <c:v>2.5</c:v>
                </c:pt>
                <c:pt idx="54">
                  <c:v>2.4</c:v>
                </c:pt>
                <c:pt idx="55">
                  <c:v>2.8</c:v>
                </c:pt>
                <c:pt idx="56">
                  <c:v>3</c:v>
                </c:pt>
                <c:pt idx="57">
                  <c:v>3.2</c:v>
                </c:pt>
                <c:pt idx="58">
                  <c:v>3.2</c:v>
                </c:pt>
                <c:pt idx="59">
                  <c:v>3.2</c:v>
                </c:pt>
                <c:pt idx="60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29-C240-A560-4AD6AF1115FD}"/>
            </c:ext>
          </c:extLst>
        </c:ser>
        <c:ser>
          <c:idx val="1"/>
          <c:order val="1"/>
          <c:tx>
            <c:v>R2</c:v>
          </c:tx>
          <c:spPr>
            <a:ln w="19050" cap="rnd">
              <a:solidFill>
                <a:srgbClr val="BBB92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BB92C"/>
              </a:solidFill>
              <a:ln w="9525">
                <a:solidFill>
                  <a:srgbClr val="BBB92C"/>
                </a:solidFill>
              </a:ln>
              <a:effectLst/>
            </c:spPr>
          </c:marker>
          <c:xVal>
            <c:numRef>
              <c:f>RESUMEN!$C$3:$C$63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69</c:v>
                </c:pt>
                <c:pt idx="38">
                  <c:v>70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79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90</c:v>
                </c:pt>
                <c:pt idx="48">
                  <c:v>91</c:v>
                </c:pt>
                <c:pt idx="49">
                  <c:v>92</c:v>
                </c:pt>
                <c:pt idx="50">
                  <c:v>93</c:v>
                </c:pt>
                <c:pt idx="51">
                  <c:v>97</c:v>
                </c:pt>
                <c:pt idx="52">
                  <c:v>98</c:v>
                </c:pt>
                <c:pt idx="53">
                  <c:v>99</c:v>
                </c:pt>
                <c:pt idx="54">
                  <c:v>100</c:v>
                </c:pt>
                <c:pt idx="55">
                  <c:v>104</c:v>
                </c:pt>
                <c:pt idx="56">
                  <c:v>105</c:v>
                </c:pt>
                <c:pt idx="57">
                  <c:v>106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</c:numCache>
            </c:numRef>
          </c:xVal>
          <c:yVal>
            <c:numRef>
              <c:f>RESUMEN!$L$3:$L$63</c:f>
              <c:numCache>
                <c:formatCode>General</c:formatCode>
                <c:ptCount val="61"/>
                <c:pt idx="0">
                  <c:v>3.4</c:v>
                </c:pt>
                <c:pt idx="1">
                  <c:v>3.4</c:v>
                </c:pt>
                <c:pt idx="2">
                  <c:v>3.2</c:v>
                </c:pt>
                <c:pt idx="3">
                  <c:v>3.2</c:v>
                </c:pt>
                <c:pt idx="4">
                  <c:v>3.1</c:v>
                </c:pt>
                <c:pt idx="5">
                  <c:v>3.2</c:v>
                </c:pt>
                <c:pt idx="6">
                  <c:v>3.3</c:v>
                </c:pt>
                <c:pt idx="7">
                  <c:v>3.2</c:v>
                </c:pt>
                <c:pt idx="8">
                  <c:v>3.3</c:v>
                </c:pt>
                <c:pt idx="9">
                  <c:v>3.3</c:v>
                </c:pt>
                <c:pt idx="10">
                  <c:v>3.2</c:v>
                </c:pt>
                <c:pt idx="11">
                  <c:v>3</c:v>
                </c:pt>
                <c:pt idx="12">
                  <c:v>3</c:v>
                </c:pt>
                <c:pt idx="13">
                  <c:v>2.9</c:v>
                </c:pt>
                <c:pt idx="14">
                  <c:v>2.9</c:v>
                </c:pt>
                <c:pt idx="15">
                  <c:v>2.7</c:v>
                </c:pt>
                <c:pt idx="16">
                  <c:v>2.6</c:v>
                </c:pt>
                <c:pt idx="17">
                  <c:v>2.6</c:v>
                </c:pt>
                <c:pt idx="18">
                  <c:v>2.7</c:v>
                </c:pt>
                <c:pt idx="19">
                  <c:v>2.6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2.6</c:v>
                </c:pt>
                <c:pt idx="25">
                  <c:v>2.6</c:v>
                </c:pt>
                <c:pt idx="26">
                  <c:v>2.8</c:v>
                </c:pt>
                <c:pt idx="27">
                  <c:v>2.8</c:v>
                </c:pt>
                <c:pt idx="28">
                  <c:v>2.7</c:v>
                </c:pt>
                <c:pt idx="29">
                  <c:v>3.3</c:v>
                </c:pt>
                <c:pt idx="30">
                  <c:v>3.1</c:v>
                </c:pt>
                <c:pt idx="31">
                  <c:v>3.1</c:v>
                </c:pt>
                <c:pt idx="32">
                  <c:v>3</c:v>
                </c:pt>
                <c:pt idx="33">
                  <c:v>2.8</c:v>
                </c:pt>
                <c:pt idx="34">
                  <c:v>3</c:v>
                </c:pt>
                <c:pt idx="35">
                  <c:v>3</c:v>
                </c:pt>
                <c:pt idx="36">
                  <c:v>2.6</c:v>
                </c:pt>
                <c:pt idx="37">
                  <c:v>2.6</c:v>
                </c:pt>
                <c:pt idx="38">
                  <c:v>2.6</c:v>
                </c:pt>
                <c:pt idx="39">
                  <c:v>2.7</c:v>
                </c:pt>
                <c:pt idx="40">
                  <c:v>3.1</c:v>
                </c:pt>
                <c:pt idx="41">
                  <c:v>3</c:v>
                </c:pt>
                <c:pt idx="42">
                  <c:v>2.8</c:v>
                </c:pt>
                <c:pt idx="43">
                  <c:v>2.7</c:v>
                </c:pt>
                <c:pt idx="44">
                  <c:v>2.8</c:v>
                </c:pt>
                <c:pt idx="45">
                  <c:v>2.9</c:v>
                </c:pt>
                <c:pt idx="46">
                  <c:v>2.7</c:v>
                </c:pt>
                <c:pt idx="47">
                  <c:v>2.6</c:v>
                </c:pt>
                <c:pt idx="48">
                  <c:v>2.5</c:v>
                </c:pt>
                <c:pt idx="49">
                  <c:v>2.6</c:v>
                </c:pt>
                <c:pt idx="50">
                  <c:v>2.5</c:v>
                </c:pt>
                <c:pt idx="51">
                  <c:v>3.2</c:v>
                </c:pt>
                <c:pt idx="52">
                  <c:v>3.1</c:v>
                </c:pt>
                <c:pt idx="53">
                  <c:v>3.3</c:v>
                </c:pt>
                <c:pt idx="54">
                  <c:v>3.1</c:v>
                </c:pt>
                <c:pt idx="55">
                  <c:v>3.1</c:v>
                </c:pt>
                <c:pt idx="56">
                  <c:v>3</c:v>
                </c:pt>
                <c:pt idx="57">
                  <c:v>2.8</c:v>
                </c:pt>
                <c:pt idx="58">
                  <c:v>3</c:v>
                </c:pt>
                <c:pt idx="59">
                  <c:v>3</c:v>
                </c:pt>
                <c:pt idx="60">
                  <c:v>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29-C240-A560-4AD6AF1115FD}"/>
            </c:ext>
          </c:extLst>
        </c:ser>
        <c:ser>
          <c:idx val="2"/>
          <c:order val="2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23</c:v>
              </c:pt>
              <c:pt idx="1">
                <c:v>23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4500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629-C240-A560-4AD6AF1115FD}"/>
            </c:ext>
          </c:extLst>
        </c:ser>
        <c:ser>
          <c:idx val="3"/>
          <c:order val="3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48</c:v>
              </c:pt>
              <c:pt idx="1">
                <c:v>48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4500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629-C240-A560-4AD6AF1115FD}"/>
            </c:ext>
          </c:extLst>
        </c:ser>
        <c:ser>
          <c:idx val="4"/>
          <c:order val="4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71</c:v>
              </c:pt>
              <c:pt idx="1">
                <c:v>71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4500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C629-C240-A560-4AD6AF1115FD}"/>
            </c:ext>
          </c:extLst>
        </c:ser>
        <c:ser>
          <c:idx val="5"/>
          <c:order val="5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93</c:v>
              </c:pt>
              <c:pt idx="1">
                <c:v>93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4500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C629-C240-A560-4AD6AF1115FD}"/>
            </c:ext>
          </c:extLst>
        </c:ser>
        <c:ser>
          <c:idx val="6"/>
          <c:order val="6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4500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6-C629-C240-A560-4AD6AF111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741823"/>
        <c:axId val="1215972831"/>
      </c:scatterChart>
      <c:valAx>
        <c:axId val="119674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ova" panose="020F0502020204030204" pitchFamily="34" charset="0"/>
                    <a:ea typeface="+mn-ea"/>
                    <a:cs typeface="Arial Nova" panose="020F0502020204030204" pitchFamily="34" charset="0"/>
                  </a:defRPr>
                </a:pPr>
                <a:r>
                  <a:rPr lang="es-MX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Nova" panose="020F0502020204030204" pitchFamily="34" charset="0"/>
                  <a:ea typeface="+mn-ea"/>
                  <a:cs typeface="Arial Nova" panose="020F050202020403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 Nova" panose="020F0502020204030204" pitchFamily="34" charset="0"/>
                <a:ea typeface="+mn-ea"/>
                <a:cs typeface="Arial Nova" panose="020F0502020204030204" pitchFamily="34" charset="0"/>
              </a:defRPr>
            </a:pPr>
            <a:endParaRPr lang="es-AR"/>
          </a:p>
        </c:txPr>
        <c:crossAx val="1215972831"/>
        <c:crosses val="autoZero"/>
        <c:crossBetween val="midCat"/>
      </c:valAx>
      <c:valAx>
        <c:axId val="1215972831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ova" panose="020F0502020204030204" pitchFamily="34" charset="0"/>
                    <a:ea typeface="+mn-ea"/>
                    <a:cs typeface="Arial Nova" panose="020F0502020204030204" pitchFamily="34" charset="0"/>
                  </a:defRPr>
                </a:pPr>
                <a:r>
                  <a:rPr lang="es-MX"/>
                  <a:t>Volumen de biogás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Nova" panose="020F0502020204030204" pitchFamily="34" charset="0"/>
                  <a:ea typeface="+mn-ea"/>
                  <a:cs typeface="Arial Nova" panose="020F050202020403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 Nova" panose="020F0502020204030204" pitchFamily="34" charset="0"/>
                <a:ea typeface="+mn-ea"/>
                <a:cs typeface="Arial Nova" panose="020F0502020204030204" pitchFamily="34" charset="0"/>
              </a:defRPr>
            </a:pPr>
            <a:endParaRPr lang="es-AR"/>
          </a:p>
        </c:txPr>
        <c:crossAx val="119674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 Nova" panose="020F0502020204030204" pitchFamily="34" charset="0"/>
              <a:ea typeface="+mn-ea"/>
              <a:cs typeface="Arial Nova" panose="020F0502020204030204" pitchFamily="34" charset="0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 Nova" panose="020F0502020204030204" pitchFamily="34" charset="0"/>
          <a:cs typeface="Arial Nova" panose="020F050202020403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00" b="1"/>
            </a:pPr>
            <a:r>
              <a:rPr lang="es-MX" sz="1200" b="1"/>
              <a:t>Sulfuros y sulfhídrico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4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23</c:v>
              </c:pt>
              <c:pt idx="1">
                <c:v>23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4500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52-8C86-5143-B1AC-3F80F127227A}"/>
            </c:ext>
          </c:extLst>
        </c:ser>
        <c:ser>
          <c:idx val="3"/>
          <c:order val="5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48</c:v>
              </c:pt>
              <c:pt idx="1">
                <c:v>48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4500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54-8C86-5143-B1AC-3F80F127227A}"/>
            </c:ext>
          </c:extLst>
        </c:ser>
        <c:ser>
          <c:idx val="4"/>
          <c:order val="6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71</c:v>
              </c:pt>
              <c:pt idx="1">
                <c:v>71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4500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56-8C86-5143-B1AC-3F80F127227A}"/>
            </c:ext>
          </c:extLst>
        </c:ser>
        <c:ser>
          <c:idx val="5"/>
          <c:order val="7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93</c:v>
              </c:pt>
              <c:pt idx="1">
                <c:v>93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4500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58-8C86-5143-B1AC-3F80F127227A}"/>
            </c:ext>
          </c:extLst>
        </c:ser>
        <c:ser>
          <c:idx val="6"/>
          <c:order val="8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4500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5A-8C86-5143-B1AC-3F80F1272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741823"/>
        <c:axId val="1215972831"/>
      </c:scatterChart>
      <c:scatterChart>
        <c:scatterStyle val="smoothMarker"/>
        <c:varyColors val="0"/>
        <c:ser>
          <c:idx val="7"/>
          <c:order val="0"/>
          <c:tx>
            <c:v>R1</c:v>
          </c:tx>
          <c:spPr>
            <a:ln>
              <a:solidFill>
                <a:srgbClr val="4372C4"/>
              </a:solidFill>
            </a:ln>
          </c:spPr>
          <c:marker>
            <c:symbol val="triangle"/>
            <c:size val="6"/>
            <c:spPr>
              <a:solidFill>
                <a:srgbClr val="4372C4"/>
              </a:solidFill>
              <a:ln>
                <a:solidFill>
                  <a:srgbClr val="4372C4"/>
                </a:solidFill>
              </a:ln>
            </c:spPr>
          </c:marker>
          <c:xVal>
            <c:numRef>
              <c:f>RESUMEN!$C$3:$C$63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69</c:v>
                </c:pt>
                <c:pt idx="38">
                  <c:v>70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79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90</c:v>
                </c:pt>
                <c:pt idx="48">
                  <c:v>91</c:v>
                </c:pt>
                <c:pt idx="49">
                  <c:v>92</c:v>
                </c:pt>
                <c:pt idx="50">
                  <c:v>93</c:v>
                </c:pt>
                <c:pt idx="51">
                  <c:v>97</c:v>
                </c:pt>
                <c:pt idx="52">
                  <c:v>98</c:v>
                </c:pt>
                <c:pt idx="53">
                  <c:v>99</c:v>
                </c:pt>
                <c:pt idx="54">
                  <c:v>100</c:v>
                </c:pt>
                <c:pt idx="55">
                  <c:v>104</c:v>
                </c:pt>
                <c:pt idx="56">
                  <c:v>105</c:v>
                </c:pt>
                <c:pt idx="57">
                  <c:v>106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</c:numCache>
            </c:numRef>
          </c:xVal>
          <c:yVal>
            <c:numRef>
              <c:f>RESUMEN!$H$3:$H$63</c:f>
              <c:numCache>
                <c:formatCode>0.00</c:formatCode>
                <c:ptCount val="61"/>
                <c:pt idx="0">
                  <c:v>3623</c:v>
                </c:pt>
                <c:pt idx="1">
                  <c:v>2937</c:v>
                </c:pt>
                <c:pt idx="2">
                  <c:v>2325</c:v>
                </c:pt>
                <c:pt idx="3">
                  <c:v>2215</c:v>
                </c:pt>
                <c:pt idx="4">
                  <c:v>1955</c:v>
                </c:pt>
                <c:pt idx="5">
                  <c:v>1963</c:v>
                </c:pt>
                <c:pt idx="6">
                  <c:v>1916</c:v>
                </c:pt>
                <c:pt idx="7">
                  <c:v>2079</c:v>
                </c:pt>
                <c:pt idx="8">
                  <c:v>1847</c:v>
                </c:pt>
                <c:pt idx="9">
                  <c:v>1973</c:v>
                </c:pt>
                <c:pt idx="10">
                  <c:v>1944</c:v>
                </c:pt>
                <c:pt idx="11">
                  <c:v>1910</c:v>
                </c:pt>
                <c:pt idx="12">
                  <c:v>1637</c:v>
                </c:pt>
                <c:pt idx="13">
                  <c:v>1104</c:v>
                </c:pt>
                <c:pt idx="14">
                  <c:v>924</c:v>
                </c:pt>
                <c:pt idx="15" formatCode="General">
                  <c:v>1276</c:v>
                </c:pt>
                <c:pt idx="16" formatCode="General">
                  <c:v>857</c:v>
                </c:pt>
                <c:pt idx="17" formatCode="General">
                  <c:v>716</c:v>
                </c:pt>
                <c:pt idx="18" formatCode="General">
                  <c:v>1199</c:v>
                </c:pt>
                <c:pt idx="19" formatCode="General">
                  <c:v>865</c:v>
                </c:pt>
                <c:pt idx="20" formatCode="General">
                  <c:v>862</c:v>
                </c:pt>
                <c:pt idx="21" formatCode="General">
                  <c:v>1190</c:v>
                </c:pt>
                <c:pt idx="22" formatCode="General">
                  <c:v>1149</c:v>
                </c:pt>
                <c:pt idx="23" formatCode="General">
                  <c:v>840</c:v>
                </c:pt>
                <c:pt idx="24" formatCode="General">
                  <c:v>771</c:v>
                </c:pt>
                <c:pt idx="25" formatCode="General">
                  <c:v>994</c:v>
                </c:pt>
                <c:pt idx="26" formatCode="General">
                  <c:v>959</c:v>
                </c:pt>
                <c:pt idx="27" formatCode="General">
                  <c:v>894</c:v>
                </c:pt>
                <c:pt idx="28" formatCode="General">
                  <c:v>811</c:v>
                </c:pt>
                <c:pt idx="29" formatCode="General">
                  <c:v>855</c:v>
                </c:pt>
                <c:pt idx="30" formatCode="General">
                  <c:v>481</c:v>
                </c:pt>
                <c:pt idx="31" formatCode="General">
                  <c:v>384</c:v>
                </c:pt>
                <c:pt idx="32" formatCode="General">
                  <c:v>353</c:v>
                </c:pt>
                <c:pt idx="33" formatCode="General">
                  <c:v>374</c:v>
                </c:pt>
                <c:pt idx="34" formatCode="General">
                  <c:v>383</c:v>
                </c:pt>
                <c:pt idx="35" formatCode="General">
                  <c:v>295</c:v>
                </c:pt>
                <c:pt idx="36" formatCode="General">
                  <c:v>265</c:v>
                </c:pt>
                <c:pt idx="37" formatCode="General">
                  <c:v>338</c:v>
                </c:pt>
                <c:pt idx="38" formatCode="General">
                  <c:v>291</c:v>
                </c:pt>
                <c:pt idx="39" formatCode="General">
                  <c:v>202</c:v>
                </c:pt>
                <c:pt idx="40" formatCode="General">
                  <c:v>213</c:v>
                </c:pt>
                <c:pt idx="41" formatCode="General">
                  <c:v>142</c:v>
                </c:pt>
                <c:pt idx="42" formatCode="General">
                  <c:v>57</c:v>
                </c:pt>
                <c:pt idx="43" formatCode="General">
                  <c:v>28</c:v>
                </c:pt>
                <c:pt idx="44" formatCode="General">
                  <c:v>19</c:v>
                </c:pt>
                <c:pt idx="45" formatCode="General">
                  <c:v>23</c:v>
                </c:pt>
                <c:pt idx="46" formatCode="General">
                  <c:v>23</c:v>
                </c:pt>
                <c:pt idx="47" formatCode="General">
                  <c:v>56</c:v>
                </c:pt>
                <c:pt idx="48" formatCode="General">
                  <c:v>28</c:v>
                </c:pt>
                <c:pt idx="49" formatCode="General">
                  <c:v>32</c:v>
                </c:pt>
                <c:pt idx="50" formatCode="General">
                  <c:v>34</c:v>
                </c:pt>
                <c:pt idx="51" formatCode="General">
                  <c:v>751</c:v>
                </c:pt>
                <c:pt idx="52" formatCode="General">
                  <c:v>929</c:v>
                </c:pt>
                <c:pt idx="53" formatCode="General">
                  <c:v>1180</c:v>
                </c:pt>
                <c:pt idx="54" formatCode="General">
                  <c:v>1535</c:v>
                </c:pt>
                <c:pt idx="55" formatCode="General">
                  <c:v>2454</c:v>
                </c:pt>
                <c:pt idx="56" formatCode="General">
                  <c:v>2588</c:v>
                </c:pt>
                <c:pt idx="57" formatCode="General">
                  <c:v>2523</c:v>
                </c:pt>
                <c:pt idx="58" formatCode="General">
                  <c:v>2643</c:v>
                </c:pt>
                <c:pt idx="59" formatCode="General">
                  <c:v>2605</c:v>
                </c:pt>
                <c:pt idx="60" formatCode="General">
                  <c:v>2643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B-8C86-5143-B1AC-3F80F127227A}"/>
            </c:ext>
          </c:extLst>
        </c:ser>
        <c:ser>
          <c:idx val="8"/>
          <c:order val="1"/>
          <c:tx>
            <c:v>R2</c:v>
          </c:tx>
          <c:spPr>
            <a:ln>
              <a:solidFill>
                <a:srgbClr val="BBB92C"/>
              </a:solidFill>
            </a:ln>
          </c:spPr>
          <c:marker>
            <c:symbol val="triangle"/>
            <c:size val="6"/>
            <c:spPr>
              <a:solidFill>
                <a:srgbClr val="BBB92C"/>
              </a:solidFill>
              <a:ln>
                <a:solidFill>
                  <a:srgbClr val="BBB92C"/>
                </a:solidFill>
              </a:ln>
            </c:spPr>
          </c:marker>
          <c:xVal>
            <c:numRef>
              <c:f>RESUMEN!$C$3:$C$63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69</c:v>
                </c:pt>
                <c:pt idx="38">
                  <c:v>70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79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90</c:v>
                </c:pt>
                <c:pt idx="48">
                  <c:v>91</c:v>
                </c:pt>
                <c:pt idx="49">
                  <c:v>92</c:v>
                </c:pt>
                <c:pt idx="50">
                  <c:v>93</c:v>
                </c:pt>
                <c:pt idx="51">
                  <c:v>97</c:v>
                </c:pt>
                <c:pt idx="52">
                  <c:v>98</c:v>
                </c:pt>
                <c:pt idx="53">
                  <c:v>99</c:v>
                </c:pt>
                <c:pt idx="54">
                  <c:v>100</c:v>
                </c:pt>
                <c:pt idx="55">
                  <c:v>104</c:v>
                </c:pt>
                <c:pt idx="56">
                  <c:v>105</c:v>
                </c:pt>
                <c:pt idx="57">
                  <c:v>106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</c:numCache>
            </c:numRef>
          </c:xVal>
          <c:yVal>
            <c:numRef>
              <c:f>RESUMEN!$P$3:$P$63</c:f>
              <c:numCache>
                <c:formatCode>General</c:formatCode>
                <c:ptCount val="61"/>
                <c:pt idx="0">
                  <c:v>3323</c:v>
                </c:pt>
                <c:pt idx="1">
                  <c:v>3323</c:v>
                </c:pt>
                <c:pt idx="2">
                  <c:v>3337</c:v>
                </c:pt>
                <c:pt idx="3">
                  <c:v>2610</c:v>
                </c:pt>
                <c:pt idx="4">
                  <c:v>2576</c:v>
                </c:pt>
                <c:pt idx="5">
                  <c:v>2473</c:v>
                </c:pt>
                <c:pt idx="6">
                  <c:v>3068</c:v>
                </c:pt>
                <c:pt idx="7">
                  <c:v>2725</c:v>
                </c:pt>
                <c:pt idx="8">
                  <c:v>3267</c:v>
                </c:pt>
                <c:pt idx="9">
                  <c:v>2533</c:v>
                </c:pt>
                <c:pt idx="10">
                  <c:v>3076</c:v>
                </c:pt>
                <c:pt idx="11">
                  <c:v>2375</c:v>
                </c:pt>
                <c:pt idx="12">
                  <c:v>2545</c:v>
                </c:pt>
                <c:pt idx="13">
                  <c:v>2629</c:v>
                </c:pt>
                <c:pt idx="14">
                  <c:v>2578</c:v>
                </c:pt>
                <c:pt idx="15">
                  <c:v>2645</c:v>
                </c:pt>
                <c:pt idx="16">
                  <c:v>2650</c:v>
                </c:pt>
                <c:pt idx="17">
                  <c:v>2627</c:v>
                </c:pt>
                <c:pt idx="18">
                  <c:v>3545</c:v>
                </c:pt>
                <c:pt idx="19">
                  <c:v>2406</c:v>
                </c:pt>
                <c:pt idx="20">
                  <c:v>2476</c:v>
                </c:pt>
                <c:pt idx="21">
                  <c:v>2868</c:v>
                </c:pt>
                <c:pt idx="22">
                  <c:v>2925</c:v>
                </c:pt>
                <c:pt idx="23">
                  <c:v>2853</c:v>
                </c:pt>
                <c:pt idx="24">
                  <c:v>2462</c:v>
                </c:pt>
                <c:pt idx="25">
                  <c:v>2838</c:v>
                </c:pt>
                <c:pt idx="26">
                  <c:v>2939</c:v>
                </c:pt>
                <c:pt idx="27">
                  <c:v>2800</c:v>
                </c:pt>
                <c:pt idx="28">
                  <c:v>2765</c:v>
                </c:pt>
                <c:pt idx="29">
                  <c:v>3285</c:v>
                </c:pt>
                <c:pt idx="30">
                  <c:v>2790</c:v>
                </c:pt>
                <c:pt idx="31">
                  <c:v>2624</c:v>
                </c:pt>
                <c:pt idx="32">
                  <c:v>2677</c:v>
                </c:pt>
                <c:pt idx="33">
                  <c:v>2721</c:v>
                </c:pt>
                <c:pt idx="34">
                  <c:v>2664</c:v>
                </c:pt>
                <c:pt idx="35">
                  <c:v>2489</c:v>
                </c:pt>
                <c:pt idx="36">
                  <c:v>2843</c:v>
                </c:pt>
                <c:pt idx="37">
                  <c:v>2908</c:v>
                </c:pt>
                <c:pt idx="38">
                  <c:v>2660</c:v>
                </c:pt>
                <c:pt idx="39">
                  <c:v>2076</c:v>
                </c:pt>
                <c:pt idx="40">
                  <c:v>2337</c:v>
                </c:pt>
                <c:pt idx="41">
                  <c:v>2756</c:v>
                </c:pt>
                <c:pt idx="42">
                  <c:v>2619</c:v>
                </c:pt>
                <c:pt idx="43">
                  <c:v>2719</c:v>
                </c:pt>
                <c:pt idx="44">
                  <c:v>2854</c:v>
                </c:pt>
                <c:pt idx="45">
                  <c:v>2505</c:v>
                </c:pt>
                <c:pt idx="46">
                  <c:v>2556</c:v>
                </c:pt>
                <c:pt idx="47">
                  <c:v>2726</c:v>
                </c:pt>
                <c:pt idx="48">
                  <c:v>2696</c:v>
                </c:pt>
                <c:pt idx="49">
                  <c:v>2851</c:v>
                </c:pt>
                <c:pt idx="50">
                  <c:v>2961</c:v>
                </c:pt>
                <c:pt idx="51">
                  <c:v>3280</c:v>
                </c:pt>
                <c:pt idx="52">
                  <c:v>3320</c:v>
                </c:pt>
                <c:pt idx="53">
                  <c:v>3285</c:v>
                </c:pt>
                <c:pt idx="54">
                  <c:v>2790</c:v>
                </c:pt>
                <c:pt idx="55">
                  <c:v>2624</c:v>
                </c:pt>
                <c:pt idx="56">
                  <c:v>2677</c:v>
                </c:pt>
                <c:pt idx="57">
                  <c:v>2721</c:v>
                </c:pt>
                <c:pt idx="58">
                  <c:v>2664</c:v>
                </c:pt>
                <c:pt idx="59">
                  <c:v>2489</c:v>
                </c:pt>
                <c:pt idx="60">
                  <c:v>2843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C-8C86-5143-B1AC-3F80F1272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741823"/>
        <c:axId val="1215972831"/>
      </c:scatterChart>
      <c:scatterChart>
        <c:scatterStyle val="lineMarker"/>
        <c:varyColors val="0"/>
        <c:ser>
          <c:idx val="0"/>
          <c:order val="2"/>
          <c:tx>
            <c:v>R1</c:v>
          </c:tx>
          <c:spPr>
            <a:ln w="19050" cmpd="sng">
              <a:solidFill>
                <a:srgbClr val="4372C4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372C4"/>
              </a:solidFill>
              <a:ln>
                <a:solidFill>
                  <a:srgbClr val="4372C4"/>
                </a:solidFill>
              </a:ln>
            </c:spPr>
          </c:marker>
          <c:xVal>
            <c:numRef>
              <c:f>RESUMEN!$W$4:$W$24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13</c:v>
                </c:pt>
                <c:pt idx="3">
                  <c:v>21</c:v>
                </c:pt>
                <c:pt idx="4">
                  <c:v>27</c:v>
                </c:pt>
                <c:pt idx="5">
                  <c:v>34</c:v>
                </c:pt>
                <c:pt idx="6">
                  <c:v>41</c:v>
                </c:pt>
                <c:pt idx="7">
                  <c:v>48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69</c:v>
                </c:pt>
                <c:pt idx="12">
                  <c:v>76</c:v>
                </c:pt>
                <c:pt idx="13">
                  <c:v>78</c:v>
                </c:pt>
                <c:pt idx="14">
                  <c:v>84</c:v>
                </c:pt>
                <c:pt idx="15">
                  <c:v>92</c:v>
                </c:pt>
                <c:pt idx="16">
                  <c:v>97</c:v>
                </c:pt>
                <c:pt idx="17">
                  <c:v>100</c:v>
                </c:pt>
                <c:pt idx="18">
                  <c:v>104</c:v>
                </c:pt>
                <c:pt idx="19">
                  <c:v>106</c:v>
                </c:pt>
                <c:pt idx="20">
                  <c:v>112</c:v>
                </c:pt>
              </c:numCache>
            </c:numRef>
          </c:xVal>
          <c:yVal>
            <c:numRef>
              <c:f>RESUMEN!$X$4:$X$24</c:f>
              <c:numCache>
                <c:formatCode>General</c:formatCode>
                <c:ptCount val="21"/>
                <c:pt idx="0">
                  <c:v>78.172133333333306</c:v>
                </c:pt>
                <c:pt idx="1">
                  <c:v>77.732133333333394</c:v>
                </c:pt>
                <c:pt idx="2">
                  <c:v>81.803333333333342</c:v>
                </c:pt>
                <c:pt idx="3">
                  <c:v>80.542933333333295</c:v>
                </c:pt>
                <c:pt idx="4">
                  <c:v>64.270133333333348</c:v>
                </c:pt>
                <c:pt idx="5">
                  <c:v>64.976933333333335</c:v>
                </c:pt>
                <c:pt idx="6">
                  <c:v>64.908533333333338</c:v>
                </c:pt>
                <c:pt idx="7">
                  <c:v>65.068133333333336</c:v>
                </c:pt>
                <c:pt idx="8">
                  <c:v>38.164133333333339</c:v>
                </c:pt>
                <c:pt idx="9">
                  <c:v>29.887733333333337</c:v>
                </c:pt>
                <c:pt idx="10">
                  <c:v>26.741333333333337</c:v>
                </c:pt>
                <c:pt idx="11">
                  <c:v>31.027733333333337</c:v>
                </c:pt>
                <c:pt idx="12">
                  <c:v>15.820133333333334</c:v>
                </c:pt>
                <c:pt idx="13">
                  <c:v>8.7749333333333333</c:v>
                </c:pt>
                <c:pt idx="14">
                  <c:v>8.4101333333333343</c:v>
                </c:pt>
                <c:pt idx="15">
                  <c:v>6.1529333333333343</c:v>
                </c:pt>
                <c:pt idx="16">
                  <c:v>48.059333333333335</c:v>
                </c:pt>
                <c:pt idx="17">
                  <c:v>84.174533333333343</c:v>
                </c:pt>
                <c:pt idx="18">
                  <c:v>92.308133333333004</c:v>
                </c:pt>
                <c:pt idx="19">
                  <c:v>100.53253333333301</c:v>
                </c:pt>
                <c:pt idx="20">
                  <c:v>134.35733333333337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8C86-5143-B1AC-3F80F127227A}"/>
            </c:ext>
          </c:extLst>
        </c:ser>
        <c:ser>
          <c:idx val="1"/>
          <c:order val="3"/>
          <c:tx>
            <c:v>R2</c:v>
          </c:tx>
          <c:spPr>
            <a:ln w="19050" cap="rnd">
              <a:solidFill>
                <a:srgbClr val="BBB92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BB92C"/>
              </a:solidFill>
              <a:ln w="9525">
                <a:solidFill>
                  <a:srgbClr val="BBB92C"/>
                </a:solidFill>
              </a:ln>
              <a:effectLst/>
            </c:spPr>
          </c:marker>
          <c:xVal>
            <c:numRef>
              <c:f>RESUMEN!$W$4:$W$24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13</c:v>
                </c:pt>
                <c:pt idx="3">
                  <c:v>21</c:v>
                </c:pt>
                <c:pt idx="4">
                  <c:v>27</c:v>
                </c:pt>
                <c:pt idx="5">
                  <c:v>34</c:v>
                </c:pt>
                <c:pt idx="6">
                  <c:v>41</c:v>
                </c:pt>
                <c:pt idx="7">
                  <c:v>48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69</c:v>
                </c:pt>
                <c:pt idx="12">
                  <c:v>76</c:v>
                </c:pt>
                <c:pt idx="13">
                  <c:v>78</c:v>
                </c:pt>
                <c:pt idx="14">
                  <c:v>84</c:v>
                </c:pt>
                <c:pt idx="15">
                  <c:v>92</c:v>
                </c:pt>
                <c:pt idx="16">
                  <c:v>97</c:v>
                </c:pt>
                <c:pt idx="17">
                  <c:v>100</c:v>
                </c:pt>
                <c:pt idx="18">
                  <c:v>104</c:v>
                </c:pt>
                <c:pt idx="19">
                  <c:v>106</c:v>
                </c:pt>
                <c:pt idx="20">
                  <c:v>112</c:v>
                </c:pt>
              </c:numCache>
            </c:numRef>
          </c:xVal>
          <c:yVal>
            <c:numRef>
              <c:f>RESUMEN!$Y$4:$Y$24</c:f>
              <c:numCache>
                <c:formatCode>General</c:formatCode>
                <c:ptCount val="21"/>
                <c:pt idx="0">
                  <c:v>122.86613333333335</c:v>
                </c:pt>
                <c:pt idx="1">
                  <c:v>130.20773333333335</c:v>
                </c:pt>
                <c:pt idx="2">
                  <c:v>143.68253333333334</c:v>
                </c:pt>
                <c:pt idx="3">
                  <c:v>137.70893333333333</c:v>
                </c:pt>
                <c:pt idx="4">
                  <c:v>138.94013333333334</c:v>
                </c:pt>
                <c:pt idx="5">
                  <c:v>137.36693333333335</c:v>
                </c:pt>
                <c:pt idx="6">
                  <c:v>132.32813333333337</c:v>
                </c:pt>
                <c:pt idx="7">
                  <c:v>134.17493333333334</c:v>
                </c:pt>
                <c:pt idx="8">
                  <c:v>139.55573333333336</c:v>
                </c:pt>
                <c:pt idx="9">
                  <c:v>135.61133333333333</c:v>
                </c:pt>
                <c:pt idx="10">
                  <c:v>132.30533333333335</c:v>
                </c:pt>
                <c:pt idx="11">
                  <c:v>130.20773333333335</c:v>
                </c:pt>
                <c:pt idx="12">
                  <c:v>136.47773333333336</c:v>
                </c:pt>
                <c:pt idx="13">
                  <c:v>138.07373333333337</c:v>
                </c:pt>
                <c:pt idx="14">
                  <c:v>135.97613333333334</c:v>
                </c:pt>
                <c:pt idx="15">
                  <c:v>139.51013333333333</c:v>
                </c:pt>
                <c:pt idx="16">
                  <c:v>156.08573333333334</c:v>
                </c:pt>
                <c:pt idx="17">
                  <c:v>134.06093333333334</c:v>
                </c:pt>
                <c:pt idx="18">
                  <c:v>142.72493333333335</c:v>
                </c:pt>
                <c:pt idx="19">
                  <c:v>139.51013333333333</c:v>
                </c:pt>
                <c:pt idx="20">
                  <c:v>156.08573333333334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8C86-5143-B1AC-3F80F1272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031583"/>
        <c:axId val="1281523951"/>
      </c:scatterChart>
      <c:valAx>
        <c:axId val="119674182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MX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AR"/>
          </a:p>
        </c:txPr>
        <c:crossAx val="1215972831"/>
        <c:crosses val="autoZero"/>
        <c:crossBetween val="midCat"/>
      </c:valAx>
      <c:valAx>
        <c:axId val="1215972831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MX"/>
                  <a:t>SH2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AR"/>
          </a:p>
        </c:txPr>
        <c:crossAx val="1196741823"/>
        <c:crosses val="autoZero"/>
        <c:crossBetween val="midCat"/>
      </c:valAx>
      <c:valAx>
        <c:axId val="1281523951"/>
        <c:scaling>
          <c:orientation val="minMax"/>
          <c:max val="2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S-2 (ppm)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0031583"/>
        <c:crosses val="max"/>
        <c:crossBetween val="midCat"/>
      </c:valAx>
      <c:valAx>
        <c:axId val="13000315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1523951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AR"/>
        </a:p>
      </c:txPr>
    </c:legend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 b="0">
          <a:latin typeface="Arial Nova" panose="020F0502020204030204" pitchFamily="34" charset="0"/>
          <a:cs typeface="Arial Nova" panose="020F050202020403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Arial Nova" panose="020F0502020204030204" pitchFamily="34" charset="0"/>
                <a:ea typeface="+mn-ea"/>
                <a:cs typeface="Arial Nova" panose="020F0502020204030204" pitchFamily="34" charset="0"/>
              </a:defRPr>
            </a:pPr>
            <a:r>
              <a:rPr lang="es-MX" b="1"/>
              <a:t>CH4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Arial Nova" panose="020F0502020204030204" pitchFamily="34" charset="0"/>
              <a:ea typeface="+mn-ea"/>
              <a:cs typeface="Arial Nova" panose="020F0502020204030204" pitchFamily="34" charset="0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R1</c:v>
          </c:tx>
          <c:spPr>
            <a:ln w="19050" cap="rnd">
              <a:solidFill>
                <a:srgbClr val="43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372C4"/>
              </a:solidFill>
              <a:ln w="9525">
                <a:solidFill>
                  <a:srgbClr val="4372C4"/>
                </a:solidFill>
              </a:ln>
              <a:effectLst/>
            </c:spPr>
          </c:marker>
          <c:xVal>
            <c:numRef>
              <c:f>RESUMEN!$C$3:$C$63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69</c:v>
                </c:pt>
                <c:pt idx="38">
                  <c:v>70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79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90</c:v>
                </c:pt>
                <c:pt idx="48">
                  <c:v>91</c:v>
                </c:pt>
                <c:pt idx="49">
                  <c:v>92</c:v>
                </c:pt>
                <c:pt idx="50">
                  <c:v>93</c:v>
                </c:pt>
                <c:pt idx="51">
                  <c:v>97</c:v>
                </c:pt>
                <c:pt idx="52">
                  <c:v>98</c:v>
                </c:pt>
                <c:pt idx="53">
                  <c:v>99</c:v>
                </c:pt>
                <c:pt idx="54">
                  <c:v>100</c:v>
                </c:pt>
                <c:pt idx="55">
                  <c:v>104</c:v>
                </c:pt>
                <c:pt idx="56">
                  <c:v>105</c:v>
                </c:pt>
                <c:pt idx="57">
                  <c:v>106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</c:numCache>
            </c:numRef>
          </c:xVal>
          <c:yVal>
            <c:numRef>
              <c:f>RESUMEN!$E$3:$E$63</c:f>
              <c:numCache>
                <c:formatCode>General</c:formatCode>
                <c:ptCount val="61"/>
                <c:pt idx="0">
                  <c:v>71.3</c:v>
                </c:pt>
                <c:pt idx="1">
                  <c:v>71.34</c:v>
                </c:pt>
                <c:pt idx="2">
                  <c:v>71.650000000000006</c:v>
                </c:pt>
                <c:pt idx="3">
                  <c:v>71.42</c:v>
                </c:pt>
                <c:pt idx="4">
                  <c:v>70.92</c:v>
                </c:pt>
                <c:pt idx="5">
                  <c:v>71.53</c:v>
                </c:pt>
                <c:pt idx="6">
                  <c:v>71.7</c:v>
                </c:pt>
                <c:pt idx="7">
                  <c:v>71.34</c:v>
                </c:pt>
                <c:pt idx="8">
                  <c:v>69.569999999999993</c:v>
                </c:pt>
                <c:pt idx="9">
                  <c:v>72.09</c:v>
                </c:pt>
                <c:pt idx="10">
                  <c:v>71.27</c:v>
                </c:pt>
                <c:pt idx="11">
                  <c:v>71.349999999999994</c:v>
                </c:pt>
                <c:pt idx="12">
                  <c:v>70.760000000000005</c:v>
                </c:pt>
                <c:pt idx="13">
                  <c:v>70.709999999999994</c:v>
                </c:pt>
                <c:pt idx="14">
                  <c:v>70.540000000000006</c:v>
                </c:pt>
                <c:pt idx="15">
                  <c:v>70.13</c:v>
                </c:pt>
                <c:pt idx="16">
                  <c:v>69.510000000000005</c:v>
                </c:pt>
                <c:pt idx="17">
                  <c:v>73.13</c:v>
                </c:pt>
                <c:pt idx="18">
                  <c:v>70.64</c:v>
                </c:pt>
                <c:pt idx="19">
                  <c:v>70.97</c:v>
                </c:pt>
                <c:pt idx="20">
                  <c:v>70.88</c:v>
                </c:pt>
                <c:pt idx="21">
                  <c:v>71.77</c:v>
                </c:pt>
                <c:pt idx="22">
                  <c:v>71.22</c:v>
                </c:pt>
                <c:pt idx="23">
                  <c:v>71.88</c:v>
                </c:pt>
                <c:pt idx="24">
                  <c:v>70.7</c:v>
                </c:pt>
                <c:pt idx="25">
                  <c:v>71.72</c:v>
                </c:pt>
                <c:pt idx="26">
                  <c:v>70.37</c:v>
                </c:pt>
                <c:pt idx="27">
                  <c:v>71.64</c:v>
                </c:pt>
                <c:pt idx="28">
                  <c:v>71.180000000000007</c:v>
                </c:pt>
                <c:pt idx="29">
                  <c:v>71.209999999999994</c:v>
                </c:pt>
                <c:pt idx="30">
                  <c:v>75.08</c:v>
                </c:pt>
                <c:pt idx="31">
                  <c:v>73.83</c:v>
                </c:pt>
                <c:pt idx="32">
                  <c:v>73.849999999999994</c:v>
                </c:pt>
                <c:pt idx="33">
                  <c:v>71.959999999999994</c:v>
                </c:pt>
                <c:pt idx="34">
                  <c:v>72.010000000000005</c:v>
                </c:pt>
                <c:pt idx="35">
                  <c:v>72.36</c:v>
                </c:pt>
                <c:pt idx="36">
                  <c:v>71.31</c:v>
                </c:pt>
                <c:pt idx="37">
                  <c:v>71.959999999999994</c:v>
                </c:pt>
                <c:pt idx="38">
                  <c:v>72.91</c:v>
                </c:pt>
                <c:pt idx="39">
                  <c:v>74.010000000000005</c:v>
                </c:pt>
                <c:pt idx="40">
                  <c:v>73.33</c:v>
                </c:pt>
                <c:pt idx="41">
                  <c:v>73.53</c:v>
                </c:pt>
                <c:pt idx="42">
                  <c:v>73.95</c:v>
                </c:pt>
                <c:pt idx="43">
                  <c:v>74.760000000000005</c:v>
                </c:pt>
                <c:pt idx="44">
                  <c:v>74.53</c:v>
                </c:pt>
                <c:pt idx="45">
                  <c:v>75.36</c:v>
                </c:pt>
                <c:pt idx="46">
                  <c:v>75.63</c:v>
                </c:pt>
                <c:pt idx="47">
                  <c:v>74.16</c:v>
                </c:pt>
                <c:pt idx="48">
                  <c:v>74.349999999999994</c:v>
                </c:pt>
                <c:pt idx="49">
                  <c:v>73.91</c:v>
                </c:pt>
                <c:pt idx="50">
                  <c:v>73.459999999999994</c:v>
                </c:pt>
                <c:pt idx="51">
                  <c:v>71.98</c:v>
                </c:pt>
                <c:pt idx="52">
                  <c:v>72.78</c:v>
                </c:pt>
                <c:pt idx="53">
                  <c:v>71.72</c:v>
                </c:pt>
                <c:pt idx="54">
                  <c:v>73.150000000000006</c:v>
                </c:pt>
                <c:pt idx="55">
                  <c:v>70.09</c:v>
                </c:pt>
                <c:pt idx="56">
                  <c:v>65.97</c:v>
                </c:pt>
                <c:pt idx="57">
                  <c:v>68.239999999999995</c:v>
                </c:pt>
                <c:pt idx="58">
                  <c:v>69.819999999999993</c:v>
                </c:pt>
                <c:pt idx="59">
                  <c:v>66.489999999999995</c:v>
                </c:pt>
                <c:pt idx="60">
                  <c:v>65.349999999999994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2E-D742-9D08-97BFEF3136A3}"/>
            </c:ext>
          </c:extLst>
        </c:ser>
        <c:ser>
          <c:idx val="1"/>
          <c:order val="1"/>
          <c:tx>
            <c:v>R2</c:v>
          </c:tx>
          <c:spPr>
            <a:ln w="19050" cap="rnd">
              <a:solidFill>
                <a:srgbClr val="BBB92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BB92C"/>
              </a:solidFill>
              <a:ln w="9525">
                <a:solidFill>
                  <a:srgbClr val="BBB92C"/>
                </a:solidFill>
              </a:ln>
              <a:effectLst/>
            </c:spPr>
          </c:marker>
          <c:xVal>
            <c:numRef>
              <c:f>RESUMEN!$C$3:$C$63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69</c:v>
                </c:pt>
                <c:pt idx="38">
                  <c:v>70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79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90</c:v>
                </c:pt>
                <c:pt idx="48">
                  <c:v>91</c:v>
                </c:pt>
                <c:pt idx="49">
                  <c:v>92</c:v>
                </c:pt>
                <c:pt idx="50">
                  <c:v>93</c:v>
                </c:pt>
                <c:pt idx="51">
                  <c:v>97</c:v>
                </c:pt>
                <c:pt idx="52">
                  <c:v>98</c:v>
                </c:pt>
                <c:pt idx="53">
                  <c:v>99</c:v>
                </c:pt>
                <c:pt idx="54">
                  <c:v>100</c:v>
                </c:pt>
                <c:pt idx="55">
                  <c:v>104</c:v>
                </c:pt>
                <c:pt idx="56">
                  <c:v>105</c:v>
                </c:pt>
                <c:pt idx="57">
                  <c:v>106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</c:numCache>
            </c:numRef>
          </c:xVal>
          <c:yVal>
            <c:numRef>
              <c:f>RESUMEN!$M$3:$M$63</c:f>
              <c:numCache>
                <c:formatCode>General</c:formatCode>
                <c:ptCount val="61"/>
                <c:pt idx="0">
                  <c:v>71.3</c:v>
                </c:pt>
                <c:pt idx="1">
                  <c:v>71.3</c:v>
                </c:pt>
                <c:pt idx="2">
                  <c:v>69.430000000000007</c:v>
                </c:pt>
                <c:pt idx="3">
                  <c:v>71.42</c:v>
                </c:pt>
                <c:pt idx="4">
                  <c:v>72.48</c:v>
                </c:pt>
                <c:pt idx="5">
                  <c:v>71.41</c:v>
                </c:pt>
                <c:pt idx="6">
                  <c:v>71.89</c:v>
                </c:pt>
                <c:pt idx="7">
                  <c:v>72.12</c:v>
                </c:pt>
                <c:pt idx="8">
                  <c:v>72.02</c:v>
                </c:pt>
                <c:pt idx="9">
                  <c:v>72.260000000000005</c:v>
                </c:pt>
                <c:pt idx="10">
                  <c:v>71.42</c:v>
                </c:pt>
                <c:pt idx="11">
                  <c:v>73.03</c:v>
                </c:pt>
                <c:pt idx="12">
                  <c:v>72.150000000000006</c:v>
                </c:pt>
                <c:pt idx="13">
                  <c:v>70.989999999999995</c:v>
                </c:pt>
                <c:pt idx="14">
                  <c:v>70.72</c:v>
                </c:pt>
                <c:pt idx="16">
                  <c:v>71.510000000000005</c:v>
                </c:pt>
                <c:pt idx="17">
                  <c:v>72.72</c:v>
                </c:pt>
                <c:pt idx="18">
                  <c:v>70.17</c:v>
                </c:pt>
                <c:pt idx="19">
                  <c:v>72.13</c:v>
                </c:pt>
                <c:pt idx="20">
                  <c:v>70.739999999999995</c:v>
                </c:pt>
                <c:pt idx="21">
                  <c:v>71.099999999999994</c:v>
                </c:pt>
                <c:pt idx="22">
                  <c:v>71.81</c:v>
                </c:pt>
                <c:pt idx="23">
                  <c:v>71</c:v>
                </c:pt>
                <c:pt idx="24">
                  <c:v>72.05</c:v>
                </c:pt>
                <c:pt idx="25">
                  <c:v>70.739999999999995</c:v>
                </c:pt>
                <c:pt idx="26">
                  <c:v>69.61</c:v>
                </c:pt>
                <c:pt idx="27">
                  <c:v>70.97</c:v>
                </c:pt>
                <c:pt idx="28">
                  <c:v>72.52</c:v>
                </c:pt>
                <c:pt idx="29">
                  <c:v>72.78</c:v>
                </c:pt>
                <c:pt idx="30">
                  <c:v>75.14</c:v>
                </c:pt>
                <c:pt idx="31">
                  <c:v>75.38</c:v>
                </c:pt>
                <c:pt idx="32">
                  <c:v>76.099999999999994</c:v>
                </c:pt>
                <c:pt idx="33">
                  <c:v>73.88</c:v>
                </c:pt>
                <c:pt idx="34">
                  <c:v>74.45</c:v>
                </c:pt>
                <c:pt idx="35">
                  <c:v>74.239999999999995</c:v>
                </c:pt>
                <c:pt idx="36">
                  <c:v>72.95</c:v>
                </c:pt>
                <c:pt idx="37">
                  <c:v>70.31</c:v>
                </c:pt>
                <c:pt idx="38">
                  <c:v>70.510000000000005</c:v>
                </c:pt>
                <c:pt idx="39">
                  <c:v>68.540000000000006</c:v>
                </c:pt>
                <c:pt idx="40">
                  <c:v>69.849999999999994</c:v>
                </c:pt>
                <c:pt idx="41">
                  <c:v>69.64</c:v>
                </c:pt>
                <c:pt idx="42">
                  <c:v>70.81</c:v>
                </c:pt>
                <c:pt idx="43">
                  <c:v>71.52</c:v>
                </c:pt>
                <c:pt idx="44">
                  <c:v>67.209999999999994</c:v>
                </c:pt>
                <c:pt idx="45">
                  <c:v>68.349999999999994</c:v>
                </c:pt>
                <c:pt idx="46">
                  <c:v>68.81</c:v>
                </c:pt>
                <c:pt idx="47">
                  <c:v>70.44</c:v>
                </c:pt>
                <c:pt idx="48">
                  <c:v>68.08</c:v>
                </c:pt>
                <c:pt idx="49">
                  <c:v>68.55</c:v>
                </c:pt>
                <c:pt idx="50">
                  <c:v>68.36</c:v>
                </c:pt>
                <c:pt idx="51">
                  <c:v>67.64</c:v>
                </c:pt>
                <c:pt idx="52">
                  <c:v>69.98</c:v>
                </c:pt>
                <c:pt idx="53">
                  <c:v>72.78</c:v>
                </c:pt>
                <c:pt idx="54">
                  <c:v>75.14</c:v>
                </c:pt>
                <c:pt idx="55">
                  <c:v>75.38</c:v>
                </c:pt>
                <c:pt idx="56">
                  <c:v>76.099999999999994</c:v>
                </c:pt>
                <c:pt idx="57">
                  <c:v>73.88</c:v>
                </c:pt>
                <c:pt idx="58">
                  <c:v>74.45</c:v>
                </c:pt>
                <c:pt idx="59">
                  <c:v>74.239999999999995</c:v>
                </c:pt>
                <c:pt idx="60">
                  <c:v>72.95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2E-D742-9D08-97BFEF3136A3}"/>
            </c:ext>
          </c:extLst>
        </c:ser>
        <c:ser>
          <c:idx val="2"/>
          <c:order val="2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23</c:v>
              </c:pt>
              <c:pt idx="1">
                <c:v>23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4500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D2E-D742-9D08-97BFEF3136A3}"/>
            </c:ext>
          </c:extLst>
        </c:ser>
        <c:ser>
          <c:idx val="3"/>
          <c:order val="3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48</c:v>
              </c:pt>
              <c:pt idx="1">
                <c:v>48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4500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BD2E-D742-9D08-97BFEF3136A3}"/>
            </c:ext>
          </c:extLst>
        </c:ser>
        <c:ser>
          <c:idx val="4"/>
          <c:order val="4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71</c:v>
              </c:pt>
              <c:pt idx="1">
                <c:v>71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4500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BD2E-D742-9D08-97BFEF3136A3}"/>
            </c:ext>
          </c:extLst>
        </c:ser>
        <c:ser>
          <c:idx val="5"/>
          <c:order val="5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93</c:v>
              </c:pt>
              <c:pt idx="1">
                <c:v>93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4500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BD2E-D742-9D08-97BFEF3136A3}"/>
            </c:ext>
          </c:extLst>
        </c:ser>
        <c:ser>
          <c:idx val="6"/>
          <c:order val="6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4500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6-BD2E-D742-9D08-97BFEF313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741823"/>
        <c:axId val="1215972831"/>
      </c:scatterChart>
      <c:valAx>
        <c:axId val="119674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ova" panose="020F0502020204030204" pitchFamily="34" charset="0"/>
                    <a:ea typeface="+mn-ea"/>
                    <a:cs typeface="Arial Nova" panose="020F0502020204030204" pitchFamily="34" charset="0"/>
                  </a:defRPr>
                </a:pPr>
                <a:r>
                  <a:rPr lang="es-MX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Nova" panose="020F0502020204030204" pitchFamily="34" charset="0"/>
                  <a:ea typeface="+mn-ea"/>
                  <a:cs typeface="Arial Nova" panose="020F050202020403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 Nova" panose="020F0502020204030204" pitchFamily="34" charset="0"/>
                <a:ea typeface="+mn-ea"/>
                <a:cs typeface="Arial Nova" panose="020F0502020204030204" pitchFamily="34" charset="0"/>
              </a:defRPr>
            </a:pPr>
            <a:endParaRPr lang="es-AR"/>
          </a:p>
        </c:txPr>
        <c:crossAx val="1215972831"/>
        <c:crosses val="autoZero"/>
        <c:crossBetween val="midCat"/>
      </c:valAx>
      <c:valAx>
        <c:axId val="1215972831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ova" panose="020F0502020204030204" pitchFamily="34" charset="0"/>
                    <a:ea typeface="+mn-ea"/>
                    <a:cs typeface="Arial Nova" panose="020F0502020204030204" pitchFamily="34" charset="0"/>
                  </a:defRPr>
                </a:pPr>
                <a:r>
                  <a:rPr lang="es-MX"/>
                  <a:t>CH4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Nova" panose="020F0502020204030204" pitchFamily="34" charset="0"/>
                  <a:ea typeface="+mn-ea"/>
                  <a:cs typeface="Arial Nova" panose="020F050202020403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 Nova" panose="020F0502020204030204" pitchFamily="34" charset="0"/>
                <a:ea typeface="+mn-ea"/>
                <a:cs typeface="Arial Nova" panose="020F0502020204030204" pitchFamily="34" charset="0"/>
              </a:defRPr>
            </a:pPr>
            <a:endParaRPr lang="es-AR"/>
          </a:p>
        </c:txPr>
        <c:crossAx val="119674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 Nova" panose="020F0502020204030204" pitchFamily="34" charset="0"/>
              <a:ea typeface="+mn-ea"/>
              <a:cs typeface="Arial Nova" panose="020F0502020204030204" pitchFamily="34" charset="0"/>
            </a:defRPr>
          </a:pPr>
          <a:endParaRPr lang="es-A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 Nova" panose="020F0502020204030204" pitchFamily="34" charset="0"/>
          <a:cs typeface="Arial Nova" panose="020F050202020403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Arial Nova" panose="020F0502020204030204" pitchFamily="34" charset="0"/>
                <a:ea typeface="+mn-ea"/>
                <a:cs typeface="Arial Nova" panose="020F0502020204030204" pitchFamily="34" charset="0"/>
              </a:defRPr>
            </a:pPr>
            <a:r>
              <a:rPr lang="es-MX" b="1"/>
              <a:t>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Arial Nova" panose="020F0502020204030204" pitchFamily="34" charset="0"/>
              <a:ea typeface="+mn-ea"/>
              <a:cs typeface="Arial Nova" panose="020F0502020204030204" pitchFamily="34" charset="0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R1</c:v>
          </c:tx>
          <c:spPr>
            <a:ln w="19050" cap="rnd">
              <a:solidFill>
                <a:srgbClr val="43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372C4"/>
              </a:solidFill>
              <a:ln w="9525">
                <a:solidFill>
                  <a:srgbClr val="4372C4"/>
                </a:solidFill>
              </a:ln>
              <a:effectLst/>
            </c:spPr>
          </c:marker>
          <c:xVal>
            <c:numRef>
              <c:f>RESUMEN!$C$3:$C$63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69</c:v>
                </c:pt>
                <c:pt idx="38">
                  <c:v>70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79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90</c:v>
                </c:pt>
                <c:pt idx="48">
                  <c:v>91</c:v>
                </c:pt>
                <c:pt idx="49">
                  <c:v>92</c:v>
                </c:pt>
                <c:pt idx="50">
                  <c:v>93</c:v>
                </c:pt>
                <c:pt idx="51">
                  <c:v>97</c:v>
                </c:pt>
                <c:pt idx="52">
                  <c:v>98</c:v>
                </c:pt>
                <c:pt idx="53">
                  <c:v>99</c:v>
                </c:pt>
                <c:pt idx="54">
                  <c:v>100</c:v>
                </c:pt>
                <c:pt idx="55">
                  <c:v>104</c:v>
                </c:pt>
                <c:pt idx="56">
                  <c:v>105</c:v>
                </c:pt>
                <c:pt idx="57">
                  <c:v>106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</c:numCache>
            </c:numRef>
          </c:xVal>
          <c:yVal>
            <c:numRef>
              <c:f>RESUMEN!$F$3:$F$63</c:f>
              <c:numCache>
                <c:formatCode>General</c:formatCode>
                <c:ptCount val="61"/>
                <c:pt idx="0">
                  <c:v>18.39</c:v>
                </c:pt>
                <c:pt idx="1">
                  <c:v>16.55</c:v>
                </c:pt>
                <c:pt idx="2">
                  <c:v>16.739999999999998</c:v>
                </c:pt>
                <c:pt idx="3">
                  <c:v>16.489999999999998</c:v>
                </c:pt>
                <c:pt idx="4">
                  <c:v>17.170000000000002</c:v>
                </c:pt>
                <c:pt idx="5">
                  <c:v>16.649999999999999</c:v>
                </c:pt>
                <c:pt idx="6">
                  <c:v>17.45</c:v>
                </c:pt>
                <c:pt idx="7">
                  <c:v>17.37</c:v>
                </c:pt>
                <c:pt idx="8">
                  <c:v>20.149999999999999</c:v>
                </c:pt>
                <c:pt idx="9">
                  <c:v>17.7</c:v>
                </c:pt>
                <c:pt idx="10">
                  <c:v>18.239999999999998</c:v>
                </c:pt>
                <c:pt idx="11">
                  <c:v>17.03</c:v>
                </c:pt>
                <c:pt idx="12">
                  <c:v>18.260000000000002</c:v>
                </c:pt>
                <c:pt idx="13">
                  <c:v>17.04</c:v>
                </c:pt>
                <c:pt idx="14">
                  <c:v>16.739999999999998</c:v>
                </c:pt>
                <c:pt idx="15">
                  <c:v>20.14</c:v>
                </c:pt>
                <c:pt idx="16">
                  <c:v>16.440000000000001</c:v>
                </c:pt>
                <c:pt idx="17">
                  <c:v>15.63</c:v>
                </c:pt>
                <c:pt idx="18">
                  <c:v>18.579999999999998</c:v>
                </c:pt>
                <c:pt idx="19">
                  <c:v>16.57</c:v>
                </c:pt>
                <c:pt idx="20">
                  <c:v>16.41</c:v>
                </c:pt>
                <c:pt idx="21">
                  <c:v>15.61</c:v>
                </c:pt>
                <c:pt idx="22">
                  <c:v>15.38</c:v>
                </c:pt>
                <c:pt idx="23">
                  <c:v>15.16</c:v>
                </c:pt>
                <c:pt idx="24">
                  <c:v>14.89</c:v>
                </c:pt>
                <c:pt idx="25">
                  <c:v>16.02</c:v>
                </c:pt>
                <c:pt idx="26">
                  <c:v>16.41</c:v>
                </c:pt>
                <c:pt idx="27">
                  <c:v>16.2</c:v>
                </c:pt>
                <c:pt idx="28">
                  <c:v>15.29</c:v>
                </c:pt>
                <c:pt idx="29">
                  <c:v>18</c:v>
                </c:pt>
                <c:pt idx="30">
                  <c:v>14.71</c:v>
                </c:pt>
                <c:pt idx="31">
                  <c:v>15.52</c:v>
                </c:pt>
                <c:pt idx="32">
                  <c:v>15.42</c:v>
                </c:pt>
                <c:pt idx="33">
                  <c:v>13.46</c:v>
                </c:pt>
                <c:pt idx="34">
                  <c:v>14.47</c:v>
                </c:pt>
                <c:pt idx="35">
                  <c:v>14.04</c:v>
                </c:pt>
                <c:pt idx="36">
                  <c:v>13.17</c:v>
                </c:pt>
                <c:pt idx="37">
                  <c:v>14.45</c:v>
                </c:pt>
                <c:pt idx="38">
                  <c:v>14.73</c:v>
                </c:pt>
                <c:pt idx="39">
                  <c:v>12.2</c:v>
                </c:pt>
                <c:pt idx="40">
                  <c:v>12.72</c:v>
                </c:pt>
                <c:pt idx="41">
                  <c:v>14.75</c:v>
                </c:pt>
                <c:pt idx="42">
                  <c:v>13.86</c:v>
                </c:pt>
                <c:pt idx="43">
                  <c:v>11.62</c:v>
                </c:pt>
                <c:pt idx="44">
                  <c:v>11.57</c:v>
                </c:pt>
                <c:pt idx="45">
                  <c:v>12.66</c:v>
                </c:pt>
                <c:pt idx="46">
                  <c:v>10.79</c:v>
                </c:pt>
                <c:pt idx="47">
                  <c:v>10.029999999999999</c:v>
                </c:pt>
                <c:pt idx="48">
                  <c:v>11.79</c:v>
                </c:pt>
                <c:pt idx="49">
                  <c:v>12.12</c:v>
                </c:pt>
                <c:pt idx="50">
                  <c:v>13.02</c:v>
                </c:pt>
                <c:pt idx="51">
                  <c:v>14.65</c:v>
                </c:pt>
                <c:pt idx="52">
                  <c:v>12.78</c:v>
                </c:pt>
                <c:pt idx="53">
                  <c:v>11.96</c:v>
                </c:pt>
                <c:pt idx="54">
                  <c:v>10.01</c:v>
                </c:pt>
                <c:pt idx="55">
                  <c:v>12.75</c:v>
                </c:pt>
                <c:pt idx="56">
                  <c:v>12.99</c:v>
                </c:pt>
                <c:pt idx="57">
                  <c:v>11.5</c:v>
                </c:pt>
                <c:pt idx="58">
                  <c:v>13.73</c:v>
                </c:pt>
                <c:pt idx="59">
                  <c:v>17.309999999999999</c:v>
                </c:pt>
                <c:pt idx="60">
                  <c:v>17.739999999999998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9D-6341-9A45-E5DC228820F2}"/>
            </c:ext>
          </c:extLst>
        </c:ser>
        <c:ser>
          <c:idx val="1"/>
          <c:order val="1"/>
          <c:tx>
            <c:v>R2</c:v>
          </c:tx>
          <c:spPr>
            <a:ln w="19050" cap="rnd">
              <a:solidFill>
                <a:srgbClr val="BBB92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BB92C"/>
              </a:solidFill>
              <a:ln w="9525">
                <a:solidFill>
                  <a:srgbClr val="BBB92C"/>
                </a:solidFill>
              </a:ln>
              <a:effectLst/>
            </c:spPr>
          </c:marker>
          <c:xVal>
            <c:numRef>
              <c:f>RESUMEN!$C$3:$C$63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69</c:v>
                </c:pt>
                <c:pt idx="38">
                  <c:v>70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79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90</c:v>
                </c:pt>
                <c:pt idx="48">
                  <c:v>91</c:v>
                </c:pt>
                <c:pt idx="49">
                  <c:v>92</c:v>
                </c:pt>
                <c:pt idx="50">
                  <c:v>93</c:v>
                </c:pt>
                <c:pt idx="51">
                  <c:v>97</c:v>
                </c:pt>
                <c:pt idx="52">
                  <c:v>98</c:v>
                </c:pt>
                <c:pt idx="53">
                  <c:v>99</c:v>
                </c:pt>
                <c:pt idx="54">
                  <c:v>100</c:v>
                </c:pt>
                <c:pt idx="55">
                  <c:v>104</c:v>
                </c:pt>
                <c:pt idx="56">
                  <c:v>105</c:v>
                </c:pt>
                <c:pt idx="57">
                  <c:v>106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</c:numCache>
            </c:numRef>
          </c:xVal>
          <c:yVal>
            <c:numRef>
              <c:f>RESUMEN!$N$3:$N$63</c:f>
              <c:numCache>
                <c:formatCode>General</c:formatCode>
                <c:ptCount val="61"/>
                <c:pt idx="0">
                  <c:v>18.39</c:v>
                </c:pt>
                <c:pt idx="1">
                  <c:v>18.39</c:v>
                </c:pt>
                <c:pt idx="2">
                  <c:v>18.71</c:v>
                </c:pt>
                <c:pt idx="3">
                  <c:v>16.489999999999998</c:v>
                </c:pt>
                <c:pt idx="4">
                  <c:v>16.13</c:v>
                </c:pt>
                <c:pt idx="5">
                  <c:v>17.559999999999999</c:v>
                </c:pt>
                <c:pt idx="6">
                  <c:v>19.38</c:v>
                </c:pt>
                <c:pt idx="7">
                  <c:v>18.37</c:v>
                </c:pt>
                <c:pt idx="8">
                  <c:v>19.57</c:v>
                </c:pt>
                <c:pt idx="9">
                  <c:v>18.05</c:v>
                </c:pt>
                <c:pt idx="10">
                  <c:v>18.93</c:v>
                </c:pt>
                <c:pt idx="11">
                  <c:v>16.43</c:v>
                </c:pt>
                <c:pt idx="12">
                  <c:v>16.89</c:v>
                </c:pt>
                <c:pt idx="13">
                  <c:v>17.95</c:v>
                </c:pt>
                <c:pt idx="14">
                  <c:v>17.809999999999999</c:v>
                </c:pt>
                <c:pt idx="16">
                  <c:v>18</c:v>
                </c:pt>
                <c:pt idx="17">
                  <c:v>15.46</c:v>
                </c:pt>
                <c:pt idx="18">
                  <c:v>20.21</c:v>
                </c:pt>
                <c:pt idx="19">
                  <c:v>15.88</c:v>
                </c:pt>
                <c:pt idx="20">
                  <c:v>16</c:v>
                </c:pt>
                <c:pt idx="21">
                  <c:v>15.68</c:v>
                </c:pt>
                <c:pt idx="22">
                  <c:v>16.39</c:v>
                </c:pt>
                <c:pt idx="23">
                  <c:v>16.28</c:v>
                </c:pt>
                <c:pt idx="24">
                  <c:v>14.54</c:v>
                </c:pt>
                <c:pt idx="25">
                  <c:v>17.059999999999999</c:v>
                </c:pt>
                <c:pt idx="26">
                  <c:v>17.47</c:v>
                </c:pt>
                <c:pt idx="27">
                  <c:v>17.190000000000001</c:v>
                </c:pt>
                <c:pt idx="28">
                  <c:v>16.690000000000001</c:v>
                </c:pt>
                <c:pt idx="29">
                  <c:v>18.13</c:v>
                </c:pt>
                <c:pt idx="30">
                  <c:v>14.89</c:v>
                </c:pt>
                <c:pt idx="31">
                  <c:v>14.63</c:v>
                </c:pt>
                <c:pt idx="32">
                  <c:v>14.66</c:v>
                </c:pt>
                <c:pt idx="33">
                  <c:v>13.21</c:v>
                </c:pt>
                <c:pt idx="34">
                  <c:v>13.16</c:v>
                </c:pt>
                <c:pt idx="35">
                  <c:v>13.05</c:v>
                </c:pt>
                <c:pt idx="36">
                  <c:v>13.85</c:v>
                </c:pt>
                <c:pt idx="37">
                  <c:v>14.39</c:v>
                </c:pt>
                <c:pt idx="38">
                  <c:v>13.49</c:v>
                </c:pt>
                <c:pt idx="39">
                  <c:v>11.71</c:v>
                </c:pt>
                <c:pt idx="40">
                  <c:v>13.34</c:v>
                </c:pt>
                <c:pt idx="41">
                  <c:v>12.42</c:v>
                </c:pt>
                <c:pt idx="42">
                  <c:v>11.86</c:v>
                </c:pt>
                <c:pt idx="43">
                  <c:v>11.65</c:v>
                </c:pt>
                <c:pt idx="44">
                  <c:v>11.78</c:v>
                </c:pt>
                <c:pt idx="45">
                  <c:v>12.84</c:v>
                </c:pt>
                <c:pt idx="46">
                  <c:v>12.59</c:v>
                </c:pt>
                <c:pt idx="47">
                  <c:v>12.59</c:v>
                </c:pt>
                <c:pt idx="48">
                  <c:v>12.47</c:v>
                </c:pt>
                <c:pt idx="49">
                  <c:v>13.42</c:v>
                </c:pt>
                <c:pt idx="50">
                  <c:v>14.13</c:v>
                </c:pt>
                <c:pt idx="51">
                  <c:v>18.309999999999999</c:v>
                </c:pt>
                <c:pt idx="52">
                  <c:v>18.100000000000001</c:v>
                </c:pt>
                <c:pt idx="53">
                  <c:v>18.13</c:v>
                </c:pt>
                <c:pt idx="54">
                  <c:v>14.89</c:v>
                </c:pt>
                <c:pt idx="55">
                  <c:v>14.63</c:v>
                </c:pt>
                <c:pt idx="56">
                  <c:v>14.66</c:v>
                </c:pt>
                <c:pt idx="57">
                  <c:v>13.21</c:v>
                </c:pt>
                <c:pt idx="58">
                  <c:v>13.16</c:v>
                </c:pt>
                <c:pt idx="59">
                  <c:v>13.05</c:v>
                </c:pt>
                <c:pt idx="60">
                  <c:v>13.85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9D-6341-9A45-E5DC228820F2}"/>
            </c:ext>
          </c:extLst>
        </c:ser>
        <c:ser>
          <c:idx val="2"/>
          <c:order val="2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23</c:v>
              </c:pt>
              <c:pt idx="1">
                <c:v>23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4500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99D-6341-9A45-E5DC228820F2}"/>
            </c:ext>
          </c:extLst>
        </c:ser>
        <c:ser>
          <c:idx val="3"/>
          <c:order val="3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48</c:v>
              </c:pt>
              <c:pt idx="1">
                <c:v>48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4500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9D-6341-9A45-E5DC228820F2}"/>
            </c:ext>
          </c:extLst>
        </c:ser>
        <c:ser>
          <c:idx val="4"/>
          <c:order val="4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71</c:v>
              </c:pt>
              <c:pt idx="1">
                <c:v>71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4500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C99D-6341-9A45-E5DC228820F2}"/>
            </c:ext>
          </c:extLst>
        </c:ser>
        <c:ser>
          <c:idx val="5"/>
          <c:order val="5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93</c:v>
              </c:pt>
              <c:pt idx="1">
                <c:v>93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4500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C99D-6341-9A45-E5DC228820F2}"/>
            </c:ext>
          </c:extLst>
        </c:ser>
        <c:ser>
          <c:idx val="6"/>
          <c:order val="6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4500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6-C99D-6341-9A45-E5DC22882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741823"/>
        <c:axId val="1215972831"/>
      </c:scatterChart>
      <c:valAx>
        <c:axId val="119674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ova" panose="020F0502020204030204" pitchFamily="34" charset="0"/>
                    <a:ea typeface="+mn-ea"/>
                    <a:cs typeface="Arial Nova" panose="020F0502020204030204" pitchFamily="34" charset="0"/>
                  </a:defRPr>
                </a:pPr>
                <a:r>
                  <a:rPr lang="es-MX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Nova" panose="020F0502020204030204" pitchFamily="34" charset="0"/>
                  <a:ea typeface="+mn-ea"/>
                  <a:cs typeface="Arial Nova" panose="020F050202020403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 Nova" panose="020F0502020204030204" pitchFamily="34" charset="0"/>
                <a:ea typeface="+mn-ea"/>
                <a:cs typeface="Arial Nova" panose="020F0502020204030204" pitchFamily="34" charset="0"/>
              </a:defRPr>
            </a:pPr>
            <a:endParaRPr lang="es-AR"/>
          </a:p>
        </c:txPr>
        <c:crossAx val="1215972831"/>
        <c:crosses val="autoZero"/>
        <c:crossBetween val="midCat"/>
      </c:valAx>
      <c:valAx>
        <c:axId val="1215972831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ova" panose="020F0502020204030204" pitchFamily="34" charset="0"/>
                    <a:ea typeface="+mn-ea"/>
                    <a:cs typeface="Arial Nova" panose="020F0502020204030204" pitchFamily="34" charset="0"/>
                  </a:defRPr>
                </a:pPr>
                <a:r>
                  <a:rPr lang="es-MX"/>
                  <a:t>CO2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Nova" panose="020F0502020204030204" pitchFamily="34" charset="0"/>
                  <a:ea typeface="+mn-ea"/>
                  <a:cs typeface="Arial Nova" panose="020F050202020403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 Nova" panose="020F0502020204030204" pitchFamily="34" charset="0"/>
                <a:ea typeface="+mn-ea"/>
                <a:cs typeface="Arial Nova" panose="020F0502020204030204" pitchFamily="34" charset="0"/>
              </a:defRPr>
            </a:pPr>
            <a:endParaRPr lang="es-AR"/>
          </a:p>
        </c:txPr>
        <c:crossAx val="119674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 Nova" panose="020F0502020204030204" pitchFamily="34" charset="0"/>
              <a:ea typeface="+mn-ea"/>
              <a:cs typeface="Arial Nova" panose="020F0502020204030204" pitchFamily="34" charset="0"/>
            </a:defRPr>
          </a:pPr>
          <a:endParaRPr lang="es-A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 Nova" panose="020F0502020204030204" pitchFamily="34" charset="0"/>
          <a:cs typeface="Arial Nova" panose="020F050202020403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Arial Nova" panose="020F0502020204030204" pitchFamily="34" charset="0"/>
                <a:ea typeface="+mn-ea"/>
                <a:cs typeface="Arial Nova" panose="020F0502020204030204" pitchFamily="34" charset="0"/>
              </a:defRPr>
            </a:pPr>
            <a:r>
              <a:rPr lang="es-MX" b="1"/>
              <a:t>SH2/CH4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Arial Nova" panose="020F0502020204030204" pitchFamily="34" charset="0"/>
              <a:ea typeface="+mn-ea"/>
              <a:cs typeface="Arial Nova" panose="020F0502020204030204" pitchFamily="34" charset="0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R1</c:v>
          </c:tx>
          <c:spPr>
            <a:ln w="19050" cap="rnd">
              <a:solidFill>
                <a:srgbClr val="43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372C4"/>
              </a:solidFill>
              <a:ln w="9525">
                <a:solidFill>
                  <a:srgbClr val="4372C4"/>
                </a:solidFill>
              </a:ln>
              <a:effectLst/>
            </c:spPr>
          </c:marker>
          <c:xVal>
            <c:numRef>
              <c:f>RESUMEN!$C$3:$C$63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69</c:v>
                </c:pt>
                <c:pt idx="38">
                  <c:v>70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79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90</c:v>
                </c:pt>
                <c:pt idx="48">
                  <c:v>91</c:v>
                </c:pt>
                <c:pt idx="49">
                  <c:v>92</c:v>
                </c:pt>
                <c:pt idx="50">
                  <c:v>93</c:v>
                </c:pt>
                <c:pt idx="51">
                  <c:v>97</c:v>
                </c:pt>
                <c:pt idx="52">
                  <c:v>98</c:v>
                </c:pt>
                <c:pt idx="53">
                  <c:v>99</c:v>
                </c:pt>
                <c:pt idx="54">
                  <c:v>100</c:v>
                </c:pt>
                <c:pt idx="55">
                  <c:v>104</c:v>
                </c:pt>
                <c:pt idx="56">
                  <c:v>105</c:v>
                </c:pt>
                <c:pt idx="57">
                  <c:v>106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</c:numCache>
            </c:numRef>
          </c:xVal>
          <c:yVal>
            <c:numRef>
              <c:f>RESUMEN!$I$3:$I$63</c:f>
              <c:numCache>
                <c:formatCode>0.00</c:formatCode>
                <c:ptCount val="61"/>
                <c:pt idx="0">
                  <c:v>50.813464235624124</c:v>
                </c:pt>
                <c:pt idx="1">
                  <c:v>41.169049621530696</c:v>
                </c:pt>
                <c:pt idx="2">
                  <c:v>32.449406838799717</c:v>
                </c:pt>
                <c:pt idx="3">
                  <c:v>31.013721646597592</c:v>
                </c:pt>
                <c:pt idx="4">
                  <c:v>27.566271855611955</c:v>
                </c:pt>
                <c:pt idx="5">
                  <c:v>27.4430308961275</c:v>
                </c:pt>
                <c:pt idx="6">
                  <c:v>26.722454672245465</c:v>
                </c:pt>
                <c:pt idx="7">
                  <c:v>29.142136248948695</c:v>
                </c:pt>
                <c:pt idx="8">
                  <c:v>26.548799770015815</c:v>
                </c:pt>
                <c:pt idx="9">
                  <c:v>27.368567068941598</c:v>
                </c:pt>
                <c:pt idx="10">
                  <c:v>27.276553949768488</c:v>
                </c:pt>
                <c:pt idx="11">
                  <c:v>26.769446391030137</c:v>
                </c:pt>
                <c:pt idx="12">
                  <c:v>23.13453928773318</c:v>
                </c:pt>
                <c:pt idx="13">
                  <c:v>15.613067458633857</c:v>
                </c:pt>
                <c:pt idx="14">
                  <c:v>13.098950949815706</c:v>
                </c:pt>
                <c:pt idx="15">
                  <c:v>18.194781120775705</c:v>
                </c:pt>
                <c:pt idx="16">
                  <c:v>12.329161271759459</c:v>
                </c:pt>
                <c:pt idx="17">
                  <c:v>9.7907835361684672</c:v>
                </c:pt>
                <c:pt idx="18">
                  <c:v>16.973386183465458</c:v>
                </c:pt>
                <c:pt idx="19">
                  <c:v>12.188248555727773</c:v>
                </c:pt>
                <c:pt idx="20">
                  <c:v>12.161399548532732</c:v>
                </c:pt>
                <c:pt idx="21">
                  <c:v>16.580744043472205</c:v>
                </c:pt>
                <c:pt idx="22">
                  <c:v>16.133108677337827</c:v>
                </c:pt>
                <c:pt idx="23">
                  <c:v>11.686143572621036</c:v>
                </c:pt>
                <c:pt idx="24">
                  <c:v>10.905233380480905</c:v>
                </c:pt>
                <c:pt idx="25">
                  <c:v>13.859453430005578</c:v>
                </c:pt>
                <c:pt idx="26">
                  <c:v>13.627966462981384</c:v>
                </c:pt>
                <c:pt idx="27">
                  <c:v>12.479061976549414</c:v>
                </c:pt>
                <c:pt idx="28">
                  <c:v>11.393649901657769</c:v>
                </c:pt>
                <c:pt idx="29">
                  <c:v>12.00674062631653</c:v>
                </c:pt>
                <c:pt idx="30">
                  <c:v>6.4064997336174745</c:v>
                </c:pt>
                <c:pt idx="31">
                  <c:v>5.2011377488825685</c:v>
                </c:pt>
                <c:pt idx="32">
                  <c:v>4.7799593771157758</c:v>
                </c:pt>
                <c:pt idx="33">
                  <c:v>5.1973318510283493</c:v>
                </c:pt>
                <c:pt idx="34">
                  <c:v>5.3187057353145395</c:v>
                </c:pt>
                <c:pt idx="35">
                  <c:v>4.0768380320619126</c:v>
                </c:pt>
                <c:pt idx="36">
                  <c:v>3.7161688402748561</c:v>
                </c:pt>
                <c:pt idx="37">
                  <c:v>4.6970539188438023</c:v>
                </c:pt>
                <c:pt idx="38">
                  <c:v>3.9912220545878481</c:v>
                </c:pt>
                <c:pt idx="39">
                  <c:v>2.7293608971760572</c:v>
                </c:pt>
                <c:pt idx="40">
                  <c:v>2.9046774853402426</c:v>
                </c:pt>
                <c:pt idx="41">
                  <c:v>1.9311845505235958</c:v>
                </c:pt>
                <c:pt idx="42">
                  <c:v>0.77079107505070987</c:v>
                </c:pt>
                <c:pt idx="43">
                  <c:v>0.37453183520599248</c:v>
                </c:pt>
                <c:pt idx="44">
                  <c:v>0.25493090030860055</c:v>
                </c:pt>
                <c:pt idx="45">
                  <c:v>0.30520169851380041</c:v>
                </c:pt>
                <c:pt idx="46">
                  <c:v>0.30411212481819383</c:v>
                </c:pt>
                <c:pt idx="47">
                  <c:v>0.75512405609492994</c:v>
                </c:pt>
                <c:pt idx="48">
                  <c:v>0.3765971755211836</c:v>
                </c:pt>
                <c:pt idx="49">
                  <c:v>0.4329590041942904</c:v>
                </c:pt>
                <c:pt idx="50">
                  <c:v>0.46283691805063987</c:v>
                </c:pt>
                <c:pt idx="51">
                  <c:v>10.433453737149208</c:v>
                </c:pt>
                <c:pt idx="52">
                  <c:v>12.764495740588073</c:v>
                </c:pt>
                <c:pt idx="53">
                  <c:v>16.452872281093139</c:v>
                </c:pt>
                <c:pt idx="54">
                  <c:v>20.984278879015719</c:v>
                </c:pt>
                <c:pt idx="55">
                  <c:v>35.012127264945072</c:v>
                </c:pt>
                <c:pt idx="56">
                  <c:v>39.229953008943461</c:v>
                </c:pt>
                <c:pt idx="57">
                  <c:v>36.972450175849943</c:v>
                </c:pt>
                <c:pt idx="58">
                  <c:v>37.854482956173023</c:v>
                </c:pt>
                <c:pt idx="59">
                  <c:v>39.178823883290725</c:v>
                </c:pt>
                <c:pt idx="60">
                  <c:v>40.443764345830147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95-ED44-9D8E-4EEDE1887A0D}"/>
            </c:ext>
          </c:extLst>
        </c:ser>
        <c:ser>
          <c:idx val="1"/>
          <c:order val="1"/>
          <c:tx>
            <c:v>R2</c:v>
          </c:tx>
          <c:spPr>
            <a:ln w="19050" cap="rnd">
              <a:solidFill>
                <a:srgbClr val="BBB92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BB92C"/>
              </a:solidFill>
              <a:ln w="9525">
                <a:solidFill>
                  <a:srgbClr val="BBB92C"/>
                </a:solidFill>
              </a:ln>
              <a:effectLst/>
            </c:spPr>
          </c:marker>
          <c:xVal>
            <c:numRef>
              <c:f>RESUMEN!$C$3:$C$63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69</c:v>
                </c:pt>
                <c:pt idx="38">
                  <c:v>70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79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90</c:v>
                </c:pt>
                <c:pt idx="48">
                  <c:v>91</c:v>
                </c:pt>
                <c:pt idx="49">
                  <c:v>92</c:v>
                </c:pt>
                <c:pt idx="50">
                  <c:v>93</c:v>
                </c:pt>
                <c:pt idx="51">
                  <c:v>97</c:v>
                </c:pt>
                <c:pt idx="52">
                  <c:v>98</c:v>
                </c:pt>
                <c:pt idx="53">
                  <c:v>99</c:v>
                </c:pt>
                <c:pt idx="54">
                  <c:v>100</c:v>
                </c:pt>
                <c:pt idx="55">
                  <c:v>104</c:v>
                </c:pt>
                <c:pt idx="56">
                  <c:v>105</c:v>
                </c:pt>
                <c:pt idx="57">
                  <c:v>106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</c:numCache>
            </c:numRef>
          </c:xVal>
          <c:yVal>
            <c:numRef>
              <c:f>RESUMEN!$Q$3:$Q$63</c:f>
              <c:numCache>
                <c:formatCode>0.00</c:formatCode>
                <c:ptCount val="61"/>
                <c:pt idx="0">
                  <c:v>46.605890603085555</c:v>
                </c:pt>
                <c:pt idx="1">
                  <c:v>46.605890603085555</c:v>
                </c:pt>
                <c:pt idx="2">
                  <c:v>48.062797061788849</c:v>
                </c:pt>
                <c:pt idx="3">
                  <c:v>36.544385326239151</c:v>
                </c:pt>
                <c:pt idx="4">
                  <c:v>35.540838852097131</c:v>
                </c:pt>
                <c:pt idx="5">
                  <c:v>34.631004061055876</c:v>
                </c:pt>
                <c:pt idx="6">
                  <c:v>42.67631103074141</c:v>
                </c:pt>
                <c:pt idx="7">
                  <c:v>37.784248474764283</c:v>
                </c:pt>
                <c:pt idx="8">
                  <c:v>45.362399333518468</c:v>
                </c:pt>
                <c:pt idx="9">
                  <c:v>35.053971768613337</c:v>
                </c:pt>
                <c:pt idx="10">
                  <c:v>43.069168300196026</c:v>
                </c:pt>
                <c:pt idx="11">
                  <c:v>32.520881829385182</c:v>
                </c:pt>
                <c:pt idx="12">
                  <c:v>35.273735273735269</c:v>
                </c:pt>
                <c:pt idx="13">
                  <c:v>37.033384983800538</c:v>
                </c:pt>
                <c:pt idx="14">
                  <c:v>36.453619909502265</c:v>
                </c:pt>
                <c:pt idx="16">
                  <c:v>37.057754160257304</c:v>
                </c:pt>
                <c:pt idx="17">
                  <c:v>36.124862486248624</c:v>
                </c:pt>
                <c:pt idx="18">
                  <c:v>50.520165312811741</c:v>
                </c:pt>
                <c:pt idx="19">
                  <c:v>33.356439761541665</c:v>
                </c:pt>
                <c:pt idx="20">
                  <c:v>35.001413627367832</c:v>
                </c:pt>
                <c:pt idx="21">
                  <c:v>40.33755274261604</c:v>
                </c:pt>
                <c:pt idx="22">
                  <c:v>40.732488511349395</c:v>
                </c:pt>
                <c:pt idx="23">
                  <c:v>40.183098591549296</c:v>
                </c:pt>
                <c:pt idx="24">
                  <c:v>34.170714781401806</c:v>
                </c:pt>
                <c:pt idx="25">
                  <c:v>40.118744698897373</c:v>
                </c:pt>
                <c:pt idx="26">
                  <c:v>42.220945266484698</c:v>
                </c:pt>
                <c:pt idx="27">
                  <c:v>39.453290122587006</c:v>
                </c:pt>
                <c:pt idx="28">
                  <c:v>38.127413127413128</c:v>
                </c:pt>
                <c:pt idx="29">
                  <c:v>45.136026380873865</c:v>
                </c:pt>
                <c:pt idx="30">
                  <c:v>37.130689379824325</c:v>
                </c:pt>
                <c:pt idx="31">
                  <c:v>34.81029450782701</c:v>
                </c:pt>
                <c:pt idx="32">
                  <c:v>35.177398160315377</c:v>
                </c:pt>
                <c:pt idx="33">
                  <c:v>36.829994585814838</c:v>
                </c:pt>
                <c:pt idx="34">
                  <c:v>35.782404298186698</c:v>
                </c:pt>
                <c:pt idx="35">
                  <c:v>33.526400862068968</c:v>
                </c:pt>
                <c:pt idx="36">
                  <c:v>38.971898560657984</c:v>
                </c:pt>
                <c:pt idx="37">
                  <c:v>41.359692789076945</c:v>
                </c:pt>
                <c:pt idx="38">
                  <c:v>37.725145369451141</c:v>
                </c:pt>
                <c:pt idx="39">
                  <c:v>30.288882404435363</c:v>
                </c:pt>
                <c:pt idx="40">
                  <c:v>33.457408732999284</c:v>
                </c:pt>
                <c:pt idx="41">
                  <c:v>39.574956921309592</c:v>
                </c:pt>
                <c:pt idx="42">
                  <c:v>36.986301369863014</c:v>
                </c:pt>
                <c:pt idx="43">
                  <c:v>38.017337807606268</c:v>
                </c:pt>
                <c:pt idx="44">
                  <c:v>42.463919059663745</c:v>
                </c:pt>
                <c:pt idx="45">
                  <c:v>36.649597659107535</c:v>
                </c:pt>
                <c:pt idx="46">
                  <c:v>37.145763697137042</c:v>
                </c:pt>
                <c:pt idx="47">
                  <c:v>38.699602498580354</c:v>
                </c:pt>
                <c:pt idx="48">
                  <c:v>39.600470035252648</c:v>
                </c:pt>
                <c:pt idx="49">
                  <c:v>41.590080233406276</c:v>
                </c:pt>
                <c:pt idx="50">
                  <c:v>43.314803978935053</c:v>
                </c:pt>
                <c:pt idx="51">
                  <c:v>48.492016558249553</c:v>
                </c:pt>
                <c:pt idx="52">
                  <c:v>47.442126321806228</c:v>
                </c:pt>
                <c:pt idx="53">
                  <c:v>45.136026380873865</c:v>
                </c:pt>
                <c:pt idx="54">
                  <c:v>37.130689379824325</c:v>
                </c:pt>
                <c:pt idx="55">
                  <c:v>34.81029450782701</c:v>
                </c:pt>
                <c:pt idx="56">
                  <c:v>35.177398160315377</c:v>
                </c:pt>
                <c:pt idx="57">
                  <c:v>36.829994585814838</c:v>
                </c:pt>
                <c:pt idx="58">
                  <c:v>35.782404298186698</c:v>
                </c:pt>
                <c:pt idx="59">
                  <c:v>33.526400862068968</c:v>
                </c:pt>
                <c:pt idx="60">
                  <c:v>38.971898560657984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95-ED44-9D8E-4EEDE1887A0D}"/>
            </c:ext>
          </c:extLst>
        </c:ser>
        <c:ser>
          <c:idx val="2"/>
          <c:order val="2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23</c:v>
              </c:pt>
              <c:pt idx="1">
                <c:v>23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4500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895-ED44-9D8E-4EEDE1887A0D}"/>
            </c:ext>
          </c:extLst>
        </c:ser>
        <c:ser>
          <c:idx val="3"/>
          <c:order val="3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48</c:v>
              </c:pt>
              <c:pt idx="1">
                <c:v>48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4500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8895-ED44-9D8E-4EEDE1887A0D}"/>
            </c:ext>
          </c:extLst>
        </c:ser>
        <c:ser>
          <c:idx val="4"/>
          <c:order val="4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71</c:v>
              </c:pt>
              <c:pt idx="1">
                <c:v>71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4500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8895-ED44-9D8E-4EEDE1887A0D}"/>
            </c:ext>
          </c:extLst>
        </c:ser>
        <c:ser>
          <c:idx val="5"/>
          <c:order val="5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93</c:v>
              </c:pt>
              <c:pt idx="1">
                <c:v>93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4500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8895-ED44-9D8E-4EEDE1887A0D}"/>
            </c:ext>
          </c:extLst>
        </c:ser>
        <c:ser>
          <c:idx val="6"/>
          <c:order val="6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4500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6-8895-ED44-9D8E-4EEDE1887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741823"/>
        <c:axId val="1215972831"/>
      </c:scatterChart>
      <c:valAx>
        <c:axId val="119674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ova" panose="020F0502020204030204" pitchFamily="34" charset="0"/>
                    <a:ea typeface="+mn-ea"/>
                    <a:cs typeface="Arial Nova" panose="020F0502020204030204" pitchFamily="34" charset="0"/>
                  </a:defRPr>
                </a:pPr>
                <a:r>
                  <a:rPr lang="es-MX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Nova" panose="020F0502020204030204" pitchFamily="34" charset="0"/>
                  <a:ea typeface="+mn-ea"/>
                  <a:cs typeface="Arial Nova" panose="020F050202020403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 Nova" panose="020F0502020204030204" pitchFamily="34" charset="0"/>
                <a:ea typeface="+mn-ea"/>
                <a:cs typeface="Arial Nova" panose="020F0502020204030204" pitchFamily="34" charset="0"/>
              </a:defRPr>
            </a:pPr>
            <a:endParaRPr lang="es-AR"/>
          </a:p>
        </c:txPr>
        <c:crossAx val="1215972831"/>
        <c:crosses val="autoZero"/>
        <c:crossBetween val="midCat"/>
      </c:valAx>
      <c:valAx>
        <c:axId val="1215972831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ova" panose="020F0502020204030204" pitchFamily="34" charset="0"/>
                    <a:ea typeface="+mn-ea"/>
                    <a:cs typeface="Arial Nova" panose="020F0502020204030204" pitchFamily="34" charset="0"/>
                  </a:defRPr>
                </a:pPr>
                <a:r>
                  <a:rPr lang="es-MX"/>
                  <a:t>SH2/CH4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Nova" panose="020F0502020204030204" pitchFamily="34" charset="0"/>
                  <a:ea typeface="+mn-ea"/>
                  <a:cs typeface="Arial Nova" panose="020F0502020204030204" pitchFamily="34" charset="0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 Nova" panose="020F0502020204030204" pitchFamily="34" charset="0"/>
                <a:ea typeface="+mn-ea"/>
                <a:cs typeface="Arial Nova" panose="020F0502020204030204" pitchFamily="34" charset="0"/>
              </a:defRPr>
            </a:pPr>
            <a:endParaRPr lang="es-AR"/>
          </a:p>
        </c:txPr>
        <c:crossAx val="119674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 Nova" panose="020F0502020204030204" pitchFamily="34" charset="0"/>
              <a:ea typeface="+mn-ea"/>
              <a:cs typeface="Arial Nova" panose="020F0502020204030204" pitchFamily="34" charset="0"/>
            </a:defRPr>
          </a:pPr>
          <a:endParaRPr lang="es-A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 Nova" panose="020F0502020204030204" pitchFamily="34" charset="0"/>
          <a:cs typeface="Arial Nova" panose="020F050202020403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Arial Nova" panose="020F0502020204030204" pitchFamily="34" charset="0"/>
                <a:ea typeface="+mn-ea"/>
                <a:cs typeface="Arial Nova" panose="020F0502020204030204" pitchFamily="34" charset="0"/>
              </a:defRPr>
            </a:pPr>
            <a:r>
              <a:rPr lang="es-MX" b="1"/>
              <a:t>DQO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 Nova" panose="020F0502020204030204" pitchFamily="34" charset="0"/>
              <a:ea typeface="+mn-ea"/>
              <a:cs typeface="Arial Nova" panose="020F0502020204030204" pitchFamily="34" charset="0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R1</c:v>
          </c:tx>
          <c:spPr>
            <a:ln w="19050" cap="rnd">
              <a:solidFill>
                <a:srgbClr val="43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372C4"/>
              </a:solidFill>
              <a:ln w="9525">
                <a:solidFill>
                  <a:srgbClr val="4372C4"/>
                </a:solidFill>
              </a:ln>
              <a:effectLst/>
            </c:spPr>
          </c:marker>
          <c:xVal>
            <c:numRef>
              <c:f>RESUMEN!$AG$4:$AG$17</c:f>
              <c:numCache>
                <c:formatCode>General</c:formatCode>
                <c:ptCount val="14"/>
                <c:pt idx="0">
                  <c:v>-5</c:v>
                </c:pt>
                <c:pt idx="1">
                  <c:v>2</c:v>
                </c:pt>
                <c:pt idx="2">
                  <c:v>8</c:v>
                </c:pt>
                <c:pt idx="3">
                  <c:v>16</c:v>
                </c:pt>
                <c:pt idx="4">
                  <c:v>23</c:v>
                </c:pt>
                <c:pt idx="5">
                  <c:v>27</c:v>
                </c:pt>
                <c:pt idx="6">
                  <c:v>37</c:v>
                </c:pt>
                <c:pt idx="7">
                  <c:v>44</c:v>
                </c:pt>
                <c:pt idx="8">
                  <c:v>58</c:v>
                </c:pt>
                <c:pt idx="9">
                  <c:v>65</c:v>
                </c:pt>
                <c:pt idx="10">
                  <c:v>78</c:v>
                </c:pt>
                <c:pt idx="11">
                  <c:v>85</c:v>
                </c:pt>
                <c:pt idx="12">
                  <c:v>93</c:v>
                </c:pt>
                <c:pt idx="13">
                  <c:v>100</c:v>
                </c:pt>
              </c:numCache>
            </c:numRef>
          </c:xVal>
          <c:yVal>
            <c:numRef>
              <c:f>RESUMEN!$AH$4:$AH$17</c:f>
              <c:numCache>
                <c:formatCode>0.00</c:formatCode>
                <c:ptCount val="14"/>
                <c:pt idx="0">
                  <c:v>2132.3780000000002</c:v>
                </c:pt>
                <c:pt idx="1">
                  <c:v>1699.1457499999997</c:v>
                </c:pt>
                <c:pt idx="2">
                  <c:v>1979.4725000000001</c:v>
                </c:pt>
                <c:pt idx="3">
                  <c:v>1936.9987500000002</c:v>
                </c:pt>
                <c:pt idx="4">
                  <c:v>1775.5985000000001</c:v>
                </c:pt>
                <c:pt idx="5">
                  <c:v>1775.5984999999998</c:v>
                </c:pt>
                <c:pt idx="6" formatCode="General">
                  <c:v>1818.0722499999999</c:v>
                </c:pt>
                <c:pt idx="7">
                  <c:v>2140.87275</c:v>
                </c:pt>
                <c:pt idx="8">
                  <c:v>1962.4829999999999</c:v>
                </c:pt>
                <c:pt idx="9">
                  <c:v>1622.6929999999998</c:v>
                </c:pt>
                <c:pt idx="10">
                  <c:v>1495.2717500000003</c:v>
                </c:pt>
                <c:pt idx="11">
                  <c:v>1631.1877499999998</c:v>
                </c:pt>
                <c:pt idx="12">
                  <c:v>1495.2717499999999</c:v>
                </c:pt>
                <c:pt idx="13">
                  <c:v>1529.2507499999999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45-D24A-B618-1E8F04AB543B}"/>
            </c:ext>
          </c:extLst>
        </c:ser>
        <c:ser>
          <c:idx val="1"/>
          <c:order val="1"/>
          <c:tx>
            <c:v>R2</c:v>
          </c:tx>
          <c:spPr>
            <a:ln w="19050" cap="rnd">
              <a:solidFill>
                <a:srgbClr val="BBB92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BB92C"/>
              </a:solidFill>
              <a:ln w="9525">
                <a:solidFill>
                  <a:srgbClr val="BBB92C"/>
                </a:solidFill>
              </a:ln>
              <a:effectLst/>
            </c:spPr>
          </c:marker>
          <c:xVal>
            <c:numRef>
              <c:f>RESUMEN!$AG$4:$AG$17</c:f>
              <c:numCache>
                <c:formatCode>General</c:formatCode>
                <c:ptCount val="14"/>
                <c:pt idx="0">
                  <c:v>-5</c:v>
                </c:pt>
                <c:pt idx="1">
                  <c:v>2</c:v>
                </c:pt>
                <c:pt idx="2">
                  <c:v>8</c:v>
                </c:pt>
                <c:pt idx="3">
                  <c:v>16</c:v>
                </c:pt>
                <c:pt idx="4">
                  <c:v>23</c:v>
                </c:pt>
                <c:pt idx="5">
                  <c:v>27</c:v>
                </c:pt>
                <c:pt idx="6">
                  <c:v>37</c:v>
                </c:pt>
                <c:pt idx="7">
                  <c:v>44</c:v>
                </c:pt>
                <c:pt idx="8">
                  <c:v>58</c:v>
                </c:pt>
                <c:pt idx="9">
                  <c:v>65</c:v>
                </c:pt>
                <c:pt idx="10">
                  <c:v>78</c:v>
                </c:pt>
                <c:pt idx="11">
                  <c:v>85</c:v>
                </c:pt>
                <c:pt idx="12">
                  <c:v>93</c:v>
                </c:pt>
                <c:pt idx="13">
                  <c:v>100</c:v>
                </c:pt>
              </c:numCache>
            </c:numRef>
          </c:xVal>
          <c:yVal>
            <c:numRef>
              <c:f>RESUMEN!$AI$4:$AI$17</c:f>
              <c:numCache>
                <c:formatCode>0.00</c:formatCode>
                <c:ptCount val="14"/>
                <c:pt idx="0">
                  <c:v>4060.6862500000002</c:v>
                </c:pt>
                <c:pt idx="1">
                  <c:v>4026.7072500000004</c:v>
                </c:pt>
                <c:pt idx="2">
                  <c:v>4391.9814999999999</c:v>
                </c:pt>
                <c:pt idx="3">
                  <c:v>4009.7177500000003</c:v>
                </c:pt>
                <c:pt idx="4">
                  <c:v>3500.0327499999999</c:v>
                </c:pt>
                <c:pt idx="5">
                  <c:v>3746.3805000000002</c:v>
                </c:pt>
                <c:pt idx="6" formatCode="General">
                  <c:v>3788.8542500000003</c:v>
                </c:pt>
                <c:pt idx="7">
                  <c:v>3822.8332500000006</c:v>
                </c:pt>
                <c:pt idx="8">
                  <c:v>3423.5800000000004</c:v>
                </c:pt>
                <c:pt idx="9">
                  <c:v>3202.7165</c:v>
                </c:pt>
                <c:pt idx="10">
                  <c:v>3049.8110000000001</c:v>
                </c:pt>
                <c:pt idx="11">
                  <c:v>3304.6535000000003</c:v>
                </c:pt>
                <c:pt idx="12">
                  <c:v>3007.3372500000005</c:v>
                </c:pt>
                <c:pt idx="13">
                  <c:v>3296.1587500000005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45-D24A-B618-1E8F04AB543B}"/>
            </c:ext>
          </c:extLst>
        </c:ser>
        <c:ser>
          <c:idx val="2"/>
          <c:order val="2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23</c:v>
              </c:pt>
              <c:pt idx="1">
                <c:v>23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4500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045-D24A-B618-1E8F04AB543B}"/>
            </c:ext>
          </c:extLst>
        </c:ser>
        <c:ser>
          <c:idx val="3"/>
          <c:order val="3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48</c:v>
              </c:pt>
              <c:pt idx="1">
                <c:v>48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4500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B045-D24A-B618-1E8F04AB543B}"/>
            </c:ext>
          </c:extLst>
        </c:ser>
        <c:ser>
          <c:idx val="4"/>
          <c:order val="4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71</c:v>
              </c:pt>
              <c:pt idx="1">
                <c:v>71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4500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B045-D24A-B618-1E8F04AB543B}"/>
            </c:ext>
          </c:extLst>
        </c:ser>
        <c:ser>
          <c:idx val="5"/>
          <c:order val="5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93</c:v>
              </c:pt>
              <c:pt idx="1">
                <c:v>93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4500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B045-D24A-B618-1E8F04AB543B}"/>
            </c:ext>
          </c:extLst>
        </c:ser>
        <c:ser>
          <c:idx val="6"/>
          <c:order val="6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4500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B045-D24A-B618-1E8F04AB5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741823"/>
        <c:axId val="1215972831"/>
      </c:scatterChart>
      <c:valAx>
        <c:axId val="119674182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ova" panose="020F0502020204030204" pitchFamily="34" charset="0"/>
                    <a:ea typeface="+mn-ea"/>
                    <a:cs typeface="Arial Nova" panose="020F0502020204030204" pitchFamily="34" charset="0"/>
                  </a:defRPr>
                </a:pPr>
                <a:r>
                  <a:rPr lang="es-MX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Nova" panose="020F0502020204030204" pitchFamily="34" charset="0"/>
                  <a:ea typeface="+mn-ea"/>
                  <a:cs typeface="Arial Nova" panose="020F050202020403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 Nova" panose="020F0502020204030204" pitchFamily="34" charset="0"/>
                <a:ea typeface="+mn-ea"/>
                <a:cs typeface="Arial Nova" panose="020F0502020204030204" pitchFamily="34" charset="0"/>
              </a:defRPr>
            </a:pPr>
            <a:endParaRPr lang="es-AR"/>
          </a:p>
        </c:txPr>
        <c:crossAx val="1215972831"/>
        <c:crosses val="autoZero"/>
        <c:crossBetween val="midCat"/>
      </c:valAx>
      <c:valAx>
        <c:axId val="1215972831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ova" panose="020F0502020204030204" pitchFamily="34" charset="0"/>
                    <a:ea typeface="+mn-ea"/>
                    <a:cs typeface="Arial Nova" panose="020F0502020204030204" pitchFamily="34" charset="0"/>
                  </a:defRPr>
                </a:pPr>
                <a:r>
                  <a:rPr lang="es-MX"/>
                  <a:t>DQO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Nova" panose="020F0502020204030204" pitchFamily="34" charset="0"/>
                  <a:ea typeface="+mn-ea"/>
                  <a:cs typeface="Arial Nova" panose="020F0502020204030204" pitchFamily="34" charset="0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 Nova" panose="020F0502020204030204" pitchFamily="34" charset="0"/>
                <a:ea typeface="+mn-ea"/>
                <a:cs typeface="Arial Nova" panose="020F0502020204030204" pitchFamily="34" charset="0"/>
              </a:defRPr>
            </a:pPr>
            <a:endParaRPr lang="es-AR"/>
          </a:p>
        </c:txPr>
        <c:crossAx val="119674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 Nova" panose="020F0502020204030204" pitchFamily="34" charset="0"/>
              <a:ea typeface="+mn-ea"/>
              <a:cs typeface="Arial Nova" panose="020F0502020204030204" pitchFamily="34" charset="0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 Nova" panose="020F0502020204030204" pitchFamily="34" charset="0"/>
          <a:cs typeface="Arial Nova" panose="020F050202020403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817033</xdr:colOff>
      <xdr:row>68</xdr:row>
      <xdr:rowOff>16163</xdr:rowOff>
    </xdr:from>
    <xdr:to>
      <xdr:col>13</xdr:col>
      <xdr:colOff>648855</xdr:colOff>
      <xdr:row>89</xdr:row>
      <xdr:rowOff>4617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BB2E1183-1B86-09DA-5354-7F8A225CB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90</xdr:row>
      <xdr:rowOff>13085</xdr:rowOff>
    </xdr:from>
    <xdr:to>
      <xdr:col>13</xdr:col>
      <xdr:colOff>657322</xdr:colOff>
      <xdr:row>110</xdr:row>
      <xdr:rowOff>190885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7EB07CDF-F81D-8C49-A864-7E9D92E02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18676</xdr:colOff>
      <xdr:row>111</xdr:row>
      <xdr:rowOff>178275</xdr:rowOff>
    </xdr:from>
    <xdr:to>
      <xdr:col>13</xdr:col>
      <xdr:colOff>675998</xdr:colOff>
      <xdr:row>132</xdr:row>
      <xdr:rowOff>154030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506CD288-30A0-8F49-BEA2-760C4385F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134</xdr:row>
      <xdr:rowOff>130464</xdr:rowOff>
    </xdr:from>
    <xdr:to>
      <xdr:col>13</xdr:col>
      <xdr:colOff>670022</xdr:colOff>
      <xdr:row>155</xdr:row>
      <xdr:rowOff>106217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9CC3595D-B314-AE4A-A979-21216BB7A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821329</xdr:colOff>
      <xdr:row>68</xdr:row>
      <xdr:rowOff>28865</xdr:rowOff>
    </xdr:from>
    <xdr:to>
      <xdr:col>26</xdr:col>
      <xdr:colOff>665851</xdr:colOff>
      <xdr:row>89</xdr:row>
      <xdr:rowOff>11080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3E345452-9E5A-7D64-229D-DE57EBA6F3E2}"/>
            </a:ext>
          </a:extLst>
        </xdr:cNvPr>
        <xdr:cNvGrpSpPr/>
      </xdr:nvGrpSpPr>
      <xdr:grpSpPr>
        <a:xfrm>
          <a:off x="11519809" y="13226705"/>
          <a:ext cx="10543002" cy="4036055"/>
          <a:chOff x="11702920" y="13132956"/>
          <a:chExt cx="10726113" cy="4225170"/>
        </a:xfrm>
      </xdr:grpSpPr>
      <xdr:graphicFrame macro="">
        <xdr:nvGraphicFramePr>
          <xdr:cNvPr id="23" name="Gráfico 22">
            <a:extLst>
              <a:ext uri="{FF2B5EF4-FFF2-40B4-BE49-F238E27FC236}">
                <a16:creationId xmlns:a16="http://schemas.microsoft.com/office/drawing/2014/main" id="{C9D9A242-9257-724B-A15E-27883C38B218}"/>
              </a:ext>
            </a:extLst>
          </xdr:cNvPr>
          <xdr:cNvGraphicFramePr>
            <a:graphicFrameLocks/>
          </xdr:cNvGraphicFramePr>
        </xdr:nvGraphicFramePr>
        <xdr:xfrm>
          <a:off x="11702920" y="13132956"/>
          <a:ext cx="10726113" cy="42251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30" name="Rectángulo 29">
            <a:extLst>
              <a:ext uri="{FF2B5EF4-FFF2-40B4-BE49-F238E27FC236}">
                <a16:creationId xmlns:a16="http://schemas.microsoft.com/office/drawing/2014/main" id="{5637BA01-71F4-864A-82A5-FD25BF6352BF}"/>
              </a:ext>
            </a:extLst>
          </xdr:cNvPr>
          <xdr:cNvSpPr/>
        </xdr:nvSpPr>
        <xdr:spPr>
          <a:xfrm>
            <a:off x="17956253" y="13597861"/>
            <a:ext cx="1701111" cy="2816897"/>
          </a:xfrm>
          <a:prstGeom prst="rect">
            <a:avLst/>
          </a:prstGeom>
          <a:solidFill>
            <a:schemeClr val="accent5">
              <a:alpha val="22541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AR" sz="2000" b="1">
                <a:solidFill>
                  <a:sysClr val="windowText" lastClr="000000"/>
                </a:solidFill>
                <a:effectLst/>
                <a:latin typeface="Arial Nova" panose="020F0502020204030204" pitchFamily="34" charset="0"/>
                <a:ea typeface="+mn-ea"/>
                <a:cs typeface="Arial Nova" panose="020F0502020204030204" pitchFamily="34" charset="0"/>
              </a:rPr>
              <a:t>4º</a:t>
            </a:r>
            <a:endParaRPr lang="es-AR" sz="2000" b="1">
              <a:solidFill>
                <a:sysClr val="windowText" lastClr="000000"/>
              </a:solidFill>
              <a:effectLst/>
              <a:latin typeface="Arial Nova" panose="020F0502020204030204" pitchFamily="34" charset="0"/>
              <a:cs typeface="Arial Nova" panose="020F0502020204030204" pitchFamily="34" charset="0"/>
            </a:endParaRPr>
          </a:p>
        </xdr:txBody>
      </xdr:sp>
      <xdr:sp macro="" textlink="">
        <xdr:nvSpPr>
          <xdr:cNvPr id="31" name="Rectángulo 30">
            <a:extLst>
              <a:ext uri="{FF2B5EF4-FFF2-40B4-BE49-F238E27FC236}">
                <a16:creationId xmlns:a16="http://schemas.microsoft.com/office/drawing/2014/main" id="{7B58F6CC-4CF9-0B49-B469-D34D338C021D}"/>
              </a:ext>
            </a:extLst>
          </xdr:cNvPr>
          <xdr:cNvSpPr/>
        </xdr:nvSpPr>
        <xdr:spPr>
          <a:xfrm>
            <a:off x="16180832" y="13597840"/>
            <a:ext cx="1775421" cy="2816916"/>
          </a:xfrm>
          <a:prstGeom prst="rect">
            <a:avLst/>
          </a:prstGeom>
          <a:solidFill>
            <a:schemeClr val="accent6">
              <a:alpha val="22541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AR" sz="2000" b="1">
                <a:solidFill>
                  <a:sysClr val="windowText" lastClr="000000"/>
                </a:solidFill>
                <a:effectLst/>
                <a:latin typeface="Arial Nova" panose="020F0502020204030204" pitchFamily="34" charset="0"/>
                <a:ea typeface="+mn-ea"/>
                <a:cs typeface="Arial Nova" panose="020F0502020204030204" pitchFamily="34" charset="0"/>
              </a:rPr>
              <a:t>3º</a:t>
            </a:r>
            <a:endParaRPr lang="es-AR" sz="2000" b="1">
              <a:solidFill>
                <a:sysClr val="windowText" lastClr="000000"/>
              </a:solidFill>
              <a:effectLst/>
              <a:latin typeface="Arial Nova" panose="020F0502020204030204" pitchFamily="34" charset="0"/>
              <a:cs typeface="Arial Nova" panose="020F0502020204030204" pitchFamily="34" charset="0"/>
            </a:endParaRPr>
          </a:p>
        </xdr:txBody>
      </xdr:sp>
      <xdr:sp macro="" textlink="">
        <xdr:nvSpPr>
          <xdr:cNvPr id="32" name="Rectángulo 31">
            <a:extLst>
              <a:ext uri="{FF2B5EF4-FFF2-40B4-BE49-F238E27FC236}">
                <a16:creationId xmlns:a16="http://schemas.microsoft.com/office/drawing/2014/main" id="{1C9D5A01-7418-304D-BAC3-9814EA982969}"/>
              </a:ext>
            </a:extLst>
          </xdr:cNvPr>
          <xdr:cNvSpPr/>
        </xdr:nvSpPr>
        <xdr:spPr>
          <a:xfrm>
            <a:off x="14250039" y="13597840"/>
            <a:ext cx="1930792" cy="2816916"/>
          </a:xfrm>
          <a:prstGeom prst="rect">
            <a:avLst/>
          </a:prstGeom>
          <a:solidFill>
            <a:srgbClr val="FFC000">
              <a:alpha val="22541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AR" sz="2000" b="1">
                <a:solidFill>
                  <a:sysClr val="windowText" lastClr="000000"/>
                </a:solidFill>
                <a:latin typeface="Arial Nova" panose="020F0502020204030204" pitchFamily="34" charset="0"/>
                <a:cs typeface="Arial Nova" panose="020F0502020204030204" pitchFamily="34" charset="0"/>
              </a:rPr>
              <a:t>2º</a:t>
            </a:r>
          </a:p>
        </xdr:txBody>
      </xdr:sp>
      <xdr:sp macro="" textlink="">
        <xdr:nvSpPr>
          <xdr:cNvPr id="33" name="Rectángulo 32">
            <a:extLst>
              <a:ext uri="{FF2B5EF4-FFF2-40B4-BE49-F238E27FC236}">
                <a16:creationId xmlns:a16="http://schemas.microsoft.com/office/drawing/2014/main" id="{93872948-5445-0844-9F26-82F7E8B94006}"/>
              </a:ext>
            </a:extLst>
          </xdr:cNvPr>
          <xdr:cNvSpPr/>
        </xdr:nvSpPr>
        <xdr:spPr>
          <a:xfrm>
            <a:off x="12470795" y="13599064"/>
            <a:ext cx="1777444" cy="2816915"/>
          </a:xfrm>
          <a:prstGeom prst="rect">
            <a:avLst/>
          </a:prstGeom>
          <a:solidFill>
            <a:srgbClr val="FF598C">
              <a:alpha val="22353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AR" sz="2000" b="1">
                <a:solidFill>
                  <a:schemeClr val="tx1"/>
                </a:solidFill>
                <a:latin typeface="Arial Nova" panose="020F0502020204030204" pitchFamily="34" charset="0"/>
                <a:cs typeface="Arial Nova" panose="020F0502020204030204" pitchFamily="34" charset="0"/>
              </a:rPr>
              <a:t>1º</a:t>
            </a:r>
          </a:p>
        </xdr:txBody>
      </xdr:sp>
      <xdr:sp macro="" textlink="">
        <xdr:nvSpPr>
          <xdr:cNvPr id="34" name="Rectángulo 33">
            <a:extLst>
              <a:ext uri="{FF2B5EF4-FFF2-40B4-BE49-F238E27FC236}">
                <a16:creationId xmlns:a16="http://schemas.microsoft.com/office/drawing/2014/main" id="{1D961F30-3F89-5A4A-B3B2-561E7A7639C7}"/>
              </a:ext>
            </a:extLst>
          </xdr:cNvPr>
          <xdr:cNvSpPr/>
        </xdr:nvSpPr>
        <xdr:spPr>
          <a:xfrm>
            <a:off x="19658618" y="13605553"/>
            <a:ext cx="1612039" cy="2816897"/>
          </a:xfrm>
          <a:prstGeom prst="rect">
            <a:avLst/>
          </a:prstGeom>
          <a:solidFill>
            <a:srgbClr val="7030A0">
              <a:alpha val="22541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AR" sz="2000" b="1">
                <a:solidFill>
                  <a:sysClr val="windowText" lastClr="000000"/>
                </a:solidFill>
                <a:effectLst/>
                <a:latin typeface="Arial Nova" panose="020F0502020204030204" pitchFamily="34" charset="0"/>
                <a:ea typeface="+mn-ea"/>
                <a:cs typeface="Arial Nova" panose="020F0502020204030204" pitchFamily="34" charset="0"/>
              </a:rPr>
              <a:t>5º</a:t>
            </a:r>
            <a:endParaRPr lang="es-AR" sz="2000" b="1">
              <a:solidFill>
                <a:sysClr val="windowText" lastClr="000000"/>
              </a:solidFill>
              <a:effectLst/>
              <a:latin typeface="Arial Nova" panose="020F0502020204030204" pitchFamily="34" charset="0"/>
              <a:cs typeface="Arial Nova" panose="020F0502020204030204" pitchFamily="34" charset="0"/>
            </a:endParaRPr>
          </a:p>
        </xdr:txBody>
      </xdr:sp>
    </xdr:grpSp>
    <xdr:clientData/>
  </xdr:twoCellAnchor>
  <xdr:twoCellAnchor>
    <xdr:from>
      <xdr:col>1</xdr:col>
      <xdr:colOff>0</xdr:colOff>
      <xdr:row>156</xdr:row>
      <xdr:rowOff>95707</xdr:rowOff>
    </xdr:from>
    <xdr:to>
      <xdr:col>13</xdr:col>
      <xdr:colOff>670022</xdr:colOff>
      <xdr:row>177</xdr:row>
      <xdr:rowOff>71460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4DB912D5-82A6-2E46-AA48-D2CBE4755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810965</xdr:colOff>
      <xdr:row>178</xdr:row>
      <xdr:rowOff>105370</xdr:rowOff>
    </xdr:from>
    <xdr:to>
      <xdr:col>13</xdr:col>
      <xdr:colOff>654722</xdr:colOff>
      <xdr:row>199</xdr:row>
      <xdr:rowOff>81123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7E5E6755-A7A5-0645-813C-0AB1179FB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99219</xdr:colOff>
      <xdr:row>200</xdr:row>
      <xdr:rowOff>147926</xdr:rowOff>
    </xdr:from>
    <xdr:to>
      <xdr:col>13</xdr:col>
      <xdr:colOff>775045</xdr:colOff>
      <xdr:row>221</xdr:row>
      <xdr:rowOff>129611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1A209A9C-B3ED-D341-B2E1-CC745A7D0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821764</xdr:colOff>
      <xdr:row>90</xdr:row>
      <xdr:rowOff>6111</xdr:rowOff>
    </xdr:from>
    <xdr:to>
      <xdr:col>26</xdr:col>
      <xdr:colOff>657321</xdr:colOff>
      <xdr:row>110</xdr:row>
      <xdr:rowOff>192876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4572DB55-3322-4D47-9F48-36CBADD64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44823</xdr:colOff>
      <xdr:row>111</xdr:row>
      <xdr:rowOff>178274</xdr:rowOff>
    </xdr:from>
    <xdr:to>
      <xdr:col>26</xdr:col>
      <xdr:colOff>702145</xdr:colOff>
      <xdr:row>132</xdr:row>
      <xdr:rowOff>162994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FE85F758-8743-6E47-88EA-6676DF127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0.13938</cdr:x>
      <cdr:y>0.23162</cdr:y>
    </cdr:from>
    <cdr:to>
      <cdr:x>0.27474</cdr:x>
      <cdr:y>0.32549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2DC181C2-CE7C-1651-E639-78C0F3F7D386}"/>
            </a:ext>
          </a:extLst>
        </cdr:cNvPr>
        <cdr:cNvSpPr txBox="1"/>
      </cdr:nvSpPr>
      <cdr:spPr>
        <a:xfrm xmlns:a="http://schemas.openxmlformats.org/drawingml/2006/main">
          <a:off x="1188990" y="1306826"/>
          <a:ext cx="1154727" cy="5296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MX" sz="1200" b="1">
              <a:solidFill>
                <a:schemeClr val="accent5"/>
              </a:solidFill>
              <a:latin typeface=""/>
            </a:rPr>
            <a:t>DIG</a:t>
          </a:r>
          <a:r>
            <a:rPr lang="es-MX" sz="1200" b="1" baseline="0">
              <a:solidFill>
                <a:schemeClr val="accent5"/>
              </a:solidFill>
              <a:latin typeface=""/>
            </a:rPr>
            <a:t> ACUM Stotal de S= </a:t>
          </a:r>
          <a:endParaRPr lang="es-MX" sz="1200" b="1">
            <a:solidFill>
              <a:schemeClr val="accent5"/>
            </a:solidFill>
            <a:latin typeface=""/>
          </a:endParaRPr>
        </a:p>
      </cdr:txBody>
    </cdr:sp>
  </cdr:relSizeAnchor>
  <cdr:relSizeAnchor xmlns:cdr="http://schemas.openxmlformats.org/drawingml/2006/chartDrawing">
    <cdr:from>
      <cdr:x>0.75745</cdr:x>
      <cdr:y>0.3854</cdr:y>
    </cdr:from>
    <cdr:to>
      <cdr:x>0.87808</cdr:x>
      <cdr:y>0.4593</cdr:y>
    </cdr:to>
    <cdr:sp macro="" textlink="">
      <cdr:nvSpPr>
        <cdr:cNvPr id="3" name="CuadroTexto 1">
          <a:extLst xmlns:a="http://schemas.openxmlformats.org/drawingml/2006/main">
            <a:ext uri="{FF2B5EF4-FFF2-40B4-BE49-F238E27FC236}">
              <a16:creationId xmlns:a16="http://schemas.microsoft.com/office/drawing/2014/main" id="{7757D3B5-8AD3-8E7B-553F-238907A0ED37}"/>
            </a:ext>
          </a:extLst>
        </cdr:cNvPr>
        <cdr:cNvSpPr txBox="1"/>
      </cdr:nvSpPr>
      <cdr:spPr>
        <a:xfrm xmlns:a="http://schemas.openxmlformats.org/drawingml/2006/main">
          <a:off x="6461645" y="2174401"/>
          <a:ext cx="1029054" cy="4169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 b="1">
              <a:solidFill>
                <a:schemeClr val="accent1"/>
              </a:solidFill>
              <a:latin typeface=""/>
            </a:rPr>
            <a:t>H</a:t>
          </a:r>
          <a:r>
            <a:rPr lang="es-MX" sz="900" b="1">
              <a:solidFill>
                <a:schemeClr val="accent1"/>
              </a:solidFill>
              <a:latin typeface=""/>
            </a:rPr>
            <a:t>2</a:t>
          </a:r>
          <a:r>
            <a:rPr lang="es-MX" sz="1200" b="1">
              <a:solidFill>
                <a:schemeClr val="accent1"/>
              </a:solidFill>
              <a:latin typeface=""/>
            </a:rPr>
            <a:t>S</a:t>
          </a:r>
          <a:r>
            <a:rPr lang="es-MX" sz="1200" b="1" baseline="0">
              <a:solidFill>
                <a:schemeClr val="accent1"/>
              </a:solidFill>
              <a:latin typeface=""/>
            </a:rPr>
            <a:t> ACUM</a:t>
          </a:r>
          <a:endParaRPr lang="es-MX" sz="1200" b="1">
            <a:solidFill>
              <a:schemeClr val="accent1"/>
            </a:solidFill>
            <a:latin typeface=""/>
          </a:endParaRPr>
        </a:p>
      </cdr:txBody>
    </cdr:sp>
  </cdr:relSizeAnchor>
  <cdr:relSizeAnchor xmlns:cdr="http://schemas.openxmlformats.org/drawingml/2006/chartDrawing">
    <cdr:from>
      <cdr:x>0.43266</cdr:x>
      <cdr:y>0.83418</cdr:y>
    </cdr:from>
    <cdr:to>
      <cdr:x>0.58752</cdr:x>
      <cdr:y>0.92805</cdr:y>
    </cdr:to>
    <cdr:sp macro="" textlink="">
      <cdr:nvSpPr>
        <cdr:cNvPr id="4" name="CuadroTexto 1">
          <a:extLst xmlns:a="http://schemas.openxmlformats.org/drawingml/2006/main">
            <a:ext uri="{FF2B5EF4-FFF2-40B4-BE49-F238E27FC236}">
              <a16:creationId xmlns:a16="http://schemas.microsoft.com/office/drawing/2014/main" id="{3223EBC6-D2C6-750A-E8F7-0E6E5BB48E55}"/>
            </a:ext>
          </a:extLst>
        </cdr:cNvPr>
        <cdr:cNvSpPr txBox="1"/>
      </cdr:nvSpPr>
      <cdr:spPr>
        <a:xfrm xmlns:a="http://schemas.openxmlformats.org/drawingml/2006/main">
          <a:off x="3616521" y="5045713"/>
          <a:ext cx="1294446" cy="5677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 b="1">
              <a:solidFill>
                <a:schemeClr val="accent4"/>
              </a:solidFill>
              <a:latin typeface=""/>
            </a:rPr>
            <a:t>DIG</a:t>
          </a:r>
          <a:r>
            <a:rPr lang="es-MX" sz="1200" b="1" baseline="0">
              <a:solidFill>
                <a:schemeClr val="accent4"/>
              </a:solidFill>
              <a:latin typeface=""/>
            </a:rPr>
            <a:t> ACUM Stotal de SO4=  </a:t>
          </a:r>
          <a:endParaRPr lang="es-MX" sz="1200" b="1">
            <a:solidFill>
              <a:schemeClr val="accent4"/>
            </a:solidFill>
            <a:latin typeface=""/>
          </a:endParaRPr>
        </a:p>
      </cdr:txBody>
    </cdr:sp>
  </cdr:relSizeAnchor>
  <cdr:relSizeAnchor xmlns:cdr="http://schemas.openxmlformats.org/drawingml/2006/chartDrawing">
    <cdr:from>
      <cdr:x>0.63944</cdr:x>
      <cdr:y>0.76398</cdr:y>
    </cdr:from>
    <cdr:to>
      <cdr:x>0.83329</cdr:x>
      <cdr:y>0.85784</cdr:y>
    </cdr:to>
    <cdr:sp macro="" textlink="">
      <cdr:nvSpPr>
        <cdr:cNvPr id="5" name="CuadroTexto 1">
          <a:extLst xmlns:a="http://schemas.openxmlformats.org/drawingml/2006/main">
            <a:ext uri="{FF2B5EF4-FFF2-40B4-BE49-F238E27FC236}">
              <a16:creationId xmlns:a16="http://schemas.microsoft.com/office/drawing/2014/main" id="{BF86568B-C6BC-4891-B700-CF9767AB203F}"/>
            </a:ext>
          </a:extLst>
        </cdr:cNvPr>
        <cdr:cNvSpPr txBox="1"/>
      </cdr:nvSpPr>
      <cdr:spPr>
        <a:xfrm xmlns:a="http://schemas.openxmlformats.org/drawingml/2006/main">
          <a:off x="5344949" y="4621087"/>
          <a:ext cx="1620332" cy="5677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 b="1">
              <a:solidFill>
                <a:schemeClr val="accent3"/>
              </a:solidFill>
              <a:latin typeface=""/>
            </a:rPr>
            <a:t>CAMBIO</a:t>
          </a:r>
          <a:r>
            <a:rPr lang="es-MX" sz="1200" b="1" baseline="0">
              <a:solidFill>
                <a:schemeClr val="accent3"/>
              </a:solidFill>
              <a:latin typeface=""/>
            </a:rPr>
            <a:t> BIORREACTOR Stotal de S= </a:t>
          </a:r>
          <a:endParaRPr lang="es-MX" sz="1200" b="1">
            <a:solidFill>
              <a:schemeClr val="accent3"/>
            </a:solidFill>
            <a:latin typeface=""/>
          </a:endParaRPr>
        </a:p>
      </cdr:txBody>
    </cdr:sp>
  </cdr:relSizeAnchor>
  <cdr:relSizeAnchor xmlns:cdr="http://schemas.openxmlformats.org/drawingml/2006/chartDrawing">
    <cdr:from>
      <cdr:x>0.71951</cdr:x>
      <cdr:y>0.64285</cdr:y>
    </cdr:from>
    <cdr:to>
      <cdr:x>0.91346</cdr:x>
      <cdr:y>0.73344</cdr:y>
    </cdr:to>
    <cdr:sp macro="" textlink="">
      <cdr:nvSpPr>
        <cdr:cNvPr id="6" name="CuadroTexto 1">
          <a:extLst xmlns:a="http://schemas.openxmlformats.org/drawingml/2006/main">
            <a:ext uri="{FF2B5EF4-FFF2-40B4-BE49-F238E27FC236}">
              <a16:creationId xmlns:a16="http://schemas.microsoft.com/office/drawing/2014/main" id="{42C57CF1-23A4-FFEA-E820-08331E2CED0F}"/>
            </a:ext>
          </a:extLst>
        </cdr:cNvPr>
        <cdr:cNvSpPr txBox="1"/>
      </cdr:nvSpPr>
      <cdr:spPr>
        <a:xfrm xmlns:a="http://schemas.openxmlformats.org/drawingml/2006/main">
          <a:off x="6014278" y="3888409"/>
          <a:ext cx="1621141" cy="547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 b="1">
              <a:solidFill>
                <a:schemeClr val="accent2"/>
              </a:solidFill>
              <a:latin typeface=""/>
            </a:rPr>
            <a:t>CAMBIO</a:t>
          </a:r>
          <a:r>
            <a:rPr lang="es-MX" sz="1200" b="1" baseline="0">
              <a:solidFill>
                <a:schemeClr val="accent2"/>
              </a:solidFill>
              <a:latin typeface=""/>
            </a:rPr>
            <a:t> BIORREACTOR Stotal de SO4= </a:t>
          </a:r>
          <a:endParaRPr lang="es-MX" sz="1200" b="1">
            <a:solidFill>
              <a:schemeClr val="accent2"/>
            </a:solidFill>
            <a:latin typeface="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0.15605</cdr:x>
      <cdr:y>0.22082</cdr:y>
    </cdr:from>
    <cdr:to>
      <cdr:x>0.29141</cdr:x>
      <cdr:y>0.31469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2DC181C2-CE7C-1651-E639-78C0F3F7D386}"/>
            </a:ext>
          </a:extLst>
        </cdr:cNvPr>
        <cdr:cNvSpPr txBox="1"/>
      </cdr:nvSpPr>
      <cdr:spPr>
        <a:xfrm xmlns:a="http://schemas.openxmlformats.org/drawingml/2006/main">
          <a:off x="1331243" y="1245849"/>
          <a:ext cx="1154742" cy="5296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MX" sz="1200" b="1">
              <a:solidFill>
                <a:schemeClr val="accent5"/>
              </a:solidFill>
              <a:latin typeface=""/>
            </a:rPr>
            <a:t>DIG</a:t>
          </a:r>
          <a:r>
            <a:rPr lang="es-MX" sz="1200" b="1" baseline="0">
              <a:solidFill>
                <a:schemeClr val="accent5"/>
              </a:solidFill>
              <a:latin typeface=""/>
            </a:rPr>
            <a:t> ACUM Stotal de S= </a:t>
          </a:r>
          <a:endParaRPr lang="es-MX" sz="1200" b="1">
            <a:solidFill>
              <a:schemeClr val="accent5"/>
            </a:solidFill>
            <a:latin typeface=""/>
          </a:endParaRPr>
        </a:p>
      </cdr:txBody>
    </cdr:sp>
  </cdr:relSizeAnchor>
  <cdr:relSizeAnchor xmlns:cdr="http://schemas.openxmlformats.org/drawingml/2006/chartDrawing">
    <cdr:from>
      <cdr:x>0.61395</cdr:x>
      <cdr:y>0.09328</cdr:y>
    </cdr:from>
    <cdr:to>
      <cdr:x>0.73458</cdr:x>
      <cdr:y>0.16718</cdr:y>
    </cdr:to>
    <cdr:sp macro="" textlink="">
      <cdr:nvSpPr>
        <cdr:cNvPr id="3" name="CuadroTexto 1">
          <a:extLst xmlns:a="http://schemas.openxmlformats.org/drawingml/2006/main">
            <a:ext uri="{FF2B5EF4-FFF2-40B4-BE49-F238E27FC236}">
              <a16:creationId xmlns:a16="http://schemas.microsoft.com/office/drawing/2014/main" id="{7757D3B5-8AD3-8E7B-553F-238907A0ED37}"/>
            </a:ext>
          </a:extLst>
        </cdr:cNvPr>
        <cdr:cNvSpPr txBox="1"/>
      </cdr:nvSpPr>
      <cdr:spPr>
        <a:xfrm xmlns:a="http://schemas.openxmlformats.org/drawingml/2006/main">
          <a:off x="5138354" y="564223"/>
          <a:ext cx="1009589" cy="447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 b="1">
              <a:solidFill>
                <a:schemeClr val="accent1"/>
              </a:solidFill>
              <a:latin typeface=""/>
            </a:rPr>
            <a:t>H</a:t>
          </a:r>
          <a:r>
            <a:rPr lang="es-MX" sz="900" b="1">
              <a:solidFill>
                <a:schemeClr val="accent1"/>
              </a:solidFill>
              <a:latin typeface=""/>
            </a:rPr>
            <a:t>2</a:t>
          </a:r>
          <a:r>
            <a:rPr lang="es-MX" sz="1200" b="1">
              <a:solidFill>
                <a:schemeClr val="accent1"/>
              </a:solidFill>
              <a:latin typeface=""/>
            </a:rPr>
            <a:t>S</a:t>
          </a:r>
          <a:r>
            <a:rPr lang="es-MX" sz="1200" b="1" baseline="0">
              <a:solidFill>
                <a:schemeClr val="accent1"/>
              </a:solidFill>
              <a:latin typeface=""/>
            </a:rPr>
            <a:t> ACUM</a:t>
          </a:r>
          <a:endParaRPr lang="es-MX" sz="1200" b="1">
            <a:solidFill>
              <a:schemeClr val="accent1"/>
            </a:solidFill>
            <a:latin typeface=""/>
          </a:endParaRPr>
        </a:p>
      </cdr:txBody>
    </cdr:sp>
  </cdr:relSizeAnchor>
  <cdr:relSizeAnchor xmlns:cdr="http://schemas.openxmlformats.org/drawingml/2006/chartDrawing">
    <cdr:from>
      <cdr:x>0.10744</cdr:x>
      <cdr:y>0.6156</cdr:y>
    </cdr:from>
    <cdr:to>
      <cdr:x>0.2623</cdr:x>
      <cdr:y>0.70947</cdr:y>
    </cdr:to>
    <cdr:sp macro="" textlink="">
      <cdr:nvSpPr>
        <cdr:cNvPr id="4" name="CuadroTexto 1">
          <a:extLst xmlns:a="http://schemas.openxmlformats.org/drawingml/2006/main">
            <a:ext uri="{FF2B5EF4-FFF2-40B4-BE49-F238E27FC236}">
              <a16:creationId xmlns:a16="http://schemas.microsoft.com/office/drawing/2014/main" id="{3223EBC6-D2C6-750A-E8F7-0E6E5BB48E55}"/>
            </a:ext>
          </a:extLst>
        </cdr:cNvPr>
        <cdr:cNvSpPr txBox="1"/>
      </cdr:nvSpPr>
      <cdr:spPr>
        <a:xfrm xmlns:a="http://schemas.openxmlformats.org/drawingml/2006/main">
          <a:off x="899237" y="3723595"/>
          <a:ext cx="1296070" cy="5677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 b="1">
              <a:solidFill>
                <a:schemeClr val="accent4"/>
              </a:solidFill>
              <a:latin typeface=""/>
            </a:rPr>
            <a:t>DIG</a:t>
          </a:r>
          <a:r>
            <a:rPr lang="es-MX" sz="1200" b="1" baseline="0">
              <a:solidFill>
                <a:schemeClr val="accent4"/>
              </a:solidFill>
              <a:latin typeface=""/>
            </a:rPr>
            <a:t> ACUM Stotal de SO4=  </a:t>
          </a:r>
          <a:endParaRPr lang="es-MX" sz="1200" b="1">
            <a:solidFill>
              <a:schemeClr val="accent4"/>
            </a:solidFill>
            <a:latin typeface=""/>
          </a:endParaRPr>
        </a:p>
      </cdr:txBody>
    </cdr:sp>
  </cdr:relSizeAnchor>
  <cdr:relSizeAnchor xmlns:cdr="http://schemas.openxmlformats.org/drawingml/2006/chartDrawing">
    <cdr:from>
      <cdr:x>0.64238</cdr:x>
      <cdr:y>0.764</cdr:y>
    </cdr:from>
    <cdr:to>
      <cdr:x>0.84779</cdr:x>
      <cdr:y>0.85786</cdr:y>
    </cdr:to>
    <cdr:sp macro="" textlink="">
      <cdr:nvSpPr>
        <cdr:cNvPr id="5" name="CuadroTexto 1">
          <a:extLst xmlns:a="http://schemas.openxmlformats.org/drawingml/2006/main">
            <a:ext uri="{FF2B5EF4-FFF2-40B4-BE49-F238E27FC236}">
              <a16:creationId xmlns:a16="http://schemas.microsoft.com/office/drawing/2014/main" id="{BF86568B-C6BC-4891-B700-CF9767AB203F}"/>
            </a:ext>
          </a:extLst>
        </cdr:cNvPr>
        <cdr:cNvSpPr txBox="1"/>
      </cdr:nvSpPr>
      <cdr:spPr>
        <a:xfrm xmlns:a="http://schemas.openxmlformats.org/drawingml/2006/main">
          <a:off x="5376310" y="4621224"/>
          <a:ext cx="1719124" cy="5677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 b="1">
              <a:solidFill>
                <a:schemeClr val="accent3"/>
              </a:solidFill>
              <a:latin typeface=""/>
            </a:rPr>
            <a:t>CAMBIO</a:t>
          </a:r>
          <a:r>
            <a:rPr lang="es-MX" sz="1200" b="1" baseline="0">
              <a:solidFill>
                <a:schemeClr val="accent3"/>
              </a:solidFill>
              <a:latin typeface=""/>
            </a:rPr>
            <a:t> BIORREACTOR Stotal de S= </a:t>
          </a:r>
          <a:endParaRPr lang="es-MX" sz="1200" b="1">
            <a:solidFill>
              <a:schemeClr val="accent3"/>
            </a:solidFill>
            <a:latin typeface=""/>
          </a:endParaRPr>
        </a:p>
      </cdr:txBody>
    </cdr:sp>
  </cdr:relSizeAnchor>
  <cdr:relSizeAnchor xmlns:cdr="http://schemas.openxmlformats.org/drawingml/2006/chartDrawing">
    <cdr:from>
      <cdr:x>0.73869</cdr:x>
      <cdr:y>0.23054</cdr:y>
    </cdr:from>
    <cdr:to>
      <cdr:x>0.93521</cdr:x>
      <cdr:y>0.32441</cdr:y>
    </cdr:to>
    <cdr:sp macro="" textlink="">
      <cdr:nvSpPr>
        <cdr:cNvPr id="6" name="CuadroTexto 1">
          <a:extLst xmlns:a="http://schemas.openxmlformats.org/drawingml/2006/main">
            <a:ext uri="{FF2B5EF4-FFF2-40B4-BE49-F238E27FC236}">
              <a16:creationId xmlns:a16="http://schemas.microsoft.com/office/drawing/2014/main" id="{0BE6F788-1542-9FF0-5BC5-74B94B9CE6FA}"/>
            </a:ext>
          </a:extLst>
        </cdr:cNvPr>
        <cdr:cNvSpPr txBox="1"/>
      </cdr:nvSpPr>
      <cdr:spPr>
        <a:xfrm xmlns:a="http://schemas.openxmlformats.org/drawingml/2006/main">
          <a:off x="6182332" y="1394478"/>
          <a:ext cx="1644733" cy="5677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 b="1">
              <a:solidFill>
                <a:schemeClr val="accent2"/>
              </a:solidFill>
              <a:latin typeface=""/>
            </a:rPr>
            <a:t>CAMBIO</a:t>
          </a:r>
          <a:r>
            <a:rPr lang="es-MX" sz="1200" b="1" baseline="0">
              <a:solidFill>
                <a:schemeClr val="accent2"/>
              </a:solidFill>
              <a:latin typeface=""/>
            </a:rPr>
            <a:t> BIORREACTOR Stotal de SO4= </a:t>
          </a:r>
          <a:endParaRPr lang="es-MX" sz="1200" b="1">
            <a:solidFill>
              <a:schemeClr val="accent2"/>
            </a:solidFill>
            <a:latin typeface=""/>
          </a:endParaRP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870789</xdr:colOff>
      <xdr:row>38</xdr:row>
      <xdr:rowOff>142875</xdr:rowOff>
    </xdr:from>
    <xdr:ext cx="184731" cy="937629"/>
    <xdr:sp macro="" textlink="">
      <xdr:nvSpPr>
        <xdr:cNvPr id="13" name="Rectángulo 18">
          <a:extLst>
            <a:ext uri="{FF2B5EF4-FFF2-40B4-BE49-F238E27FC236}">
              <a16:creationId xmlns:a16="http://schemas.microsoft.com/office/drawing/2014/main" id="{FEAFB932-1731-8243-B199-A66176592A36}"/>
            </a:ext>
            <a:ext uri="{147F2762-F138-4A5C-976F-8EAC2B608ADB}">
              <a16:predDERef xmlns:a16="http://schemas.microsoft.com/office/drawing/2014/main" pred="{1AB46FF1-B61B-4579-8F03-43EFE12B5FB5}"/>
            </a:ext>
          </a:extLst>
        </xdr:cNvPr>
        <xdr:cNvSpPr/>
      </xdr:nvSpPr>
      <xdr:spPr>
        <a:xfrm>
          <a:off x="3296489" y="8601075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5400" b="1" cap="none" spc="0"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pattFill prst="narHorz">
              <a:fgClr>
                <a:schemeClr val="accent3"/>
              </a:fgClr>
              <a:bgClr>
                <a:schemeClr val="accent3">
                  <a:lumMod val="40000"/>
                  <a:lumOff val="60000"/>
                </a:schemeClr>
              </a:bgClr>
            </a:patt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oneCellAnchor>
    <xdr:from>
      <xdr:col>3</xdr:col>
      <xdr:colOff>404091</xdr:colOff>
      <xdr:row>11</xdr:row>
      <xdr:rowOff>127000</xdr:rowOff>
    </xdr:from>
    <xdr:ext cx="582155" cy="937629"/>
    <xdr:sp macro="" textlink="">
      <xdr:nvSpPr>
        <xdr:cNvPr id="15" name="Rectángulo 13">
          <a:extLst>
            <a:ext uri="{FF2B5EF4-FFF2-40B4-BE49-F238E27FC236}">
              <a16:creationId xmlns:a16="http://schemas.microsoft.com/office/drawing/2014/main" id="{9BF6F7F9-B0CC-1F47-BBDF-D11667CD27F5}"/>
            </a:ext>
            <a:ext uri="{147F2762-F138-4A5C-976F-8EAC2B608ADB}">
              <a16:predDERef xmlns:a16="http://schemas.microsoft.com/office/drawing/2014/main" pred="{0750452A-D474-4CF9-A8FA-43BE142D1DD1}"/>
            </a:ext>
          </a:extLst>
        </xdr:cNvPr>
        <xdr:cNvSpPr/>
      </xdr:nvSpPr>
      <xdr:spPr>
        <a:xfrm>
          <a:off x="2880591" y="2425700"/>
          <a:ext cx="582155" cy="93762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s-ES" sz="5400" b="1" cap="none" spc="0"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pattFill prst="narHorz">
              <a:fgClr>
                <a:schemeClr val="accent3"/>
              </a:fgClr>
              <a:bgClr>
                <a:schemeClr val="accent3">
                  <a:lumMod val="40000"/>
                  <a:lumOff val="60000"/>
                </a:schemeClr>
              </a:bgClr>
            </a:patt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oneCellAnchor>
    <xdr:from>
      <xdr:col>3</xdr:col>
      <xdr:colOff>645194</xdr:colOff>
      <xdr:row>38</xdr:row>
      <xdr:rowOff>84175</xdr:rowOff>
    </xdr:from>
    <xdr:ext cx="535659" cy="937629"/>
    <xdr:sp macro="" textlink="">
      <xdr:nvSpPr>
        <xdr:cNvPr id="16" name="Rectángulo 14">
          <a:extLst>
            <a:ext uri="{FF2B5EF4-FFF2-40B4-BE49-F238E27FC236}">
              <a16:creationId xmlns:a16="http://schemas.microsoft.com/office/drawing/2014/main" id="{EB5E0FD7-C120-BD4A-A222-A81A818F1378}"/>
            </a:ext>
            <a:ext uri="{147F2762-F138-4A5C-976F-8EAC2B608ADB}">
              <a16:predDERef xmlns:a16="http://schemas.microsoft.com/office/drawing/2014/main" pred="{1457817D-75BB-4EEC-83ED-2F8AA2597F02}"/>
            </a:ext>
          </a:extLst>
        </xdr:cNvPr>
        <xdr:cNvSpPr/>
      </xdr:nvSpPr>
      <xdr:spPr>
        <a:xfrm>
          <a:off x="3134394" y="7585642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22225">
                <a:solidFill>
                  <a:schemeClr val="accent4"/>
                </a:solidFill>
                <a:prstDash val="solid"/>
              </a:ln>
              <a:solidFill>
                <a:schemeClr val="accent4">
                  <a:lumMod val="40000"/>
                  <a:lumOff val="60000"/>
                </a:schemeClr>
              </a:solidFill>
              <a:effectLst/>
            </a:rPr>
            <a:t>2</a:t>
          </a:r>
          <a:endParaRPr lang="es-ES" sz="5400" b="1" cap="none" spc="0">
            <a:ln w="22225">
              <a:solidFill>
                <a:schemeClr val="accent4"/>
              </a:solidFill>
              <a:prstDash val="solid"/>
            </a:ln>
            <a:solidFill>
              <a:schemeClr val="accent4">
                <a:lumMod val="40000"/>
                <a:lumOff val="60000"/>
              </a:schemeClr>
            </a:solid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oneCellAnchor>
    <xdr:from>
      <xdr:col>1</xdr:col>
      <xdr:colOff>684892</xdr:colOff>
      <xdr:row>90</xdr:row>
      <xdr:rowOff>83876</xdr:rowOff>
    </xdr:from>
    <xdr:ext cx="535659" cy="937629"/>
    <xdr:sp macro="" textlink="">
      <xdr:nvSpPr>
        <xdr:cNvPr id="17" name="Rectángulo 15">
          <a:extLst>
            <a:ext uri="{FF2B5EF4-FFF2-40B4-BE49-F238E27FC236}">
              <a16:creationId xmlns:a16="http://schemas.microsoft.com/office/drawing/2014/main" id="{6655EE9C-F072-5B4D-8AA1-CE2F05A260B0}"/>
            </a:ext>
            <a:ext uri="{147F2762-F138-4A5C-976F-8EAC2B608ADB}">
              <a16:predDERef xmlns:a16="http://schemas.microsoft.com/office/drawing/2014/main" pred="{AC6874D9-FC1C-4074-B5BB-2EC307421023}"/>
            </a:ext>
          </a:extLst>
        </xdr:cNvPr>
        <xdr:cNvSpPr/>
      </xdr:nvSpPr>
      <xdr:spPr>
        <a:xfrm>
          <a:off x="1514625" y="18084009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22225">
                <a:solidFill>
                  <a:srgbClr val="6AC5FF"/>
                </a:solidFill>
                <a:prstDash val="solid"/>
              </a:ln>
              <a:solidFill>
                <a:srgbClr val="C1EDFF"/>
              </a:solidFill>
              <a:effectLst/>
            </a:rPr>
            <a:t>3</a:t>
          </a:r>
        </a:p>
      </xdr:txBody>
    </xdr:sp>
    <xdr:clientData/>
  </xdr:oneCellAnchor>
  <xdr:oneCellAnchor>
    <xdr:from>
      <xdr:col>1</xdr:col>
      <xdr:colOff>221639</xdr:colOff>
      <xdr:row>122</xdr:row>
      <xdr:rowOff>64904</xdr:rowOff>
    </xdr:from>
    <xdr:ext cx="535659" cy="937629"/>
    <xdr:sp macro="" textlink="">
      <xdr:nvSpPr>
        <xdr:cNvPr id="18" name="Rectángulo 16">
          <a:extLst>
            <a:ext uri="{FF2B5EF4-FFF2-40B4-BE49-F238E27FC236}">
              <a16:creationId xmlns:a16="http://schemas.microsoft.com/office/drawing/2014/main" id="{3F85779C-7F6E-664E-A16D-F196BC00254A}"/>
            </a:ext>
            <a:ext uri="{147F2762-F138-4A5C-976F-8EAC2B608ADB}">
              <a16:predDERef xmlns:a16="http://schemas.microsoft.com/office/drawing/2014/main" pred="{D798EBB1-9D3A-48EE-B585-ABDC22931635}"/>
            </a:ext>
          </a:extLst>
        </xdr:cNvPr>
        <xdr:cNvSpPr/>
      </xdr:nvSpPr>
      <xdr:spPr>
        <a:xfrm>
          <a:off x="1051372" y="24838371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22225">
                <a:solidFill>
                  <a:srgbClr val="BBB92C"/>
                </a:solidFill>
                <a:prstDash val="solid"/>
              </a:ln>
              <a:solidFill>
                <a:srgbClr val="ECF4C1"/>
              </a:solidFill>
              <a:effectLst/>
            </a:rPr>
            <a:t>4</a:t>
          </a:r>
        </a:p>
      </xdr:txBody>
    </xdr:sp>
    <xdr:clientData/>
  </xdr:oneCellAnchor>
  <xdr:oneCellAnchor>
    <xdr:from>
      <xdr:col>2</xdr:col>
      <xdr:colOff>661745</xdr:colOff>
      <xdr:row>98</xdr:row>
      <xdr:rowOff>24204</xdr:rowOff>
    </xdr:from>
    <xdr:ext cx="184731" cy="937629"/>
    <xdr:sp macro="" textlink="">
      <xdr:nvSpPr>
        <xdr:cNvPr id="19" name="Rectángulo 21">
          <a:extLst>
            <a:ext uri="{FF2B5EF4-FFF2-40B4-BE49-F238E27FC236}">
              <a16:creationId xmlns:a16="http://schemas.microsoft.com/office/drawing/2014/main" id="{676EBC38-1BAC-B546-BE72-9207C8568004}"/>
            </a:ext>
            <a:ext uri="{147F2762-F138-4A5C-976F-8EAC2B608ADB}">
              <a16:predDERef xmlns:a16="http://schemas.microsoft.com/office/drawing/2014/main" pred="{2175500D-61EA-4417-820C-E8F06DB15709}"/>
            </a:ext>
          </a:extLst>
        </xdr:cNvPr>
        <xdr:cNvSpPr/>
      </xdr:nvSpPr>
      <xdr:spPr>
        <a:xfrm>
          <a:off x="2312745" y="22427004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5400" b="1" cap="none" spc="0"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pattFill prst="narHorz">
              <a:fgClr>
                <a:schemeClr val="accent3"/>
              </a:fgClr>
              <a:bgClr>
                <a:schemeClr val="accent3">
                  <a:lumMod val="40000"/>
                  <a:lumOff val="60000"/>
                </a:schemeClr>
              </a:bgClr>
            </a:patt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oneCellAnchor>
    <xdr:from>
      <xdr:col>1</xdr:col>
      <xdr:colOff>661745</xdr:colOff>
      <xdr:row>103</xdr:row>
      <xdr:rowOff>24204</xdr:rowOff>
    </xdr:from>
    <xdr:ext cx="184731" cy="937629"/>
    <xdr:sp macro="" textlink="">
      <xdr:nvSpPr>
        <xdr:cNvPr id="20" name="Rectángulo 21">
          <a:extLst>
            <a:ext uri="{FF2B5EF4-FFF2-40B4-BE49-F238E27FC236}">
              <a16:creationId xmlns:a16="http://schemas.microsoft.com/office/drawing/2014/main" id="{18B47A62-07CF-EE45-A5A4-C9A89E6BEA18}"/>
            </a:ext>
            <a:ext uri="{147F2762-F138-4A5C-976F-8EAC2B608ADB}">
              <a16:predDERef xmlns:a16="http://schemas.microsoft.com/office/drawing/2014/main" pred="{2175500D-61EA-4417-820C-E8F06DB15709}"/>
            </a:ext>
          </a:extLst>
        </xdr:cNvPr>
        <xdr:cNvSpPr/>
      </xdr:nvSpPr>
      <xdr:spPr>
        <a:xfrm>
          <a:off x="1487245" y="23443004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5400" b="1" cap="none" spc="0"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pattFill prst="narHorz">
              <a:fgClr>
                <a:schemeClr val="accent3"/>
              </a:fgClr>
              <a:bgClr>
                <a:schemeClr val="accent3">
                  <a:lumMod val="40000"/>
                  <a:lumOff val="60000"/>
                </a:schemeClr>
              </a:bgClr>
            </a:patt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oneCellAnchor>
    <xdr:from>
      <xdr:col>4</xdr:col>
      <xdr:colOff>661745</xdr:colOff>
      <xdr:row>98</xdr:row>
      <xdr:rowOff>24204</xdr:rowOff>
    </xdr:from>
    <xdr:ext cx="184731" cy="937629"/>
    <xdr:sp macro="" textlink="">
      <xdr:nvSpPr>
        <xdr:cNvPr id="21" name="Rectángulo 21">
          <a:extLst>
            <a:ext uri="{FF2B5EF4-FFF2-40B4-BE49-F238E27FC236}">
              <a16:creationId xmlns:a16="http://schemas.microsoft.com/office/drawing/2014/main" id="{DB575B6C-88AA-D240-95DB-22BF7C1B4613}"/>
            </a:ext>
            <a:ext uri="{147F2762-F138-4A5C-976F-8EAC2B608ADB}">
              <a16:predDERef xmlns:a16="http://schemas.microsoft.com/office/drawing/2014/main" pred="{2175500D-61EA-4417-820C-E8F06DB15709}"/>
            </a:ext>
          </a:extLst>
        </xdr:cNvPr>
        <xdr:cNvSpPr/>
      </xdr:nvSpPr>
      <xdr:spPr>
        <a:xfrm>
          <a:off x="3963745" y="22427004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5400" b="1" cap="none" spc="0"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pattFill prst="narHorz">
              <a:fgClr>
                <a:schemeClr val="accent3"/>
              </a:fgClr>
              <a:bgClr>
                <a:schemeClr val="accent3">
                  <a:lumMod val="40000"/>
                  <a:lumOff val="60000"/>
                </a:schemeClr>
              </a:bgClr>
            </a:patt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oneCellAnchor>
    <xdr:from>
      <xdr:col>5</xdr:col>
      <xdr:colOff>661745</xdr:colOff>
      <xdr:row>112</xdr:row>
      <xdr:rowOff>24204</xdr:rowOff>
    </xdr:from>
    <xdr:ext cx="184731" cy="937629"/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107EC390-AE2D-8848-B81F-468CCC735816}"/>
            </a:ext>
            <a:ext uri="{147F2762-F138-4A5C-976F-8EAC2B608ADB}">
              <a16:predDERef xmlns:a16="http://schemas.microsoft.com/office/drawing/2014/main" pred="{2175500D-61EA-4417-820C-E8F06DB15709}"/>
            </a:ext>
          </a:extLst>
        </xdr:cNvPr>
        <xdr:cNvSpPr/>
      </xdr:nvSpPr>
      <xdr:spPr>
        <a:xfrm>
          <a:off x="4789245" y="25271804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5400" b="1" cap="none" spc="0"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pattFill prst="narHorz">
              <a:fgClr>
                <a:schemeClr val="accent3"/>
              </a:fgClr>
              <a:bgClr>
                <a:schemeClr val="accent3">
                  <a:lumMod val="40000"/>
                  <a:lumOff val="60000"/>
                </a:schemeClr>
              </a:bgClr>
            </a:patt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oneCellAnchor>
    <xdr:from>
      <xdr:col>1</xdr:col>
      <xdr:colOff>661745</xdr:colOff>
      <xdr:row>135</xdr:row>
      <xdr:rowOff>24204</xdr:rowOff>
    </xdr:from>
    <xdr:ext cx="184731" cy="937629"/>
    <xdr:sp macro="" textlink="">
      <xdr:nvSpPr>
        <xdr:cNvPr id="24" name="Rectángulo 21">
          <a:extLst>
            <a:ext uri="{FF2B5EF4-FFF2-40B4-BE49-F238E27FC236}">
              <a16:creationId xmlns:a16="http://schemas.microsoft.com/office/drawing/2014/main" id="{A82DD64F-5648-B944-B0A3-A3832A714484}"/>
            </a:ext>
            <a:ext uri="{147F2762-F138-4A5C-976F-8EAC2B608ADB}">
              <a16:predDERef xmlns:a16="http://schemas.microsoft.com/office/drawing/2014/main" pred="{2175500D-61EA-4417-820C-E8F06DB15709}"/>
            </a:ext>
          </a:extLst>
        </xdr:cNvPr>
        <xdr:cNvSpPr/>
      </xdr:nvSpPr>
      <xdr:spPr>
        <a:xfrm>
          <a:off x="1487245" y="31228104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5400" b="1" cap="none" spc="0"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pattFill prst="narHorz">
              <a:fgClr>
                <a:schemeClr val="accent3"/>
              </a:fgClr>
              <a:bgClr>
                <a:schemeClr val="accent3">
                  <a:lumMod val="40000"/>
                  <a:lumOff val="60000"/>
                </a:schemeClr>
              </a:bgClr>
            </a:patt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oneCellAnchor>
    <xdr:from>
      <xdr:col>4</xdr:col>
      <xdr:colOff>661745</xdr:colOff>
      <xdr:row>98</xdr:row>
      <xdr:rowOff>24204</xdr:rowOff>
    </xdr:from>
    <xdr:ext cx="184731" cy="937629"/>
    <xdr:sp macro="" textlink="">
      <xdr:nvSpPr>
        <xdr:cNvPr id="25" name="Rectángulo 21">
          <a:extLst>
            <a:ext uri="{FF2B5EF4-FFF2-40B4-BE49-F238E27FC236}">
              <a16:creationId xmlns:a16="http://schemas.microsoft.com/office/drawing/2014/main" id="{9083E29A-8F05-3041-A6E9-809F92FC65A8}"/>
            </a:ext>
            <a:ext uri="{147F2762-F138-4A5C-976F-8EAC2B608ADB}">
              <a16:predDERef xmlns:a16="http://schemas.microsoft.com/office/drawing/2014/main" pred="{2175500D-61EA-4417-820C-E8F06DB15709}"/>
            </a:ext>
          </a:extLst>
        </xdr:cNvPr>
        <xdr:cNvSpPr/>
      </xdr:nvSpPr>
      <xdr:spPr>
        <a:xfrm>
          <a:off x="2312745" y="21842804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5400" b="1" cap="none" spc="0"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pattFill prst="narHorz">
              <a:fgClr>
                <a:schemeClr val="accent3"/>
              </a:fgClr>
              <a:bgClr>
                <a:schemeClr val="accent3">
                  <a:lumMod val="40000"/>
                  <a:lumOff val="60000"/>
                </a:schemeClr>
              </a:bgClr>
            </a:patt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oneCellAnchor>
    <xdr:from>
      <xdr:col>1</xdr:col>
      <xdr:colOff>661745</xdr:colOff>
      <xdr:row>135</xdr:row>
      <xdr:rowOff>24204</xdr:rowOff>
    </xdr:from>
    <xdr:ext cx="184731" cy="937629"/>
    <xdr:sp macro="" textlink="">
      <xdr:nvSpPr>
        <xdr:cNvPr id="26" name="Rectángulo 21">
          <a:extLst>
            <a:ext uri="{FF2B5EF4-FFF2-40B4-BE49-F238E27FC236}">
              <a16:creationId xmlns:a16="http://schemas.microsoft.com/office/drawing/2014/main" id="{BEB75825-6EB7-5040-82A4-4E5247D29172}"/>
            </a:ext>
            <a:ext uri="{147F2762-F138-4A5C-976F-8EAC2B608ADB}">
              <a16:predDERef xmlns:a16="http://schemas.microsoft.com/office/drawing/2014/main" pred="{2175500D-61EA-4417-820C-E8F06DB15709}"/>
            </a:ext>
          </a:extLst>
        </xdr:cNvPr>
        <xdr:cNvSpPr/>
      </xdr:nvSpPr>
      <xdr:spPr>
        <a:xfrm>
          <a:off x="1487245" y="22858804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5400" b="1" cap="none" spc="0"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pattFill prst="narHorz">
              <a:fgClr>
                <a:schemeClr val="accent3"/>
              </a:fgClr>
              <a:bgClr>
                <a:schemeClr val="accent3">
                  <a:lumMod val="40000"/>
                  <a:lumOff val="60000"/>
                </a:schemeClr>
              </a:bgClr>
            </a:patt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twoCellAnchor>
    <xdr:from>
      <xdr:col>3</xdr:col>
      <xdr:colOff>34150</xdr:colOff>
      <xdr:row>200</xdr:row>
      <xdr:rowOff>57531</xdr:rowOff>
    </xdr:from>
    <xdr:to>
      <xdr:col>13</xdr:col>
      <xdr:colOff>113812</xdr:colOff>
      <xdr:row>228</xdr:row>
      <xdr:rowOff>154289</xdr:rowOff>
    </xdr:to>
    <xdr:graphicFrame macro="">
      <xdr:nvGraphicFramePr>
        <xdr:cNvPr id="27" name="Gráfico 29">
          <a:extLst>
            <a:ext uri="{FF2B5EF4-FFF2-40B4-BE49-F238E27FC236}">
              <a16:creationId xmlns:a16="http://schemas.microsoft.com/office/drawing/2014/main" id="{36AAC0CA-2650-D649-A64B-153F78F7FDE8}"/>
            </a:ext>
            <a:ext uri="{147F2762-F138-4A5C-976F-8EAC2B608ADB}">
              <a16:predDERef xmlns:a16="http://schemas.microsoft.com/office/drawing/2014/main" pred="{770A08CC-9902-4509-9B16-0C33B3B10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14432</xdr:colOff>
      <xdr:row>170</xdr:row>
      <xdr:rowOff>129886</xdr:rowOff>
    </xdr:from>
    <xdr:to>
      <xdr:col>13</xdr:col>
      <xdr:colOff>104586</xdr:colOff>
      <xdr:row>199</xdr:row>
      <xdr:rowOff>87627</xdr:rowOff>
    </xdr:to>
    <xdr:graphicFrame macro="">
      <xdr:nvGraphicFramePr>
        <xdr:cNvPr id="28" name="Gráfico 29">
          <a:extLst>
            <a:ext uri="{FF2B5EF4-FFF2-40B4-BE49-F238E27FC236}">
              <a16:creationId xmlns:a16="http://schemas.microsoft.com/office/drawing/2014/main" id="{06C6B2AE-9649-3B40-80B6-104DF8418654}"/>
            </a:ext>
            <a:ext uri="{147F2762-F138-4A5C-976F-8EAC2B608ADB}">
              <a16:predDERef xmlns:a16="http://schemas.microsoft.com/office/drawing/2014/main" pred="{770A08CC-9902-4509-9B16-0C33B3B10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323979</xdr:colOff>
      <xdr:row>165</xdr:row>
      <xdr:rowOff>194387</xdr:rowOff>
    </xdr:from>
    <xdr:to>
      <xdr:col>23</xdr:col>
      <xdr:colOff>553747</xdr:colOff>
      <xdr:row>190</xdr:row>
      <xdr:rowOff>166844</xdr:rowOff>
    </xdr:to>
    <xdr:graphicFrame macro="">
      <xdr:nvGraphicFramePr>
        <xdr:cNvPr id="29" name="Gráfico 26">
          <a:extLst>
            <a:ext uri="{FF2B5EF4-FFF2-40B4-BE49-F238E27FC236}">
              <a16:creationId xmlns:a16="http://schemas.microsoft.com/office/drawing/2014/main" id="{FF1C9629-1DD7-4C4A-BC49-D52CEA0049D5}"/>
            </a:ext>
            <a:ext uri="{147F2762-F138-4A5C-976F-8EAC2B608ADB}">
              <a16:predDERef xmlns:a16="http://schemas.microsoft.com/office/drawing/2014/main" pred="{7E614B5B-41E3-4A6E-B6A0-5E6B236F8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4</xdr:col>
      <xdr:colOff>186267</xdr:colOff>
      <xdr:row>152</xdr:row>
      <xdr:rowOff>33866</xdr:rowOff>
    </xdr:from>
    <xdr:ext cx="4714876" cy="581024"/>
    <xdr:sp macro="" textlink="">
      <xdr:nvSpPr>
        <xdr:cNvPr id="43" name="Rectángulo 20">
          <a:extLst>
            <a:ext uri="{FF2B5EF4-FFF2-40B4-BE49-F238E27FC236}">
              <a16:creationId xmlns:a16="http://schemas.microsoft.com/office/drawing/2014/main" id="{FD293CA2-2715-9F46-A14B-FF67E962079F}"/>
            </a:ext>
            <a:ext uri="{147F2762-F138-4A5C-976F-8EAC2B608ADB}">
              <a16:predDERef xmlns:a16="http://schemas.microsoft.com/office/drawing/2014/main" pred="{E0481BC6-96B2-453E-BEC5-5615B7B04879}"/>
            </a:ext>
          </a:extLst>
        </xdr:cNvPr>
        <xdr:cNvSpPr/>
      </xdr:nvSpPr>
      <xdr:spPr>
        <a:xfrm>
          <a:off x="3505200" y="33951333"/>
          <a:ext cx="4714876" cy="581024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3200" b="1" cap="none" spc="0">
              <a:ln w="12700">
                <a:solidFill>
                  <a:schemeClr val="accent3">
                    <a:lumMod val="50000"/>
                  </a:schemeClr>
                </a:solidFill>
                <a:prstDash val="solid"/>
              </a:ln>
              <a:pattFill prst="narHorz">
                <a:fgClr>
                  <a:schemeClr val="accent3"/>
                </a:fgClr>
                <a:bgClr>
                  <a:schemeClr val="accent3">
                    <a:lumMod val="40000"/>
                    <a:lumOff val="60000"/>
                  </a:schemeClr>
                </a:bgClr>
              </a:pattFill>
              <a:effectLst>
                <a:innerShdw blurRad="177800">
                  <a:schemeClr val="accent3">
                    <a:lumMod val="50000"/>
                  </a:schemeClr>
                </a:innerShdw>
              </a:effectLst>
            </a:rPr>
            <a:t> </a:t>
          </a:r>
          <a:r>
            <a:rPr lang="es-ES" sz="3200" b="1" cap="none" spc="0">
              <a:ln w="22225">
                <a:solidFill>
                  <a:srgbClr val="ED8E11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1</a:t>
          </a:r>
          <a:r>
            <a:rPr lang="es-ES" sz="32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</a:t>
          </a:r>
          <a:r>
            <a:rPr lang="es-ES" sz="32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</a:t>
          </a:r>
          <a:r>
            <a:rPr lang="es-ES" sz="3200" b="1" cap="none" spc="0">
              <a:ln w="22225">
                <a:solidFill>
                  <a:schemeClr val="bg2">
                    <a:lumMod val="50000"/>
                  </a:schemeClr>
                </a:solidFill>
                <a:prstDash val="solid"/>
              </a:ln>
              <a:solidFill>
                <a:schemeClr val="bg2">
                  <a:lumMod val="75000"/>
                </a:schemeClr>
              </a:solidFill>
              <a:effectLst/>
            </a:rPr>
            <a:t>=</a:t>
          </a:r>
          <a:r>
            <a:rPr lang="es-ES" sz="32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</a:t>
          </a:r>
          <a:r>
            <a:rPr lang="es-ES" sz="3200" b="1" cap="none" spc="0">
              <a:ln w="22225">
                <a:solidFill>
                  <a:schemeClr val="accent4"/>
                </a:solidFill>
                <a:prstDash val="solid"/>
              </a:ln>
              <a:solidFill>
                <a:schemeClr val="accent4">
                  <a:lumMod val="60000"/>
                  <a:lumOff val="40000"/>
                </a:schemeClr>
              </a:solidFill>
              <a:effectLst/>
            </a:rPr>
            <a:t>2</a:t>
          </a:r>
          <a:r>
            <a:rPr lang="es-ES" sz="32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</a:t>
          </a:r>
          <a:r>
            <a:rPr lang="es-ES" sz="3200" b="1" cap="none" spc="0">
              <a:ln w="22225">
                <a:solidFill>
                  <a:schemeClr val="bg2">
                    <a:lumMod val="50000"/>
                  </a:schemeClr>
                </a:solidFill>
                <a:prstDash val="solid"/>
              </a:ln>
              <a:solidFill>
                <a:schemeClr val="bg2">
                  <a:lumMod val="75000"/>
                </a:schemeClr>
              </a:solidFill>
              <a:effectLst/>
            </a:rPr>
            <a:t>+ </a:t>
          </a:r>
          <a:r>
            <a:rPr lang="es-ES" sz="3200" b="1" cap="none" spc="0">
              <a:ln w="22225">
                <a:solidFill>
                  <a:srgbClr val="6AC5FF"/>
                </a:solidFill>
                <a:prstDash val="solid"/>
              </a:ln>
              <a:solidFill>
                <a:srgbClr val="C1EDFF"/>
              </a:solidFill>
              <a:effectLst/>
            </a:rPr>
            <a:t>3.1</a:t>
          </a:r>
          <a:r>
            <a:rPr lang="es-ES" sz="32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</a:t>
          </a:r>
          <a:r>
            <a:rPr lang="es-ES" sz="3200" b="1" cap="none" spc="0">
              <a:ln w="22225">
                <a:solidFill>
                  <a:schemeClr val="bg2">
                    <a:lumMod val="50000"/>
                  </a:schemeClr>
                </a:solidFill>
                <a:prstDash val="solid"/>
              </a:ln>
              <a:solidFill>
                <a:schemeClr val="bg2">
                  <a:lumMod val="75000"/>
                </a:schemeClr>
              </a:solidFill>
              <a:effectLst/>
            </a:rPr>
            <a:t>+</a:t>
          </a:r>
          <a:r>
            <a:rPr lang="es-ES" sz="32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</a:t>
          </a:r>
          <a:r>
            <a:rPr lang="es-ES" sz="3200" b="1" cap="none" spc="0">
              <a:ln w="22225">
                <a:solidFill>
                  <a:srgbClr val="6AC5FF"/>
                </a:solidFill>
                <a:prstDash val="solid"/>
              </a:ln>
              <a:solidFill>
                <a:srgbClr val="C1EDFF"/>
              </a:solidFill>
              <a:effectLst/>
            </a:rPr>
            <a:t>3.2</a:t>
          </a:r>
          <a:r>
            <a:rPr lang="es-ES" sz="32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</a:t>
          </a:r>
          <a:r>
            <a:rPr lang="es-ES" sz="3200" b="1" cap="none" spc="0">
              <a:ln w="22225">
                <a:solidFill>
                  <a:schemeClr val="bg2">
                    <a:lumMod val="50000"/>
                  </a:schemeClr>
                </a:solidFill>
                <a:prstDash val="solid"/>
              </a:ln>
              <a:solidFill>
                <a:schemeClr val="bg2">
                  <a:lumMod val="75000"/>
                </a:schemeClr>
              </a:solidFill>
              <a:effectLst/>
            </a:rPr>
            <a:t>+ </a:t>
          </a:r>
          <a:r>
            <a:rPr lang="es-ES" sz="3200" b="1" cap="none" spc="0">
              <a:ln w="22225">
                <a:solidFill>
                  <a:srgbClr val="BBB92C"/>
                </a:solidFill>
                <a:prstDash val="solid"/>
              </a:ln>
              <a:solidFill>
                <a:srgbClr val="ECF4C1"/>
              </a:solidFill>
              <a:effectLst/>
            </a:rPr>
            <a:t>4.1</a:t>
          </a:r>
          <a:r>
            <a:rPr lang="es-ES" sz="32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</a:t>
          </a:r>
          <a:r>
            <a:rPr lang="es-ES" sz="3200" b="1" cap="none" spc="0">
              <a:ln w="22225">
                <a:solidFill>
                  <a:schemeClr val="bg2">
                    <a:lumMod val="50000"/>
                  </a:schemeClr>
                </a:solidFill>
                <a:prstDash val="solid"/>
              </a:ln>
              <a:solidFill>
                <a:schemeClr val="bg2">
                  <a:lumMod val="75000"/>
                </a:schemeClr>
              </a:solidFill>
              <a:effectLst/>
            </a:rPr>
            <a:t>+ </a:t>
          </a:r>
          <a:r>
            <a:rPr lang="es-ES" sz="3200" b="1" cap="none" spc="0">
              <a:ln w="22225">
                <a:solidFill>
                  <a:srgbClr val="BBB92C"/>
                </a:solidFill>
                <a:prstDash val="solid"/>
              </a:ln>
              <a:solidFill>
                <a:srgbClr val="ECF4C1"/>
              </a:solidFill>
              <a:effectLst/>
            </a:rPr>
            <a:t>4.2</a:t>
          </a:r>
          <a:endParaRPr lang="es-ES" sz="3200" b="1" cap="none" spc="0">
            <a:ln w="22225">
              <a:solidFill>
                <a:srgbClr val="BBB92C"/>
              </a:solidFill>
              <a:prstDash val="solid"/>
            </a:ln>
            <a:solidFill>
              <a:srgbClr val="ECF4C1"/>
            </a:solid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twoCellAnchor>
    <xdr:from>
      <xdr:col>10</xdr:col>
      <xdr:colOff>371475</xdr:colOff>
      <xdr:row>3</xdr:row>
      <xdr:rowOff>142875</xdr:rowOff>
    </xdr:from>
    <xdr:to>
      <xdr:col>13</xdr:col>
      <xdr:colOff>114300</xdr:colOff>
      <xdr:row>8</xdr:row>
      <xdr:rowOff>76200</xdr:rowOff>
    </xdr:to>
    <xdr:sp macro="" textlink="">
      <xdr:nvSpPr>
        <xdr:cNvPr id="44" name="Rectángulo: esquinas redondeadas 5">
          <a:extLst>
            <a:ext uri="{FF2B5EF4-FFF2-40B4-BE49-F238E27FC236}">
              <a16:creationId xmlns:a16="http://schemas.microsoft.com/office/drawing/2014/main" id="{AB95CF0B-7B5A-554E-B176-7C1AE7A9E5E6}"/>
            </a:ext>
          </a:extLst>
        </xdr:cNvPr>
        <xdr:cNvSpPr/>
      </xdr:nvSpPr>
      <xdr:spPr>
        <a:xfrm>
          <a:off x="8626475" y="752475"/>
          <a:ext cx="2219325" cy="974725"/>
        </a:xfrm>
        <a:prstGeom prst="roundRect">
          <a:avLst/>
        </a:prstGeom>
        <a:solidFill>
          <a:srgbClr val="6AC5FF"/>
        </a:solidFill>
        <a:ln>
          <a:solidFill>
            <a:srgbClr val="7FCAF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AR" sz="1100"/>
            <a:t>VARIACIÓN DE S</a:t>
          </a:r>
          <a:r>
            <a:rPr lang="es-AR" sz="1100" baseline="0"/>
            <a:t> TOTAL EN TODO EL VOLUMEN DEL REACTOR ENTRE EL DÍA X-Y</a:t>
          </a:r>
        </a:p>
      </xdr:txBody>
    </xdr:sp>
    <xdr:clientData/>
  </xdr:twoCellAnchor>
  <xdr:twoCellAnchor>
    <xdr:from>
      <xdr:col>9</xdr:col>
      <xdr:colOff>104656</xdr:colOff>
      <xdr:row>4</xdr:row>
      <xdr:rowOff>142779</xdr:rowOff>
    </xdr:from>
    <xdr:to>
      <xdr:col>10</xdr:col>
      <xdr:colOff>276106</xdr:colOff>
      <xdr:row>6</xdr:row>
      <xdr:rowOff>181380</xdr:rowOff>
    </xdr:to>
    <xdr:sp macro="" textlink="">
      <xdr:nvSpPr>
        <xdr:cNvPr id="45" name="Flecha: a la derecha 6">
          <a:extLst>
            <a:ext uri="{FF2B5EF4-FFF2-40B4-BE49-F238E27FC236}">
              <a16:creationId xmlns:a16="http://schemas.microsoft.com/office/drawing/2014/main" id="{2E6C69DC-7BBD-BA4D-A47A-E2AD9907C30A}"/>
            </a:ext>
            <a:ext uri="{147F2762-F138-4A5C-976F-8EAC2B608ADB}">
              <a16:predDERef xmlns:a16="http://schemas.microsoft.com/office/drawing/2014/main" pred="{9EF9FC4A-3268-4721-8ED7-41143C8D8EDB}"/>
            </a:ext>
          </a:extLst>
        </xdr:cNvPr>
        <xdr:cNvSpPr/>
      </xdr:nvSpPr>
      <xdr:spPr>
        <a:xfrm>
          <a:off x="7534156" y="955579"/>
          <a:ext cx="996950" cy="457701"/>
        </a:xfrm>
        <a:prstGeom prst="right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13</xdr:col>
      <xdr:colOff>180831</xdr:colOff>
      <xdr:row>4</xdr:row>
      <xdr:rowOff>162212</xdr:rowOff>
    </xdr:from>
    <xdr:to>
      <xdr:col>14</xdr:col>
      <xdr:colOff>409431</xdr:colOff>
      <xdr:row>6</xdr:row>
      <xdr:rowOff>200335</xdr:rowOff>
    </xdr:to>
    <xdr:sp macro="" textlink="">
      <xdr:nvSpPr>
        <xdr:cNvPr id="46" name="Flecha: a la derecha 7">
          <a:extLst>
            <a:ext uri="{FF2B5EF4-FFF2-40B4-BE49-F238E27FC236}">
              <a16:creationId xmlns:a16="http://schemas.microsoft.com/office/drawing/2014/main" id="{52D7EFCB-92CF-F643-B132-240B8AF8253E}"/>
            </a:ext>
            <a:ext uri="{147F2762-F138-4A5C-976F-8EAC2B608ADB}">
              <a16:predDERef xmlns:a16="http://schemas.microsoft.com/office/drawing/2014/main" pred="{8FB725D7-D53C-42B0-82A4-D883D96C1FBF}"/>
            </a:ext>
          </a:extLst>
        </xdr:cNvPr>
        <xdr:cNvSpPr/>
      </xdr:nvSpPr>
      <xdr:spPr>
        <a:xfrm>
          <a:off x="10912331" y="975012"/>
          <a:ext cx="1054100" cy="457223"/>
        </a:xfrm>
        <a:prstGeom prst="right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11</xdr:col>
      <xdr:colOff>581025</xdr:colOff>
      <xdr:row>8</xdr:row>
      <xdr:rowOff>123825</xdr:rowOff>
    </xdr:from>
    <xdr:to>
      <xdr:col>12</xdr:col>
      <xdr:colOff>381000</xdr:colOff>
      <xdr:row>11</xdr:row>
      <xdr:rowOff>114300</xdr:rowOff>
    </xdr:to>
    <xdr:sp macro="" textlink="">
      <xdr:nvSpPr>
        <xdr:cNvPr id="47" name="Flecha: doblada hacia arriba 8">
          <a:extLst>
            <a:ext uri="{FF2B5EF4-FFF2-40B4-BE49-F238E27FC236}">
              <a16:creationId xmlns:a16="http://schemas.microsoft.com/office/drawing/2014/main" id="{87BB9029-71CE-6343-AECC-16A48FB8245F}"/>
            </a:ext>
            <a:ext uri="{147F2762-F138-4A5C-976F-8EAC2B608ADB}">
              <a16:predDERef xmlns:a16="http://schemas.microsoft.com/office/drawing/2014/main" pred="{9343B05F-AD85-4D0A-BDDD-3F52AC6F33C8}"/>
            </a:ext>
          </a:extLst>
        </xdr:cNvPr>
        <xdr:cNvSpPr/>
      </xdr:nvSpPr>
      <xdr:spPr>
        <a:xfrm rot="5400000">
          <a:off x="9655175" y="1781175"/>
          <a:ext cx="638175" cy="625475"/>
        </a:xfrm>
        <a:prstGeom prst="bentUp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oneCellAnchor>
    <xdr:from>
      <xdr:col>7</xdr:col>
      <xdr:colOff>505279</xdr:colOff>
      <xdr:row>3</xdr:row>
      <xdr:rowOff>162258</xdr:rowOff>
    </xdr:from>
    <xdr:ext cx="1285875" cy="781240"/>
    <xdr:sp macro="" textlink="">
      <xdr:nvSpPr>
        <xdr:cNvPr id="48" name="CuadroTexto 9">
          <a:extLst>
            <a:ext uri="{FF2B5EF4-FFF2-40B4-BE49-F238E27FC236}">
              <a16:creationId xmlns:a16="http://schemas.microsoft.com/office/drawing/2014/main" id="{F4845AAB-0E4A-4448-B7B1-4694B1358695}"/>
            </a:ext>
            <a:ext uri="{147F2762-F138-4A5C-976F-8EAC2B608ADB}">
              <a16:predDERef xmlns:a16="http://schemas.microsoft.com/office/drawing/2014/main" pred="{340D4A9D-0EC6-4791-AF1C-4AF611921F7D}"/>
            </a:ext>
          </a:extLst>
        </xdr:cNvPr>
        <xdr:cNvSpPr txBox="1"/>
      </xdr:nvSpPr>
      <xdr:spPr>
        <a:xfrm>
          <a:off x="6283779" y="771858"/>
          <a:ext cx="1285875" cy="781240"/>
        </a:xfrm>
        <a:prstGeom prst="rect">
          <a:avLst/>
        </a:prstGeom>
        <a:solidFill>
          <a:srgbClr val="ED8E11"/>
        </a:solidFill>
        <a:ln>
          <a:solidFill>
            <a:srgbClr val="ED8E1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AR" sz="1100">
              <a:solidFill>
                <a:schemeClr val="bg1"/>
              </a:solidFill>
            </a:rPr>
            <a:t>APORTE DE S</a:t>
          </a:r>
          <a:r>
            <a:rPr lang="es-AR" sz="1100" baseline="0">
              <a:solidFill>
                <a:schemeClr val="bg1"/>
              </a:solidFill>
            </a:rPr>
            <a:t> total A TRAVÉS DE SUSTRATOS ENTRE DÍA X-Y </a:t>
          </a:r>
        </a:p>
      </xdr:txBody>
    </xdr:sp>
    <xdr:clientData/>
  </xdr:oneCellAnchor>
  <xdr:oneCellAnchor>
    <xdr:from>
      <xdr:col>14</xdr:col>
      <xdr:colOff>476250</xdr:colOff>
      <xdr:row>4</xdr:row>
      <xdr:rowOff>57150</xdr:rowOff>
    </xdr:from>
    <xdr:ext cx="1285875" cy="781240"/>
    <xdr:sp macro="" textlink="">
      <xdr:nvSpPr>
        <xdr:cNvPr id="49" name="CuadroTexto 10">
          <a:extLst>
            <a:ext uri="{FF2B5EF4-FFF2-40B4-BE49-F238E27FC236}">
              <a16:creationId xmlns:a16="http://schemas.microsoft.com/office/drawing/2014/main" id="{3F2D93A9-A6C5-4A43-B13E-6FD35C8399EC}"/>
            </a:ext>
            <a:ext uri="{147F2762-F138-4A5C-976F-8EAC2B608ADB}">
              <a16:predDERef xmlns:a16="http://schemas.microsoft.com/office/drawing/2014/main" pred="{3308EFC8-6B2F-4FA6-8C65-EC5AA83A8F20}"/>
            </a:ext>
          </a:extLst>
        </xdr:cNvPr>
        <xdr:cNvSpPr txBox="1"/>
      </xdr:nvSpPr>
      <xdr:spPr>
        <a:xfrm>
          <a:off x="12033250" y="869950"/>
          <a:ext cx="1285875" cy="781240"/>
        </a:xfrm>
        <a:prstGeom prst="rect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AR" sz="1100"/>
            <a:t>SALIDA</a:t>
          </a:r>
          <a:r>
            <a:rPr lang="es-AR" sz="1100" baseline="0"/>
            <a:t> DE </a:t>
          </a:r>
          <a:r>
            <a:rPr lang="es-AR" sz="1100"/>
            <a:t>S</a:t>
          </a:r>
          <a:r>
            <a:rPr lang="es-AR" sz="1100" baseline="0"/>
            <a:t> total A TRAVÉS DEL GAS COMO H2S ENTRE DÍA X-Y</a:t>
          </a:r>
        </a:p>
      </xdr:txBody>
    </xdr:sp>
    <xdr:clientData/>
  </xdr:oneCellAnchor>
  <xdr:oneCellAnchor>
    <xdr:from>
      <xdr:col>12</xdr:col>
      <xdr:colOff>428625</xdr:colOff>
      <xdr:row>9</xdr:row>
      <xdr:rowOff>76200</xdr:rowOff>
    </xdr:from>
    <xdr:ext cx="1876425" cy="609013"/>
    <xdr:sp macro="" textlink="">
      <xdr:nvSpPr>
        <xdr:cNvPr id="50" name="CuadroTexto 11">
          <a:extLst>
            <a:ext uri="{FF2B5EF4-FFF2-40B4-BE49-F238E27FC236}">
              <a16:creationId xmlns:a16="http://schemas.microsoft.com/office/drawing/2014/main" id="{9673CB11-49BD-E041-8B7E-79CE00058A4B}"/>
            </a:ext>
            <a:ext uri="{147F2762-F138-4A5C-976F-8EAC2B608ADB}">
              <a16:predDERef xmlns:a16="http://schemas.microsoft.com/office/drawing/2014/main" pred="{D96E78C1-F07E-4338-B2C3-2451E065218C}"/>
            </a:ext>
          </a:extLst>
        </xdr:cNvPr>
        <xdr:cNvSpPr txBox="1"/>
      </xdr:nvSpPr>
      <xdr:spPr>
        <a:xfrm>
          <a:off x="10334625" y="1943100"/>
          <a:ext cx="1876425" cy="609013"/>
        </a:xfrm>
        <a:prstGeom prst="rect">
          <a:avLst/>
        </a:prstGeom>
        <a:solidFill>
          <a:srgbClr val="BBB92C"/>
        </a:solidFill>
        <a:ln>
          <a:solidFill>
            <a:srgbClr val="BBB92C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AR" sz="1100"/>
            <a:t>SALIDA</a:t>
          </a:r>
          <a:r>
            <a:rPr lang="es-AR" sz="1100" baseline="0"/>
            <a:t> DE </a:t>
          </a:r>
          <a:r>
            <a:rPr lang="es-AR" sz="1100"/>
            <a:t>S</a:t>
          </a:r>
          <a:r>
            <a:rPr lang="es-AR" sz="1100" baseline="0"/>
            <a:t> total A TRAVÉS DEL VOLUMEN DE DIGERIDO ENTRE DÍA X-Y</a:t>
          </a:r>
        </a:p>
      </xdr:txBody>
    </xdr:sp>
    <xdr:clientData/>
  </xdr:oneCellAnchor>
  <xdr:oneCellAnchor>
    <xdr:from>
      <xdr:col>8</xdr:col>
      <xdr:colOff>30311</xdr:colOff>
      <xdr:row>7</xdr:row>
      <xdr:rowOff>67733</xdr:rowOff>
    </xdr:from>
    <xdr:ext cx="582155" cy="937629"/>
    <xdr:sp macro="" textlink="">
      <xdr:nvSpPr>
        <xdr:cNvPr id="51" name="Rectángulo 13">
          <a:extLst>
            <a:ext uri="{FF2B5EF4-FFF2-40B4-BE49-F238E27FC236}">
              <a16:creationId xmlns:a16="http://schemas.microsoft.com/office/drawing/2014/main" id="{DC0019BC-85F9-6540-98C9-EEC880CAF8C5}"/>
            </a:ext>
            <a:ext uri="{147F2762-F138-4A5C-976F-8EAC2B608ADB}">
              <a16:predDERef xmlns:a16="http://schemas.microsoft.com/office/drawing/2014/main" pred="{A86F69D5-DF74-4391-8914-0490E9AFAA5E}"/>
            </a:ext>
          </a:extLst>
        </xdr:cNvPr>
        <xdr:cNvSpPr/>
      </xdr:nvSpPr>
      <xdr:spPr>
        <a:xfrm>
          <a:off x="6668178" y="1371600"/>
          <a:ext cx="582155" cy="937629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rgbClr val="FFC670"/>
              </a:solidFill>
              <a:effectLst/>
            </a:rPr>
            <a:t>1</a:t>
          </a:r>
          <a:endParaRPr lang="es-ES" sz="5400" b="1" cap="none" spc="0">
            <a:ln w="22225">
              <a:solidFill>
                <a:schemeClr val="accent2"/>
              </a:solidFill>
              <a:prstDash val="solid"/>
            </a:ln>
            <a:solidFill>
              <a:srgbClr val="FFC670"/>
            </a:solid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oneCellAnchor>
    <xdr:from>
      <xdr:col>16</xdr:col>
      <xdr:colOff>104641</xdr:colOff>
      <xdr:row>3</xdr:row>
      <xdr:rowOff>117260</xdr:rowOff>
    </xdr:from>
    <xdr:ext cx="535659" cy="937629"/>
    <xdr:sp macro="" textlink="">
      <xdr:nvSpPr>
        <xdr:cNvPr id="52" name="Rectángulo 14">
          <a:extLst>
            <a:ext uri="{FF2B5EF4-FFF2-40B4-BE49-F238E27FC236}">
              <a16:creationId xmlns:a16="http://schemas.microsoft.com/office/drawing/2014/main" id="{BBAC8E5D-9205-B048-9611-32B612D0F241}"/>
            </a:ext>
            <a:ext uri="{147F2762-F138-4A5C-976F-8EAC2B608ADB}">
              <a16:predDERef xmlns:a16="http://schemas.microsoft.com/office/drawing/2014/main" pred="{F711E7B5-58F3-47D2-B730-E78AAE3DAF3D}"/>
            </a:ext>
          </a:extLst>
        </xdr:cNvPr>
        <xdr:cNvSpPr/>
      </xdr:nvSpPr>
      <xdr:spPr>
        <a:xfrm>
          <a:off x="13312641" y="726860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22225">
                <a:solidFill>
                  <a:schemeClr val="accent4"/>
                </a:solidFill>
                <a:prstDash val="solid"/>
              </a:ln>
              <a:solidFill>
                <a:schemeClr val="accent4">
                  <a:lumMod val="40000"/>
                  <a:lumOff val="60000"/>
                </a:schemeClr>
              </a:solidFill>
              <a:effectLst/>
            </a:rPr>
            <a:t>2</a:t>
          </a:r>
          <a:endParaRPr lang="es-ES" sz="5400" b="1" cap="none" spc="0">
            <a:ln w="22225">
              <a:solidFill>
                <a:schemeClr val="accent4"/>
              </a:solidFill>
              <a:prstDash val="solid"/>
            </a:ln>
            <a:solidFill>
              <a:schemeClr val="accent4">
                <a:lumMod val="40000"/>
                <a:lumOff val="60000"/>
              </a:schemeClr>
            </a:solid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oneCellAnchor>
    <xdr:from>
      <xdr:col>10</xdr:col>
      <xdr:colOff>27047</xdr:colOff>
      <xdr:row>7</xdr:row>
      <xdr:rowOff>38052</xdr:rowOff>
    </xdr:from>
    <xdr:ext cx="535659" cy="937629"/>
    <xdr:sp macro="" textlink="">
      <xdr:nvSpPr>
        <xdr:cNvPr id="53" name="Rectángulo 15">
          <a:extLst>
            <a:ext uri="{FF2B5EF4-FFF2-40B4-BE49-F238E27FC236}">
              <a16:creationId xmlns:a16="http://schemas.microsoft.com/office/drawing/2014/main" id="{E1D1C351-2E34-8B48-A9B0-2F6B4B28847A}"/>
            </a:ext>
            <a:ext uri="{147F2762-F138-4A5C-976F-8EAC2B608ADB}">
              <a16:predDERef xmlns:a16="http://schemas.microsoft.com/office/drawing/2014/main" pred="{696F7FD6-B792-4213-8DD7-BEC9A513C127}"/>
            </a:ext>
          </a:extLst>
        </xdr:cNvPr>
        <xdr:cNvSpPr/>
      </xdr:nvSpPr>
      <xdr:spPr>
        <a:xfrm>
          <a:off x="8282047" y="1485852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22225">
                <a:solidFill>
                  <a:srgbClr val="6AC5FF"/>
                </a:solidFill>
                <a:prstDash val="solid"/>
              </a:ln>
              <a:solidFill>
                <a:srgbClr val="C1EDFF"/>
              </a:solidFill>
              <a:effectLst/>
            </a:rPr>
            <a:t>3</a:t>
          </a:r>
        </a:p>
      </xdr:txBody>
    </xdr:sp>
    <xdr:clientData/>
  </xdr:oneCellAnchor>
  <xdr:oneCellAnchor>
    <xdr:from>
      <xdr:col>14</xdr:col>
      <xdr:colOff>681075</xdr:colOff>
      <xdr:row>8</xdr:row>
      <xdr:rowOff>87037</xdr:rowOff>
    </xdr:from>
    <xdr:ext cx="535659" cy="937629"/>
    <xdr:sp macro="" textlink="">
      <xdr:nvSpPr>
        <xdr:cNvPr id="54" name="Rectángulo 16">
          <a:extLst>
            <a:ext uri="{FF2B5EF4-FFF2-40B4-BE49-F238E27FC236}">
              <a16:creationId xmlns:a16="http://schemas.microsoft.com/office/drawing/2014/main" id="{BB648BCD-0301-524F-8669-4903E0C3C6C2}"/>
            </a:ext>
            <a:ext uri="{147F2762-F138-4A5C-976F-8EAC2B608ADB}">
              <a16:predDERef xmlns:a16="http://schemas.microsoft.com/office/drawing/2014/main" pred="{F7CE77AA-99B5-40AB-9A50-620F055372FE}"/>
            </a:ext>
          </a:extLst>
        </xdr:cNvPr>
        <xdr:cNvSpPr/>
      </xdr:nvSpPr>
      <xdr:spPr>
        <a:xfrm>
          <a:off x="12238075" y="1738037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22225">
                <a:solidFill>
                  <a:srgbClr val="BBB92C"/>
                </a:solidFill>
                <a:prstDash val="solid"/>
              </a:ln>
              <a:solidFill>
                <a:srgbClr val="ECF4C1"/>
              </a:solidFill>
              <a:effectLst/>
            </a:rPr>
            <a:t>4</a:t>
          </a:r>
        </a:p>
      </xdr:txBody>
    </xdr:sp>
    <xdr:clientData/>
  </xdr:oneCellAnchor>
  <xdr:oneCellAnchor>
    <xdr:from>
      <xdr:col>3</xdr:col>
      <xdr:colOff>131910</xdr:colOff>
      <xdr:row>11</xdr:row>
      <xdr:rowOff>67733</xdr:rowOff>
    </xdr:from>
    <xdr:ext cx="582155" cy="937629"/>
    <xdr:sp macro="" textlink="">
      <xdr:nvSpPr>
        <xdr:cNvPr id="55" name="Rectángulo 13">
          <a:extLst>
            <a:ext uri="{FF2B5EF4-FFF2-40B4-BE49-F238E27FC236}">
              <a16:creationId xmlns:a16="http://schemas.microsoft.com/office/drawing/2014/main" id="{820C2936-643C-C140-8DC5-D8FA376D12A2}"/>
            </a:ext>
            <a:ext uri="{147F2762-F138-4A5C-976F-8EAC2B608ADB}">
              <a16:predDERef xmlns:a16="http://schemas.microsoft.com/office/drawing/2014/main" pred="{A86F69D5-DF74-4391-8914-0490E9AFAA5E}"/>
            </a:ext>
          </a:extLst>
        </xdr:cNvPr>
        <xdr:cNvSpPr/>
      </xdr:nvSpPr>
      <xdr:spPr>
        <a:xfrm>
          <a:off x="2621110" y="2116666"/>
          <a:ext cx="582155" cy="937629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rgbClr val="FFC670"/>
              </a:solidFill>
              <a:effectLst/>
            </a:rPr>
            <a:t>1</a:t>
          </a:r>
          <a:endParaRPr lang="es-ES" sz="5400" b="1" cap="none" spc="0">
            <a:ln w="22225">
              <a:solidFill>
                <a:schemeClr val="accent2"/>
              </a:solidFill>
              <a:prstDash val="solid"/>
            </a:ln>
            <a:solidFill>
              <a:srgbClr val="FFC670"/>
            </a:solid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0.13938</cdr:x>
      <cdr:y>0.23162</cdr:y>
    </cdr:from>
    <cdr:to>
      <cdr:x>0.27474</cdr:x>
      <cdr:y>0.32549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2DC181C2-CE7C-1651-E639-78C0F3F7D386}"/>
            </a:ext>
          </a:extLst>
        </cdr:cNvPr>
        <cdr:cNvSpPr txBox="1"/>
      </cdr:nvSpPr>
      <cdr:spPr>
        <a:xfrm xmlns:a="http://schemas.openxmlformats.org/drawingml/2006/main">
          <a:off x="1188990" y="1306826"/>
          <a:ext cx="1154727" cy="5296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MX" sz="1200" b="1">
              <a:solidFill>
                <a:schemeClr val="accent5"/>
              </a:solidFill>
              <a:latin typeface=""/>
            </a:rPr>
            <a:t>DIG</a:t>
          </a:r>
          <a:r>
            <a:rPr lang="es-MX" sz="1200" b="1" baseline="0">
              <a:solidFill>
                <a:schemeClr val="accent5"/>
              </a:solidFill>
              <a:latin typeface=""/>
            </a:rPr>
            <a:t> ACUM Stotal de S= </a:t>
          </a:r>
          <a:endParaRPr lang="es-MX" sz="1200" b="1">
            <a:solidFill>
              <a:schemeClr val="accent5"/>
            </a:solidFill>
            <a:latin typeface=""/>
          </a:endParaRPr>
        </a:p>
      </cdr:txBody>
    </cdr:sp>
  </cdr:relSizeAnchor>
  <cdr:relSizeAnchor xmlns:cdr="http://schemas.openxmlformats.org/drawingml/2006/chartDrawing">
    <cdr:from>
      <cdr:x>0.75745</cdr:x>
      <cdr:y>0.3854</cdr:y>
    </cdr:from>
    <cdr:to>
      <cdr:x>0.87808</cdr:x>
      <cdr:y>0.4593</cdr:y>
    </cdr:to>
    <cdr:sp macro="" textlink="">
      <cdr:nvSpPr>
        <cdr:cNvPr id="3" name="CuadroTexto 1">
          <a:extLst xmlns:a="http://schemas.openxmlformats.org/drawingml/2006/main">
            <a:ext uri="{FF2B5EF4-FFF2-40B4-BE49-F238E27FC236}">
              <a16:creationId xmlns:a16="http://schemas.microsoft.com/office/drawing/2014/main" id="{7757D3B5-8AD3-8E7B-553F-238907A0ED37}"/>
            </a:ext>
          </a:extLst>
        </cdr:cNvPr>
        <cdr:cNvSpPr txBox="1"/>
      </cdr:nvSpPr>
      <cdr:spPr>
        <a:xfrm xmlns:a="http://schemas.openxmlformats.org/drawingml/2006/main">
          <a:off x="6461645" y="2174401"/>
          <a:ext cx="1029054" cy="4169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 b="1">
              <a:solidFill>
                <a:schemeClr val="accent1"/>
              </a:solidFill>
              <a:latin typeface=""/>
            </a:rPr>
            <a:t>H</a:t>
          </a:r>
          <a:r>
            <a:rPr lang="es-MX" sz="900" b="1">
              <a:solidFill>
                <a:schemeClr val="accent1"/>
              </a:solidFill>
              <a:latin typeface=""/>
            </a:rPr>
            <a:t>2</a:t>
          </a:r>
          <a:r>
            <a:rPr lang="es-MX" sz="1200" b="1">
              <a:solidFill>
                <a:schemeClr val="accent1"/>
              </a:solidFill>
              <a:latin typeface=""/>
            </a:rPr>
            <a:t>S</a:t>
          </a:r>
          <a:r>
            <a:rPr lang="es-MX" sz="1200" b="1" baseline="0">
              <a:solidFill>
                <a:schemeClr val="accent1"/>
              </a:solidFill>
              <a:latin typeface=""/>
            </a:rPr>
            <a:t> ACUM</a:t>
          </a:r>
          <a:endParaRPr lang="es-MX" sz="1200" b="1">
            <a:solidFill>
              <a:schemeClr val="accent1"/>
            </a:solidFill>
            <a:latin typeface=""/>
          </a:endParaRPr>
        </a:p>
      </cdr:txBody>
    </cdr:sp>
  </cdr:relSizeAnchor>
  <cdr:relSizeAnchor xmlns:cdr="http://schemas.openxmlformats.org/drawingml/2006/chartDrawing">
    <cdr:from>
      <cdr:x>0.47614</cdr:x>
      <cdr:y>0.83031</cdr:y>
    </cdr:from>
    <cdr:to>
      <cdr:x>0.631</cdr:x>
      <cdr:y>0.92418</cdr:y>
    </cdr:to>
    <cdr:sp macro="" textlink="">
      <cdr:nvSpPr>
        <cdr:cNvPr id="4" name="CuadroTexto 1">
          <a:extLst xmlns:a="http://schemas.openxmlformats.org/drawingml/2006/main">
            <a:ext uri="{FF2B5EF4-FFF2-40B4-BE49-F238E27FC236}">
              <a16:creationId xmlns:a16="http://schemas.microsoft.com/office/drawing/2014/main" id="{3223EBC6-D2C6-750A-E8F7-0E6E5BB48E55}"/>
            </a:ext>
          </a:extLst>
        </cdr:cNvPr>
        <cdr:cNvSpPr txBox="1"/>
      </cdr:nvSpPr>
      <cdr:spPr>
        <a:xfrm xmlns:a="http://schemas.openxmlformats.org/drawingml/2006/main">
          <a:off x="3986990" y="4929230"/>
          <a:ext cx="1296727" cy="5572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 b="1">
              <a:solidFill>
                <a:schemeClr val="accent4"/>
              </a:solidFill>
              <a:latin typeface=""/>
            </a:rPr>
            <a:t>DIG</a:t>
          </a:r>
          <a:r>
            <a:rPr lang="es-MX" sz="1200" b="1" baseline="0">
              <a:solidFill>
                <a:schemeClr val="accent4"/>
              </a:solidFill>
              <a:latin typeface=""/>
            </a:rPr>
            <a:t> ACUM Stotal de SO4=  </a:t>
          </a:r>
          <a:endParaRPr lang="es-MX" sz="1200" b="1">
            <a:solidFill>
              <a:schemeClr val="accent4"/>
            </a:solidFill>
            <a:latin typeface=""/>
          </a:endParaRPr>
        </a:p>
      </cdr:txBody>
    </cdr:sp>
  </cdr:relSizeAnchor>
  <cdr:relSizeAnchor xmlns:cdr="http://schemas.openxmlformats.org/drawingml/2006/chartDrawing">
    <cdr:from>
      <cdr:x>0.70213</cdr:x>
      <cdr:y>0.68827</cdr:y>
    </cdr:from>
    <cdr:to>
      <cdr:x>0.88444</cdr:x>
      <cdr:y>0.78213</cdr:y>
    </cdr:to>
    <cdr:sp macro="" textlink="">
      <cdr:nvSpPr>
        <cdr:cNvPr id="5" name="CuadroTexto 1">
          <a:extLst xmlns:a="http://schemas.openxmlformats.org/drawingml/2006/main">
            <a:ext uri="{FF2B5EF4-FFF2-40B4-BE49-F238E27FC236}">
              <a16:creationId xmlns:a16="http://schemas.microsoft.com/office/drawing/2014/main" id="{BF86568B-C6BC-4891-B700-CF9767AB203F}"/>
            </a:ext>
          </a:extLst>
        </cdr:cNvPr>
        <cdr:cNvSpPr txBox="1"/>
      </cdr:nvSpPr>
      <cdr:spPr>
        <a:xfrm xmlns:a="http://schemas.openxmlformats.org/drawingml/2006/main">
          <a:off x="5879273" y="4086012"/>
          <a:ext cx="1526622" cy="5572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 b="1">
              <a:solidFill>
                <a:schemeClr val="accent3"/>
              </a:solidFill>
              <a:latin typeface=""/>
            </a:rPr>
            <a:t>CAMBIO</a:t>
          </a:r>
          <a:r>
            <a:rPr lang="es-MX" sz="1200" b="1" baseline="0">
              <a:solidFill>
                <a:schemeClr val="accent3"/>
              </a:solidFill>
              <a:latin typeface=""/>
            </a:rPr>
            <a:t> BIORREACTOR Stotal de S= </a:t>
          </a:r>
          <a:endParaRPr lang="es-MX" sz="1200" b="1">
            <a:solidFill>
              <a:schemeClr val="accent3"/>
            </a:solidFill>
            <a:latin typeface=""/>
          </a:endParaRPr>
        </a:p>
      </cdr:txBody>
    </cdr:sp>
  </cdr:relSizeAnchor>
  <cdr:relSizeAnchor xmlns:cdr="http://schemas.openxmlformats.org/drawingml/2006/chartDrawing">
    <cdr:from>
      <cdr:x>0.7381</cdr:x>
      <cdr:y>0.58485</cdr:y>
    </cdr:from>
    <cdr:to>
      <cdr:x>0.9317</cdr:x>
      <cdr:y>0.67715</cdr:y>
    </cdr:to>
    <cdr:sp macro="" textlink="">
      <cdr:nvSpPr>
        <cdr:cNvPr id="6" name="CuadroTexto 1">
          <a:extLst xmlns:a="http://schemas.openxmlformats.org/drawingml/2006/main">
            <a:ext uri="{FF2B5EF4-FFF2-40B4-BE49-F238E27FC236}">
              <a16:creationId xmlns:a16="http://schemas.microsoft.com/office/drawing/2014/main" id="{42C57CF1-23A4-FFEA-E820-08331E2CED0F}"/>
            </a:ext>
          </a:extLst>
        </cdr:cNvPr>
        <cdr:cNvSpPr txBox="1"/>
      </cdr:nvSpPr>
      <cdr:spPr>
        <a:xfrm xmlns:a="http://schemas.openxmlformats.org/drawingml/2006/main">
          <a:off x="6180493" y="3472025"/>
          <a:ext cx="1621141" cy="547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 b="1">
              <a:solidFill>
                <a:schemeClr val="accent2"/>
              </a:solidFill>
              <a:latin typeface=""/>
            </a:rPr>
            <a:t>CAMBIO</a:t>
          </a:r>
          <a:r>
            <a:rPr lang="es-MX" sz="1200" b="1" baseline="0">
              <a:solidFill>
                <a:schemeClr val="accent2"/>
              </a:solidFill>
              <a:latin typeface=""/>
            </a:rPr>
            <a:t> BIORREACTOR Stotal de SO4= </a:t>
          </a:r>
          <a:endParaRPr lang="es-MX" sz="1200" b="1">
            <a:solidFill>
              <a:schemeClr val="accent2"/>
            </a:solidFill>
            <a:latin typeface="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0.17924</cdr:x>
      <cdr:y>0.11604</cdr:y>
    </cdr:from>
    <cdr:to>
      <cdr:x>0.3146</cdr:x>
      <cdr:y>0.20991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2DC181C2-CE7C-1651-E639-78C0F3F7D386}"/>
            </a:ext>
          </a:extLst>
        </cdr:cNvPr>
        <cdr:cNvSpPr txBox="1"/>
      </cdr:nvSpPr>
      <cdr:spPr>
        <a:xfrm xmlns:a="http://schemas.openxmlformats.org/drawingml/2006/main">
          <a:off x="1502716" y="688887"/>
          <a:ext cx="1134863" cy="5572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MX" sz="1200" b="1">
              <a:solidFill>
                <a:schemeClr val="accent5"/>
              </a:solidFill>
              <a:latin typeface=""/>
            </a:rPr>
            <a:t>DIG</a:t>
          </a:r>
          <a:r>
            <a:rPr lang="es-MX" sz="1200" b="1" baseline="0">
              <a:solidFill>
                <a:schemeClr val="accent5"/>
              </a:solidFill>
              <a:latin typeface=""/>
            </a:rPr>
            <a:t> ACUM Stotal de S= </a:t>
          </a:r>
          <a:endParaRPr lang="es-MX" sz="1200" b="1">
            <a:solidFill>
              <a:schemeClr val="accent5"/>
            </a:solidFill>
            <a:latin typeface=""/>
          </a:endParaRPr>
        </a:p>
      </cdr:txBody>
    </cdr:sp>
  </cdr:relSizeAnchor>
  <cdr:relSizeAnchor xmlns:cdr="http://schemas.openxmlformats.org/drawingml/2006/chartDrawing">
    <cdr:from>
      <cdr:x>0.58742</cdr:x>
      <cdr:y>0.07324</cdr:y>
    </cdr:from>
    <cdr:to>
      <cdr:x>0.70805</cdr:x>
      <cdr:y>0.14714</cdr:y>
    </cdr:to>
    <cdr:sp macro="" textlink="">
      <cdr:nvSpPr>
        <cdr:cNvPr id="3" name="CuadroTexto 1">
          <a:extLst xmlns:a="http://schemas.openxmlformats.org/drawingml/2006/main">
            <a:ext uri="{FF2B5EF4-FFF2-40B4-BE49-F238E27FC236}">
              <a16:creationId xmlns:a16="http://schemas.microsoft.com/office/drawing/2014/main" id="{7757D3B5-8AD3-8E7B-553F-238907A0ED37}"/>
            </a:ext>
          </a:extLst>
        </cdr:cNvPr>
        <cdr:cNvSpPr txBox="1"/>
      </cdr:nvSpPr>
      <cdr:spPr>
        <a:xfrm xmlns:a="http://schemas.openxmlformats.org/drawingml/2006/main">
          <a:off x="4924974" y="434817"/>
          <a:ext cx="1011366" cy="438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 b="1">
              <a:solidFill>
                <a:schemeClr val="accent1"/>
              </a:solidFill>
              <a:latin typeface=""/>
            </a:rPr>
            <a:t>H</a:t>
          </a:r>
          <a:r>
            <a:rPr lang="es-MX" sz="900" b="1">
              <a:solidFill>
                <a:schemeClr val="accent1"/>
              </a:solidFill>
              <a:latin typeface=""/>
            </a:rPr>
            <a:t>2</a:t>
          </a:r>
          <a:r>
            <a:rPr lang="es-MX" sz="1200" b="1">
              <a:solidFill>
                <a:schemeClr val="accent1"/>
              </a:solidFill>
              <a:latin typeface=""/>
            </a:rPr>
            <a:t>S</a:t>
          </a:r>
          <a:r>
            <a:rPr lang="es-MX" sz="1200" b="1" baseline="0">
              <a:solidFill>
                <a:schemeClr val="accent1"/>
              </a:solidFill>
              <a:latin typeface=""/>
            </a:rPr>
            <a:t> ACUM</a:t>
          </a:r>
          <a:endParaRPr lang="es-MX" sz="1200" b="1">
            <a:solidFill>
              <a:schemeClr val="accent1"/>
            </a:solidFill>
            <a:latin typeface=""/>
          </a:endParaRPr>
        </a:p>
      </cdr:txBody>
    </cdr:sp>
  </cdr:relSizeAnchor>
  <cdr:relSizeAnchor xmlns:cdr="http://schemas.openxmlformats.org/drawingml/2006/chartDrawing">
    <cdr:from>
      <cdr:x>0.1086</cdr:x>
      <cdr:y>0.57422</cdr:y>
    </cdr:from>
    <cdr:to>
      <cdr:x>0.26347</cdr:x>
      <cdr:y>0.66809</cdr:y>
    </cdr:to>
    <cdr:sp macro="" textlink="">
      <cdr:nvSpPr>
        <cdr:cNvPr id="4" name="CuadroTexto 1">
          <a:extLst xmlns:a="http://schemas.openxmlformats.org/drawingml/2006/main">
            <a:ext uri="{FF2B5EF4-FFF2-40B4-BE49-F238E27FC236}">
              <a16:creationId xmlns:a16="http://schemas.microsoft.com/office/drawing/2014/main" id="{3223EBC6-D2C6-750A-E8F7-0E6E5BB48E55}"/>
            </a:ext>
          </a:extLst>
        </cdr:cNvPr>
        <cdr:cNvSpPr txBox="1"/>
      </cdr:nvSpPr>
      <cdr:spPr>
        <a:xfrm xmlns:a="http://schemas.openxmlformats.org/drawingml/2006/main">
          <a:off x="910547" y="3408963"/>
          <a:ext cx="1298352" cy="5572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 b="1">
              <a:solidFill>
                <a:schemeClr val="accent4"/>
              </a:solidFill>
              <a:latin typeface=""/>
            </a:rPr>
            <a:t>DIG</a:t>
          </a:r>
          <a:r>
            <a:rPr lang="es-MX" sz="1200" b="1" baseline="0">
              <a:solidFill>
                <a:schemeClr val="accent4"/>
              </a:solidFill>
              <a:latin typeface=""/>
            </a:rPr>
            <a:t> ACUM Stotal de SO4=  </a:t>
          </a:r>
          <a:endParaRPr lang="es-MX" sz="1200" b="1">
            <a:solidFill>
              <a:schemeClr val="accent4"/>
            </a:solidFill>
            <a:latin typeface=""/>
          </a:endParaRPr>
        </a:p>
      </cdr:txBody>
    </cdr:sp>
  </cdr:relSizeAnchor>
  <cdr:relSizeAnchor xmlns:cdr="http://schemas.openxmlformats.org/drawingml/2006/chartDrawing">
    <cdr:from>
      <cdr:x>0.76414</cdr:x>
      <cdr:y>0.54491</cdr:y>
    </cdr:from>
    <cdr:to>
      <cdr:x>0.96142</cdr:x>
      <cdr:y>0.63877</cdr:y>
    </cdr:to>
    <cdr:sp macro="" textlink="">
      <cdr:nvSpPr>
        <cdr:cNvPr id="5" name="CuadroTexto 1">
          <a:extLst xmlns:a="http://schemas.openxmlformats.org/drawingml/2006/main">
            <a:ext uri="{FF2B5EF4-FFF2-40B4-BE49-F238E27FC236}">
              <a16:creationId xmlns:a16="http://schemas.microsoft.com/office/drawing/2014/main" id="{BF86568B-C6BC-4891-B700-CF9767AB203F}"/>
            </a:ext>
          </a:extLst>
        </cdr:cNvPr>
        <cdr:cNvSpPr txBox="1"/>
      </cdr:nvSpPr>
      <cdr:spPr>
        <a:xfrm xmlns:a="http://schemas.openxmlformats.org/drawingml/2006/main">
          <a:off x="6406567" y="3234959"/>
          <a:ext cx="1654046" cy="5572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 b="1">
              <a:solidFill>
                <a:schemeClr val="accent3"/>
              </a:solidFill>
              <a:latin typeface=""/>
            </a:rPr>
            <a:t>CAMBIO</a:t>
          </a:r>
          <a:r>
            <a:rPr lang="es-MX" sz="1200" b="1" baseline="0">
              <a:solidFill>
                <a:schemeClr val="accent3"/>
              </a:solidFill>
              <a:latin typeface=""/>
            </a:rPr>
            <a:t> BIORREACTOR Stotal de S= </a:t>
          </a:r>
          <a:endParaRPr lang="es-MX" sz="1200" b="1">
            <a:solidFill>
              <a:schemeClr val="accent3"/>
            </a:solidFill>
            <a:latin typeface=""/>
          </a:endParaRPr>
        </a:p>
      </cdr:txBody>
    </cdr:sp>
  </cdr:relSizeAnchor>
  <cdr:relSizeAnchor xmlns:cdr="http://schemas.openxmlformats.org/drawingml/2006/chartDrawing">
    <cdr:from>
      <cdr:x>0.68117</cdr:x>
      <cdr:y>0.11099</cdr:y>
    </cdr:from>
    <cdr:to>
      <cdr:x>0.90114</cdr:x>
      <cdr:y>0.20486</cdr:y>
    </cdr:to>
    <cdr:sp macro="" textlink="">
      <cdr:nvSpPr>
        <cdr:cNvPr id="6" name="CuadroTexto 1">
          <a:extLst xmlns:a="http://schemas.openxmlformats.org/drawingml/2006/main">
            <a:ext uri="{FF2B5EF4-FFF2-40B4-BE49-F238E27FC236}">
              <a16:creationId xmlns:a16="http://schemas.microsoft.com/office/drawing/2014/main" id="{0BE6F788-1542-9FF0-5BC5-74B94B9CE6FA}"/>
            </a:ext>
          </a:extLst>
        </cdr:cNvPr>
        <cdr:cNvSpPr txBox="1"/>
      </cdr:nvSpPr>
      <cdr:spPr>
        <a:xfrm xmlns:a="http://schemas.openxmlformats.org/drawingml/2006/main">
          <a:off x="5710991" y="658908"/>
          <a:ext cx="1844214" cy="5572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 b="1">
              <a:solidFill>
                <a:schemeClr val="accent2"/>
              </a:solidFill>
              <a:latin typeface=""/>
            </a:rPr>
            <a:t>CAMBIO</a:t>
          </a:r>
          <a:r>
            <a:rPr lang="es-MX" sz="1200" b="1" baseline="0">
              <a:solidFill>
                <a:schemeClr val="accent2"/>
              </a:solidFill>
              <a:latin typeface=""/>
            </a:rPr>
            <a:t> BIORREACTOR Stotal de SO4= </a:t>
          </a:r>
          <a:endParaRPr lang="es-MX" sz="1200" b="1">
            <a:solidFill>
              <a:schemeClr val="accent2"/>
            </a:solidFill>
            <a:latin typeface="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870789</xdr:colOff>
      <xdr:row>37</xdr:row>
      <xdr:rowOff>142875</xdr:rowOff>
    </xdr:from>
    <xdr:ext cx="184731" cy="937629"/>
    <xdr:sp macro="" textlink="">
      <xdr:nvSpPr>
        <xdr:cNvPr id="2" name="Rectángulo 18">
          <a:extLst>
            <a:ext uri="{FF2B5EF4-FFF2-40B4-BE49-F238E27FC236}">
              <a16:creationId xmlns:a16="http://schemas.microsoft.com/office/drawing/2014/main" id="{A19155E8-D2B8-1D4A-9C62-B0C2C0432F52}"/>
            </a:ext>
            <a:ext uri="{147F2762-F138-4A5C-976F-8EAC2B608ADB}">
              <a16:predDERef xmlns:a16="http://schemas.microsoft.com/office/drawing/2014/main" pred="{1AB46FF1-B61B-4579-8F03-43EFE12B5FB5}"/>
            </a:ext>
          </a:extLst>
        </xdr:cNvPr>
        <xdr:cNvSpPr/>
      </xdr:nvSpPr>
      <xdr:spPr>
        <a:xfrm>
          <a:off x="3296489" y="8397875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5400" b="1" cap="none" spc="0"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pattFill prst="narHorz">
              <a:fgClr>
                <a:schemeClr val="accent3"/>
              </a:fgClr>
              <a:bgClr>
                <a:schemeClr val="accent3">
                  <a:lumMod val="40000"/>
                  <a:lumOff val="60000"/>
                </a:schemeClr>
              </a:bgClr>
            </a:patt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oneCellAnchor>
    <xdr:from>
      <xdr:col>3</xdr:col>
      <xdr:colOff>404091</xdr:colOff>
      <xdr:row>11</xdr:row>
      <xdr:rowOff>127000</xdr:rowOff>
    </xdr:from>
    <xdr:ext cx="582155" cy="937629"/>
    <xdr:sp macro="" textlink="">
      <xdr:nvSpPr>
        <xdr:cNvPr id="3" name="Rectángulo 13">
          <a:extLst>
            <a:ext uri="{FF2B5EF4-FFF2-40B4-BE49-F238E27FC236}">
              <a16:creationId xmlns:a16="http://schemas.microsoft.com/office/drawing/2014/main" id="{2CE18228-1FE9-744B-B39B-CA12AFDEE952}"/>
            </a:ext>
            <a:ext uri="{147F2762-F138-4A5C-976F-8EAC2B608ADB}">
              <a16:predDERef xmlns:a16="http://schemas.microsoft.com/office/drawing/2014/main" pred="{0750452A-D474-4CF9-A8FA-43BE142D1DD1}"/>
            </a:ext>
          </a:extLst>
        </xdr:cNvPr>
        <xdr:cNvSpPr/>
      </xdr:nvSpPr>
      <xdr:spPr>
        <a:xfrm>
          <a:off x="2880591" y="2425700"/>
          <a:ext cx="582155" cy="93762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s-ES" sz="5400" b="1" cap="none" spc="0"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pattFill prst="narHorz">
              <a:fgClr>
                <a:schemeClr val="accent3"/>
              </a:fgClr>
              <a:bgClr>
                <a:schemeClr val="accent3">
                  <a:lumMod val="40000"/>
                  <a:lumOff val="60000"/>
                </a:schemeClr>
              </a:bgClr>
            </a:patt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oneCellAnchor>
    <xdr:from>
      <xdr:col>3</xdr:col>
      <xdr:colOff>572623</xdr:colOff>
      <xdr:row>37</xdr:row>
      <xdr:rowOff>44261</xdr:rowOff>
    </xdr:from>
    <xdr:ext cx="535659" cy="937629"/>
    <xdr:sp macro="" textlink="">
      <xdr:nvSpPr>
        <xdr:cNvPr id="4" name="Rectángulo 14">
          <a:extLst>
            <a:ext uri="{FF2B5EF4-FFF2-40B4-BE49-F238E27FC236}">
              <a16:creationId xmlns:a16="http://schemas.microsoft.com/office/drawing/2014/main" id="{901474D6-C80A-B743-A50F-C5F93C4376A6}"/>
            </a:ext>
            <a:ext uri="{147F2762-F138-4A5C-976F-8EAC2B608ADB}">
              <a16:predDERef xmlns:a16="http://schemas.microsoft.com/office/drawing/2014/main" pred="{1457817D-75BB-4EEC-83ED-2F8AA2597F02}"/>
            </a:ext>
          </a:extLst>
        </xdr:cNvPr>
        <xdr:cNvSpPr/>
      </xdr:nvSpPr>
      <xdr:spPr>
        <a:xfrm>
          <a:off x="3076337" y="7265118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22225">
                <a:solidFill>
                  <a:schemeClr val="accent4"/>
                </a:solidFill>
                <a:prstDash val="solid"/>
              </a:ln>
              <a:solidFill>
                <a:schemeClr val="accent4">
                  <a:lumMod val="40000"/>
                  <a:lumOff val="60000"/>
                </a:schemeClr>
              </a:solidFill>
              <a:effectLst/>
            </a:rPr>
            <a:t>2</a:t>
          </a:r>
          <a:endParaRPr lang="es-ES" sz="5400" b="1" cap="none" spc="0">
            <a:ln w="22225">
              <a:solidFill>
                <a:schemeClr val="accent4"/>
              </a:solidFill>
              <a:prstDash val="solid"/>
            </a:ln>
            <a:solidFill>
              <a:schemeClr val="accent4">
                <a:lumMod val="40000"/>
                <a:lumOff val="60000"/>
              </a:schemeClr>
            </a:solid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oneCellAnchor>
    <xdr:from>
      <xdr:col>1</xdr:col>
      <xdr:colOff>703034</xdr:colOff>
      <xdr:row>87</xdr:row>
      <xdr:rowOff>45171</xdr:rowOff>
    </xdr:from>
    <xdr:ext cx="535659" cy="937629"/>
    <xdr:sp macro="" textlink="">
      <xdr:nvSpPr>
        <xdr:cNvPr id="5" name="Rectángulo 15">
          <a:extLst>
            <a:ext uri="{FF2B5EF4-FFF2-40B4-BE49-F238E27FC236}">
              <a16:creationId xmlns:a16="http://schemas.microsoft.com/office/drawing/2014/main" id="{89079633-9B96-B34B-92AE-5E5A3B0B6DCA}"/>
            </a:ext>
            <a:ext uri="{147F2762-F138-4A5C-976F-8EAC2B608ADB}">
              <a16:predDERef xmlns:a16="http://schemas.microsoft.com/office/drawing/2014/main" pred="{AC6874D9-FC1C-4074-B5BB-2EC307421023}"/>
            </a:ext>
          </a:extLst>
        </xdr:cNvPr>
        <xdr:cNvSpPr/>
      </xdr:nvSpPr>
      <xdr:spPr>
        <a:xfrm>
          <a:off x="1537605" y="17153885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22225">
                <a:solidFill>
                  <a:srgbClr val="6AC5FF"/>
                </a:solidFill>
                <a:prstDash val="solid"/>
              </a:ln>
              <a:solidFill>
                <a:srgbClr val="C1EDFF"/>
              </a:solidFill>
              <a:effectLst/>
            </a:rPr>
            <a:t>3</a:t>
          </a:r>
        </a:p>
      </xdr:txBody>
    </xdr:sp>
    <xdr:clientData/>
  </xdr:oneCellAnchor>
  <xdr:oneCellAnchor>
    <xdr:from>
      <xdr:col>1</xdr:col>
      <xdr:colOff>120039</xdr:colOff>
      <xdr:row>118</xdr:row>
      <xdr:rowOff>81837</xdr:rowOff>
    </xdr:from>
    <xdr:ext cx="535659" cy="937629"/>
    <xdr:sp macro="" textlink="">
      <xdr:nvSpPr>
        <xdr:cNvPr id="6" name="Rectángulo 16">
          <a:extLst>
            <a:ext uri="{FF2B5EF4-FFF2-40B4-BE49-F238E27FC236}">
              <a16:creationId xmlns:a16="http://schemas.microsoft.com/office/drawing/2014/main" id="{FCF156F2-BE6A-324F-9AD6-25DE064DB98D}"/>
            </a:ext>
            <a:ext uri="{147F2762-F138-4A5C-976F-8EAC2B608ADB}">
              <a16:predDERef xmlns:a16="http://schemas.microsoft.com/office/drawing/2014/main" pred="{D798EBB1-9D3A-48EE-B585-ABDC22931635}"/>
            </a:ext>
          </a:extLst>
        </xdr:cNvPr>
        <xdr:cNvSpPr/>
      </xdr:nvSpPr>
      <xdr:spPr>
        <a:xfrm>
          <a:off x="945539" y="27183637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22225">
                <a:solidFill>
                  <a:srgbClr val="BBB92C"/>
                </a:solidFill>
                <a:prstDash val="solid"/>
              </a:ln>
              <a:solidFill>
                <a:srgbClr val="ECF4C1"/>
              </a:solidFill>
              <a:effectLst/>
            </a:rPr>
            <a:t>4</a:t>
          </a:r>
        </a:p>
      </xdr:txBody>
    </xdr:sp>
    <xdr:clientData/>
  </xdr:oneCellAnchor>
  <xdr:oneCellAnchor>
    <xdr:from>
      <xdr:col>1</xdr:col>
      <xdr:colOff>661745</xdr:colOff>
      <xdr:row>100</xdr:row>
      <xdr:rowOff>24204</xdr:rowOff>
    </xdr:from>
    <xdr:ext cx="184731" cy="937629"/>
    <xdr:sp macro="" textlink="">
      <xdr:nvSpPr>
        <xdr:cNvPr id="8" name="Rectángulo 21">
          <a:extLst>
            <a:ext uri="{FF2B5EF4-FFF2-40B4-BE49-F238E27FC236}">
              <a16:creationId xmlns:a16="http://schemas.microsoft.com/office/drawing/2014/main" id="{C8F565E6-FE56-6948-8361-02DB3C4E3832}"/>
            </a:ext>
            <a:ext uri="{147F2762-F138-4A5C-976F-8EAC2B608ADB}">
              <a16:predDERef xmlns:a16="http://schemas.microsoft.com/office/drawing/2014/main" pred="{2175500D-61EA-4417-820C-E8F06DB15709}"/>
            </a:ext>
          </a:extLst>
        </xdr:cNvPr>
        <xdr:cNvSpPr/>
      </xdr:nvSpPr>
      <xdr:spPr>
        <a:xfrm>
          <a:off x="1487245" y="22858804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5400" b="1" cap="none" spc="0"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pattFill prst="narHorz">
              <a:fgClr>
                <a:schemeClr val="accent3"/>
              </a:fgClr>
              <a:bgClr>
                <a:schemeClr val="accent3">
                  <a:lumMod val="40000"/>
                  <a:lumOff val="60000"/>
                </a:schemeClr>
              </a:bgClr>
            </a:patt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oneCellAnchor>
    <xdr:from>
      <xdr:col>4</xdr:col>
      <xdr:colOff>661745</xdr:colOff>
      <xdr:row>95</xdr:row>
      <xdr:rowOff>24204</xdr:rowOff>
    </xdr:from>
    <xdr:ext cx="184731" cy="937629"/>
    <xdr:sp macro="" textlink="">
      <xdr:nvSpPr>
        <xdr:cNvPr id="9" name="Rectángulo 21">
          <a:extLst>
            <a:ext uri="{FF2B5EF4-FFF2-40B4-BE49-F238E27FC236}">
              <a16:creationId xmlns:a16="http://schemas.microsoft.com/office/drawing/2014/main" id="{F3A2AF7A-7043-2C4D-868D-7F7FCD3FE5BA}"/>
            </a:ext>
            <a:ext uri="{147F2762-F138-4A5C-976F-8EAC2B608ADB}">
              <a16:predDERef xmlns:a16="http://schemas.microsoft.com/office/drawing/2014/main" pred="{2175500D-61EA-4417-820C-E8F06DB15709}"/>
            </a:ext>
          </a:extLst>
        </xdr:cNvPr>
        <xdr:cNvSpPr/>
      </xdr:nvSpPr>
      <xdr:spPr>
        <a:xfrm>
          <a:off x="3963745" y="21842804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5400" b="1" cap="none" spc="0"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pattFill prst="narHorz">
              <a:fgClr>
                <a:schemeClr val="accent3"/>
              </a:fgClr>
              <a:bgClr>
                <a:schemeClr val="accent3">
                  <a:lumMod val="40000"/>
                  <a:lumOff val="60000"/>
                </a:schemeClr>
              </a:bgClr>
            </a:patt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oneCellAnchor>
    <xdr:from>
      <xdr:col>1</xdr:col>
      <xdr:colOff>661745</xdr:colOff>
      <xdr:row>131</xdr:row>
      <xdr:rowOff>24204</xdr:rowOff>
    </xdr:from>
    <xdr:ext cx="184731" cy="937629"/>
    <xdr:sp macro="" textlink="">
      <xdr:nvSpPr>
        <xdr:cNvPr id="11" name="Rectángulo 21">
          <a:extLst>
            <a:ext uri="{FF2B5EF4-FFF2-40B4-BE49-F238E27FC236}">
              <a16:creationId xmlns:a16="http://schemas.microsoft.com/office/drawing/2014/main" id="{D80BDC00-6100-3943-AE3E-26A81069AA77}"/>
            </a:ext>
            <a:ext uri="{147F2762-F138-4A5C-976F-8EAC2B608ADB}">
              <a16:predDERef xmlns:a16="http://schemas.microsoft.com/office/drawing/2014/main" pred="{2175500D-61EA-4417-820C-E8F06DB15709}"/>
            </a:ext>
          </a:extLst>
        </xdr:cNvPr>
        <xdr:cNvSpPr/>
      </xdr:nvSpPr>
      <xdr:spPr>
        <a:xfrm>
          <a:off x="1487245" y="30440704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5400" b="1" cap="none" spc="0"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pattFill prst="narHorz">
              <a:fgClr>
                <a:schemeClr val="accent3"/>
              </a:fgClr>
              <a:bgClr>
                <a:schemeClr val="accent3">
                  <a:lumMod val="40000"/>
                  <a:lumOff val="60000"/>
                </a:schemeClr>
              </a:bgClr>
            </a:patt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oneCellAnchor>
    <xdr:from>
      <xdr:col>4</xdr:col>
      <xdr:colOff>661745</xdr:colOff>
      <xdr:row>95</xdr:row>
      <xdr:rowOff>24204</xdr:rowOff>
    </xdr:from>
    <xdr:ext cx="184731" cy="937629"/>
    <xdr:sp macro="" textlink="">
      <xdr:nvSpPr>
        <xdr:cNvPr id="12" name="Rectángulo 21">
          <a:extLst>
            <a:ext uri="{FF2B5EF4-FFF2-40B4-BE49-F238E27FC236}">
              <a16:creationId xmlns:a16="http://schemas.microsoft.com/office/drawing/2014/main" id="{25F7B0C6-2E04-AD45-B471-F8925D9F51AF}"/>
            </a:ext>
            <a:ext uri="{147F2762-F138-4A5C-976F-8EAC2B608ADB}">
              <a16:predDERef xmlns:a16="http://schemas.microsoft.com/office/drawing/2014/main" pred="{2175500D-61EA-4417-820C-E8F06DB15709}"/>
            </a:ext>
          </a:extLst>
        </xdr:cNvPr>
        <xdr:cNvSpPr/>
      </xdr:nvSpPr>
      <xdr:spPr>
        <a:xfrm>
          <a:off x="3963745" y="21842804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5400" b="1" cap="none" spc="0"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pattFill prst="narHorz">
              <a:fgClr>
                <a:schemeClr val="accent3"/>
              </a:fgClr>
              <a:bgClr>
                <a:schemeClr val="accent3">
                  <a:lumMod val="40000"/>
                  <a:lumOff val="60000"/>
                </a:schemeClr>
              </a:bgClr>
            </a:patt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oneCellAnchor>
    <xdr:from>
      <xdr:col>1</xdr:col>
      <xdr:colOff>661745</xdr:colOff>
      <xdr:row>131</xdr:row>
      <xdr:rowOff>24204</xdr:rowOff>
    </xdr:from>
    <xdr:ext cx="184731" cy="937629"/>
    <xdr:sp macro="" textlink="">
      <xdr:nvSpPr>
        <xdr:cNvPr id="13" name="Rectángulo 21">
          <a:extLst>
            <a:ext uri="{FF2B5EF4-FFF2-40B4-BE49-F238E27FC236}">
              <a16:creationId xmlns:a16="http://schemas.microsoft.com/office/drawing/2014/main" id="{D3FAD9F1-683C-8341-9424-BF7335746CC1}"/>
            </a:ext>
            <a:ext uri="{147F2762-F138-4A5C-976F-8EAC2B608ADB}">
              <a16:predDERef xmlns:a16="http://schemas.microsoft.com/office/drawing/2014/main" pred="{2175500D-61EA-4417-820C-E8F06DB15709}"/>
            </a:ext>
          </a:extLst>
        </xdr:cNvPr>
        <xdr:cNvSpPr/>
      </xdr:nvSpPr>
      <xdr:spPr>
        <a:xfrm>
          <a:off x="1487245" y="30440704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5400" b="1" cap="none" spc="0"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pattFill prst="narHorz">
              <a:fgClr>
                <a:schemeClr val="accent3"/>
              </a:fgClr>
              <a:bgClr>
                <a:schemeClr val="accent3">
                  <a:lumMod val="40000"/>
                  <a:lumOff val="60000"/>
                </a:schemeClr>
              </a:bgClr>
            </a:patt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twoCellAnchor>
    <xdr:from>
      <xdr:col>3</xdr:col>
      <xdr:colOff>5607</xdr:colOff>
      <xdr:row>192</xdr:row>
      <xdr:rowOff>72605</xdr:rowOff>
    </xdr:from>
    <xdr:to>
      <xdr:col>13</xdr:col>
      <xdr:colOff>85269</xdr:colOff>
      <xdr:row>220</xdr:row>
      <xdr:rowOff>179627</xdr:rowOff>
    </xdr:to>
    <xdr:graphicFrame macro="">
      <xdr:nvGraphicFramePr>
        <xdr:cNvPr id="14" name="Gráfico 29">
          <a:extLst>
            <a:ext uri="{FF2B5EF4-FFF2-40B4-BE49-F238E27FC236}">
              <a16:creationId xmlns:a16="http://schemas.microsoft.com/office/drawing/2014/main" id="{6981EDE7-34A2-AB45-8ED6-FAB9DE164F3E}"/>
            </a:ext>
            <a:ext uri="{147F2762-F138-4A5C-976F-8EAC2B608ADB}">
              <a16:predDERef xmlns:a16="http://schemas.microsoft.com/office/drawing/2014/main" pred="{770A08CC-9902-4509-9B16-0C33B3B10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818445</xdr:colOff>
      <xdr:row>162</xdr:row>
      <xdr:rowOff>155223</xdr:rowOff>
    </xdr:from>
    <xdr:to>
      <xdr:col>13</xdr:col>
      <xdr:colOff>76043</xdr:colOff>
      <xdr:row>191</xdr:row>
      <xdr:rowOff>102701</xdr:rowOff>
    </xdr:to>
    <xdr:graphicFrame macro="">
      <xdr:nvGraphicFramePr>
        <xdr:cNvPr id="15" name="Gráfico 29">
          <a:extLst>
            <a:ext uri="{FF2B5EF4-FFF2-40B4-BE49-F238E27FC236}">
              <a16:creationId xmlns:a16="http://schemas.microsoft.com/office/drawing/2014/main" id="{CD5408C9-7F8D-EC44-96E2-4F6F279A88CF}"/>
            </a:ext>
            <a:ext uri="{147F2762-F138-4A5C-976F-8EAC2B608ADB}">
              <a16:predDERef xmlns:a16="http://schemas.microsoft.com/office/drawing/2014/main" pred="{770A08CC-9902-4509-9B16-0C33B3B10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323979</xdr:colOff>
      <xdr:row>160</xdr:row>
      <xdr:rowOff>194387</xdr:rowOff>
    </xdr:from>
    <xdr:to>
      <xdr:col>23</xdr:col>
      <xdr:colOff>553747</xdr:colOff>
      <xdr:row>185</xdr:row>
      <xdr:rowOff>166844</xdr:rowOff>
    </xdr:to>
    <xdr:graphicFrame macro="">
      <xdr:nvGraphicFramePr>
        <xdr:cNvPr id="16" name="Gráfico 26">
          <a:extLst>
            <a:ext uri="{FF2B5EF4-FFF2-40B4-BE49-F238E27FC236}">
              <a16:creationId xmlns:a16="http://schemas.microsoft.com/office/drawing/2014/main" id="{AB1941AE-2520-3240-AC00-1B68B792CB95}"/>
            </a:ext>
            <a:ext uri="{147F2762-F138-4A5C-976F-8EAC2B608ADB}">
              <a16:predDERef xmlns:a16="http://schemas.microsoft.com/office/drawing/2014/main" pred="{7E614B5B-41E3-4A6E-B6A0-5E6B236F8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4</xdr:col>
      <xdr:colOff>186267</xdr:colOff>
      <xdr:row>147</xdr:row>
      <xdr:rowOff>33866</xdr:rowOff>
    </xdr:from>
    <xdr:ext cx="4714876" cy="581024"/>
    <xdr:sp macro="" textlink="">
      <xdr:nvSpPr>
        <xdr:cNvPr id="17" name="Rectángulo 20">
          <a:extLst>
            <a:ext uri="{FF2B5EF4-FFF2-40B4-BE49-F238E27FC236}">
              <a16:creationId xmlns:a16="http://schemas.microsoft.com/office/drawing/2014/main" id="{9BC52942-191E-604C-A13B-02F449869B1E}"/>
            </a:ext>
            <a:ext uri="{147F2762-F138-4A5C-976F-8EAC2B608ADB}">
              <a16:predDERef xmlns:a16="http://schemas.microsoft.com/office/drawing/2014/main" pred="{E0481BC6-96B2-453E-BEC5-5615B7B04879}"/>
            </a:ext>
          </a:extLst>
        </xdr:cNvPr>
        <xdr:cNvSpPr/>
      </xdr:nvSpPr>
      <xdr:spPr>
        <a:xfrm>
          <a:off x="3488267" y="33904766"/>
          <a:ext cx="4714876" cy="581024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3200" b="1" cap="none" spc="0">
              <a:ln w="12700">
                <a:solidFill>
                  <a:schemeClr val="accent3">
                    <a:lumMod val="50000"/>
                  </a:schemeClr>
                </a:solidFill>
                <a:prstDash val="solid"/>
              </a:ln>
              <a:pattFill prst="narHorz">
                <a:fgClr>
                  <a:schemeClr val="accent3"/>
                </a:fgClr>
                <a:bgClr>
                  <a:schemeClr val="accent3">
                    <a:lumMod val="40000"/>
                    <a:lumOff val="60000"/>
                  </a:schemeClr>
                </a:bgClr>
              </a:pattFill>
              <a:effectLst>
                <a:innerShdw blurRad="177800">
                  <a:schemeClr val="accent3">
                    <a:lumMod val="50000"/>
                  </a:schemeClr>
                </a:innerShdw>
              </a:effectLst>
            </a:rPr>
            <a:t> </a:t>
          </a:r>
          <a:r>
            <a:rPr lang="es-ES" sz="3200" b="1" cap="none" spc="0">
              <a:ln w="22225">
                <a:solidFill>
                  <a:srgbClr val="ED8E11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1</a:t>
          </a:r>
          <a:r>
            <a:rPr lang="es-ES" sz="32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</a:t>
          </a:r>
          <a:r>
            <a:rPr lang="es-ES" sz="32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</a:t>
          </a:r>
          <a:r>
            <a:rPr lang="es-ES" sz="3200" b="1" cap="none" spc="0">
              <a:ln w="22225">
                <a:solidFill>
                  <a:schemeClr val="bg2">
                    <a:lumMod val="50000"/>
                  </a:schemeClr>
                </a:solidFill>
                <a:prstDash val="solid"/>
              </a:ln>
              <a:solidFill>
                <a:schemeClr val="bg2">
                  <a:lumMod val="75000"/>
                </a:schemeClr>
              </a:solidFill>
              <a:effectLst/>
            </a:rPr>
            <a:t>=</a:t>
          </a:r>
          <a:r>
            <a:rPr lang="es-ES" sz="32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</a:t>
          </a:r>
          <a:r>
            <a:rPr lang="es-ES" sz="3200" b="1" cap="none" spc="0">
              <a:ln w="22225">
                <a:solidFill>
                  <a:schemeClr val="accent4"/>
                </a:solidFill>
                <a:prstDash val="solid"/>
              </a:ln>
              <a:solidFill>
                <a:schemeClr val="accent4">
                  <a:lumMod val="60000"/>
                  <a:lumOff val="40000"/>
                </a:schemeClr>
              </a:solidFill>
              <a:effectLst/>
            </a:rPr>
            <a:t>2</a:t>
          </a:r>
          <a:r>
            <a:rPr lang="es-ES" sz="32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</a:t>
          </a:r>
          <a:r>
            <a:rPr lang="es-ES" sz="3200" b="1" cap="none" spc="0">
              <a:ln w="22225">
                <a:solidFill>
                  <a:schemeClr val="bg2">
                    <a:lumMod val="50000"/>
                  </a:schemeClr>
                </a:solidFill>
                <a:prstDash val="solid"/>
              </a:ln>
              <a:solidFill>
                <a:schemeClr val="bg2">
                  <a:lumMod val="75000"/>
                </a:schemeClr>
              </a:solidFill>
              <a:effectLst/>
            </a:rPr>
            <a:t>+ </a:t>
          </a:r>
          <a:r>
            <a:rPr lang="es-ES" sz="3200" b="1" cap="none" spc="0">
              <a:ln w="22225">
                <a:solidFill>
                  <a:srgbClr val="6AC5FF"/>
                </a:solidFill>
                <a:prstDash val="solid"/>
              </a:ln>
              <a:solidFill>
                <a:srgbClr val="C1EDFF"/>
              </a:solidFill>
              <a:effectLst/>
            </a:rPr>
            <a:t>3.1</a:t>
          </a:r>
          <a:r>
            <a:rPr lang="es-ES" sz="32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</a:t>
          </a:r>
          <a:r>
            <a:rPr lang="es-ES" sz="3200" b="1" cap="none" spc="0">
              <a:ln w="22225">
                <a:solidFill>
                  <a:schemeClr val="bg2">
                    <a:lumMod val="50000"/>
                  </a:schemeClr>
                </a:solidFill>
                <a:prstDash val="solid"/>
              </a:ln>
              <a:solidFill>
                <a:schemeClr val="bg2">
                  <a:lumMod val="75000"/>
                </a:schemeClr>
              </a:solidFill>
              <a:effectLst/>
            </a:rPr>
            <a:t>+</a:t>
          </a:r>
          <a:r>
            <a:rPr lang="es-ES" sz="32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</a:t>
          </a:r>
          <a:r>
            <a:rPr lang="es-ES" sz="3200" b="1" cap="none" spc="0">
              <a:ln w="22225">
                <a:solidFill>
                  <a:srgbClr val="6AC5FF"/>
                </a:solidFill>
                <a:prstDash val="solid"/>
              </a:ln>
              <a:solidFill>
                <a:srgbClr val="C1EDFF"/>
              </a:solidFill>
              <a:effectLst/>
            </a:rPr>
            <a:t>3.2</a:t>
          </a:r>
          <a:r>
            <a:rPr lang="es-ES" sz="32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</a:t>
          </a:r>
          <a:r>
            <a:rPr lang="es-ES" sz="3200" b="1" cap="none" spc="0">
              <a:ln w="22225">
                <a:solidFill>
                  <a:schemeClr val="bg2">
                    <a:lumMod val="50000"/>
                  </a:schemeClr>
                </a:solidFill>
                <a:prstDash val="solid"/>
              </a:ln>
              <a:solidFill>
                <a:schemeClr val="bg2">
                  <a:lumMod val="75000"/>
                </a:schemeClr>
              </a:solidFill>
              <a:effectLst/>
            </a:rPr>
            <a:t>+ </a:t>
          </a:r>
          <a:r>
            <a:rPr lang="es-ES" sz="3200" b="1" cap="none" spc="0">
              <a:ln w="22225">
                <a:solidFill>
                  <a:srgbClr val="BBB92C"/>
                </a:solidFill>
                <a:prstDash val="solid"/>
              </a:ln>
              <a:solidFill>
                <a:srgbClr val="ECF4C1"/>
              </a:solidFill>
              <a:effectLst/>
            </a:rPr>
            <a:t>4.1</a:t>
          </a:r>
          <a:r>
            <a:rPr lang="es-ES" sz="32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</a:t>
          </a:r>
          <a:r>
            <a:rPr lang="es-ES" sz="3200" b="1" cap="none" spc="0">
              <a:ln w="22225">
                <a:solidFill>
                  <a:schemeClr val="bg2">
                    <a:lumMod val="50000"/>
                  </a:schemeClr>
                </a:solidFill>
                <a:prstDash val="solid"/>
              </a:ln>
              <a:solidFill>
                <a:schemeClr val="bg2">
                  <a:lumMod val="75000"/>
                </a:schemeClr>
              </a:solidFill>
              <a:effectLst/>
            </a:rPr>
            <a:t>+ </a:t>
          </a:r>
          <a:r>
            <a:rPr lang="es-ES" sz="3200" b="1" cap="none" spc="0">
              <a:ln w="22225">
                <a:solidFill>
                  <a:srgbClr val="BBB92C"/>
                </a:solidFill>
                <a:prstDash val="solid"/>
              </a:ln>
              <a:solidFill>
                <a:srgbClr val="ECF4C1"/>
              </a:solidFill>
              <a:effectLst/>
            </a:rPr>
            <a:t>4.2</a:t>
          </a:r>
          <a:endParaRPr lang="es-ES" sz="3200" b="1" cap="none" spc="0">
            <a:ln w="22225">
              <a:solidFill>
                <a:srgbClr val="BBB92C"/>
              </a:solidFill>
              <a:prstDash val="solid"/>
            </a:ln>
            <a:solidFill>
              <a:srgbClr val="ECF4C1"/>
            </a:solid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twoCellAnchor>
    <xdr:from>
      <xdr:col>10</xdr:col>
      <xdr:colOff>371475</xdr:colOff>
      <xdr:row>3</xdr:row>
      <xdr:rowOff>142875</xdr:rowOff>
    </xdr:from>
    <xdr:to>
      <xdr:col>13</xdr:col>
      <xdr:colOff>114300</xdr:colOff>
      <xdr:row>8</xdr:row>
      <xdr:rowOff>76200</xdr:rowOff>
    </xdr:to>
    <xdr:sp macro="" textlink="">
      <xdr:nvSpPr>
        <xdr:cNvPr id="18" name="Rectángulo: esquinas redondeadas 5">
          <a:extLst>
            <a:ext uri="{FF2B5EF4-FFF2-40B4-BE49-F238E27FC236}">
              <a16:creationId xmlns:a16="http://schemas.microsoft.com/office/drawing/2014/main" id="{BEA55BED-F2EF-ED48-B6F3-5A0DE3F2C27C}"/>
            </a:ext>
          </a:extLst>
        </xdr:cNvPr>
        <xdr:cNvSpPr/>
      </xdr:nvSpPr>
      <xdr:spPr>
        <a:xfrm>
          <a:off x="8626475" y="752475"/>
          <a:ext cx="2219325" cy="974725"/>
        </a:xfrm>
        <a:prstGeom prst="roundRect">
          <a:avLst/>
        </a:prstGeom>
        <a:solidFill>
          <a:srgbClr val="6AC5FF"/>
        </a:solidFill>
        <a:ln>
          <a:solidFill>
            <a:srgbClr val="7FCAF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AR" sz="1100"/>
            <a:t>VARIACIÓN DE S</a:t>
          </a:r>
          <a:r>
            <a:rPr lang="es-AR" sz="1100" baseline="0"/>
            <a:t> TOTAL EN TODO EL VOLUMEN DEL REACTOR ENTRE EL DÍA X-Y</a:t>
          </a:r>
        </a:p>
      </xdr:txBody>
    </xdr:sp>
    <xdr:clientData/>
  </xdr:twoCellAnchor>
  <xdr:twoCellAnchor>
    <xdr:from>
      <xdr:col>9</xdr:col>
      <xdr:colOff>104656</xdr:colOff>
      <xdr:row>4</xdr:row>
      <xdr:rowOff>142779</xdr:rowOff>
    </xdr:from>
    <xdr:to>
      <xdr:col>10</xdr:col>
      <xdr:colOff>276106</xdr:colOff>
      <xdr:row>6</xdr:row>
      <xdr:rowOff>181380</xdr:rowOff>
    </xdr:to>
    <xdr:sp macro="" textlink="">
      <xdr:nvSpPr>
        <xdr:cNvPr id="19" name="Flecha: a la derecha 6">
          <a:extLst>
            <a:ext uri="{FF2B5EF4-FFF2-40B4-BE49-F238E27FC236}">
              <a16:creationId xmlns:a16="http://schemas.microsoft.com/office/drawing/2014/main" id="{5084834F-E81D-F646-9005-F30A350A358E}"/>
            </a:ext>
            <a:ext uri="{147F2762-F138-4A5C-976F-8EAC2B608ADB}">
              <a16:predDERef xmlns:a16="http://schemas.microsoft.com/office/drawing/2014/main" pred="{9EF9FC4A-3268-4721-8ED7-41143C8D8EDB}"/>
            </a:ext>
          </a:extLst>
        </xdr:cNvPr>
        <xdr:cNvSpPr/>
      </xdr:nvSpPr>
      <xdr:spPr>
        <a:xfrm>
          <a:off x="7534156" y="955579"/>
          <a:ext cx="996950" cy="457701"/>
        </a:xfrm>
        <a:prstGeom prst="right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13</xdr:col>
      <xdr:colOff>180831</xdr:colOff>
      <xdr:row>4</xdr:row>
      <xdr:rowOff>162212</xdr:rowOff>
    </xdr:from>
    <xdr:to>
      <xdr:col>14</xdr:col>
      <xdr:colOff>409431</xdr:colOff>
      <xdr:row>6</xdr:row>
      <xdr:rowOff>200335</xdr:rowOff>
    </xdr:to>
    <xdr:sp macro="" textlink="">
      <xdr:nvSpPr>
        <xdr:cNvPr id="20" name="Flecha: a la derecha 7">
          <a:extLst>
            <a:ext uri="{FF2B5EF4-FFF2-40B4-BE49-F238E27FC236}">
              <a16:creationId xmlns:a16="http://schemas.microsoft.com/office/drawing/2014/main" id="{128A5EBF-9A39-8B43-A8C7-49E2CC12F0AF}"/>
            </a:ext>
            <a:ext uri="{147F2762-F138-4A5C-976F-8EAC2B608ADB}">
              <a16:predDERef xmlns:a16="http://schemas.microsoft.com/office/drawing/2014/main" pred="{8FB725D7-D53C-42B0-82A4-D883D96C1FBF}"/>
            </a:ext>
          </a:extLst>
        </xdr:cNvPr>
        <xdr:cNvSpPr/>
      </xdr:nvSpPr>
      <xdr:spPr>
        <a:xfrm>
          <a:off x="10912331" y="975012"/>
          <a:ext cx="1054100" cy="457223"/>
        </a:xfrm>
        <a:prstGeom prst="right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11</xdr:col>
      <xdr:colOff>581025</xdr:colOff>
      <xdr:row>8</xdr:row>
      <xdr:rowOff>123825</xdr:rowOff>
    </xdr:from>
    <xdr:to>
      <xdr:col>12</xdr:col>
      <xdr:colOff>381000</xdr:colOff>
      <xdr:row>11</xdr:row>
      <xdr:rowOff>114300</xdr:rowOff>
    </xdr:to>
    <xdr:sp macro="" textlink="">
      <xdr:nvSpPr>
        <xdr:cNvPr id="21" name="Flecha: doblada hacia arriba 8">
          <a:extLst>
            <a:ext uri="{FF2B5EF4-FFF2-40B4-BE49-F238E27FC236}">
              <a16:creationId xmlns:a16="http://schemas.microsoft.com/office/drawing/2014/main" id="{D010CF42-27B8-A143-B872-0BB7DCF3DCB9}"/>
            </a:ext>
            <a:ext uri="{147F2762-F138-4A5C-976F-8EAC2B608ADB}">
              <a16:predDERef xmlns:a16="http://schemas.microsoft.com/office/drawing/2014/main" pred="{9343B05F-AD85-4D0A-BDDD-3F52AC6F33C8}"/>
            </a:ext>
          </a:extLst>
        </xdr:cNvPr>
        <xdr:cNvSpPr/>
      </xdr:nvSpPr>
      <xdr:spPr>
        <a:xfrm rot="5400000">
          <a:off x="9655175" y="1781175"/>
          <a:ext cx="638175" cy="625475"/>
        </a:xfrm>
        <a:prstGeom prst="bentUp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oneCellAnchor>
    <xdr:from>
      <xdr:col>7</xdr:col>
      <xdr:colOff>505279</xdr:colOff>
      <xdr:row>3</xdr:row>
      <xdr:rowOff>162258</xdr:rowOff>
    </xdr:from>
    <xdr:ext cx="1285875" cy="781240"/>
    <xdr:sp macro="" textlink="">
      <xdr:nvSpPr>
        <xdr:cNvPr id="22" name="CuadroTexto 9">
          <a:extLst>
            <a:ext uri="{FF2B5EF4-FFF2-40B4-BE49-F238E27FC236}">
              <a16:creationId xmlns:a16="http://schemas.microsoft.com/office/drawing/2014/main" id="{16083124-E8BF-7348-83BC-9AD54EAEFEC4}"/>
            </a:ext>
            <a:ext uri="{147F2762-F138-4A5C-976F-8EAC2B608ADB}">
              <a16:predDERef xmlns:a16="http://schemas.microsoft.com/office/drawing/2014/main" pred="{340D4A9D-0EC6-4791-AF1C-4AF611921F7D}"/>
            </a:ext>
          </a:extLst>
        </xdr:cNvPr>
        <xdr:cNvSpPr txBox="1"/>
      </xdr:nvSpPr>
      <xdr:spPr>
        <a:xfrm>
          <a:off x="6283779" y="771858"/>
          <a:ext cx="1285875" cy="781240"/>
        </a:xfrm>
        <a:prstGeom prst="rect">
          <a:avLst/>
        </a:prstGeom>
        <a:solidFill>
          <a:srgbClr val="ED8E11"/>
        </a:solidFill>
        <a:ln>
          <a:solidFill>
            <a:srgbClr val="ED8E1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AR" sz="1100">
              <a:solidFill>
                <a:schemeClr val="bg1"/>
              </a:solidFill>
            </a:rPr>
            <a:t>APORTE DE S</a:t>
          </a:r>
          <a:r>
            <a:rPr lang="es-AR" sz="1100" baseline="0">
              <a:solidFill>
                <a:schemeClr val="bg1"/>
              </a:solidFill>
            </a:rPr>
            <a:t> total A TRAVÉS DE SUSTRATOS ENTRE DÍA X-Y </a:t>
          </a:r>
        </a:p>
      </xdr:txBody>
    </xdr:sp>
    <xdr:clientData/>
  </xdr:oneCellAnchor>
  <xdr:oneCellAnchor>
    <xdr:from>
      <xdr:col>14</xdr:col>
      <xdr:colOff>476250</xdr:colOff>
      <xdr:row>4</xdr:row>
      <xdr:rowOff>57150</xdr:rowOff>
    </xdr:from>
    <xdr:ext cx="1285875" cy="781240"/>
    <xdr:sp macro="" textlink="">
      <xdr:nvSpPr>
        <xdr:cNvPr id="23" name="CuadroTexto 10">
          <a:extLst>
            <a:ext uri="{FF2B5EF4-FFF2-40B4-BE49-F238E27FC236}">
              <a16:creationId xmlns:a16="http://schemas.microsoft.com/office/drawing/2014/main" id="{036BE3C5-E197-2845-8BC5-143FFF2785DC}"/>
            </a:ext>
            <a:ext uri="{147F2762-F138-4A5C-976F-8EAC2B608ADB}">
              <a16:predDERef xmlns:a16="http://schemas.microsoft.com/office/drawing/2014/main" pred="{3308EFC8-6B2F-4FA6-8C65-EC5AA83A8F20}"/>
            </a:ext>
          </a:extLst>
        </xdr:cNvPr>
        <xdr:cNvSpPr txBox="1"/>
      </xdr:nvSpPr>
      <xdr:spPr>
        <a:xfrm>
          <a:off x="12033250" y="869950"/>
          <a:ext cx="1285875" cy="781240"/>
        </a:xfrm>
        <a:prstGeom prst="rect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AR" sz="1100"/>
            <a:t>SALIDA</a:t>
          </a:r>
          <a:r>
            <a:rPr lang="es-AR" sz="1100" baseline="0"/>
            <a:t> DE </a:t>
          </a:r>
          <a:r>
            <a:rPr lang="es-AR" sz="1100"/>
            <a:t>S</a:t>
          </a:r>
          <a:r>
            <a:rPr lang="es-AR" sz="1100" baseline="0"/>
            <a:t> total A TRAVÉS DEL GAS COMO H2S ENTRE DÍA X-Y</a:t>
          </a:r>
        </a:p>
      </xdr:txBody>
    </xdr:sp>
    <xdr:clientData/>
  </xdr:oneCellAnchor>
  <xdr:oneCellAnchor>
    <xdr:from>
      <xdr:col>12</xdr:col>
      <xdr:colOff>428625</xdr:colOff>
      <xdr:row>9</xdr:row>
      <xdr:rowOff>76200</xdr:rowOff>
    </xdr:from>
    <xdr:ext cx="1876425" cy="609013"/>
    <xdr:sp macro="" textlink="">
      <xdr:nvSpPr>
        <xdr:cNvPr id="24" name="CuadroTexto 11">
          <a:extLst>
            <a:ext uri="{FF2B5EF4-FFF2-40B4-BE49-F238E27FC236}">
              <a16:creationId xmlns:a16="http://schemas.microsoft.com/office/drawing/2014/main" id="{3F68024F-2487-D048-B4AA-68DAC43FC352}"/>
            </a:ext>
            <a:ext uri="{147F2762-F138-4A5C-976F-8EAC2B608ADB}">
              <a16:predDERef xmlns:a16="http://schemas.microsoft.com/office/drawing/2014/main" pred="{D96E78C1-F07E-4338-B2C3-2451E065218C}"/>
            </a:ext>
          </a:extLst>
        </xdr:cNvPr>
        <xdr:cNvSpPr txBox="1"/>
      </xdr:nvSpPr>
      <xdr:spPr>
        <a:xfrm>
          <a:off x="10334625" y="1943100"/>
          <a:ext cx="1876425" cy="609013"/>
        </a:xfrm>
        <a:prstGeom prst="rect">
          <a:avLst/>
        </a:prstGeom>
        <a:solidFill>
          <a:srgbClr val="BBB92C"/>
        </a:solidFill>
        <a:ln>
          <a:solidFill>
            <a:srgbClr val="BBB92C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AR" sz="1100"/>
            <a:t>SALIDA</a:t>
          </a:r>
          <a:r>
            <a:rPr lang="es-AR" sz="1100" baseline="0"/>
            <a:t> DE </a:t>
          </a:r>
          <a:r>
            <a:rPr lang="es-AR" sz="1100"/>
            <a:t>S</a:t>
          </a:r>
          <a:r>
            <a:rPr lang="es-AR" sz="1100" baseline="0"/>
            <a:t> total A TRAVÉS DEL VOLUMEN DE DIGERIDO ENTRE DÍA X-Y</a:t>
          </a:r>
        </a:p>
      </xdr:txBody>
    </xdr:sp>
    <xdr:clientData/>
  </xdr:oneCellAnchor>
  <xdr:oneCellAnchor>
    <xdr:from>
      <xdr:col>7</xdr:col>
      <xdr:colOff>829805</xdr:colOff>
      <xdr:row>7</xdr:row>
      <xdr:rowOff>54428</xdr:rowOff>
    </xdr:from>
    <xdr:ext cx="582155" cy="937629"/>
    <xdr:sp macro="" textlink="">
      <xdr:nvSpPr>
        <xdr:cNvPr id="25" name="Rectángulo 13">
          <a:extLst>
            <a:ext uri="{FF2B5EF4-FFF2-40B4-BE49-F238E27FC236}">
              <a16:creationId xmlns:a16="http://schemas.microsoft.com/office/drawing/2014/main" id="{1562955A-00B8-0F44-B2EB-345B0063ED31}"/>
            </a:ext>
            <a:ext uri="{147F2762-F138-4A5C-976F-8EAC2B608ADB}">
              <a16:predDERef xmlns:a16="http://schemas.microsoft.com/office/drawing/2014/main" pred="{A86F69D5-DF74-4391-8914-0490E9AFAA5E}"/>
            </a:ext>
          </a:extLst>
        </xdr:cNvPr>
        <xdr:cNvSpPr/>
      </xdr:nvSpPr>
      <xdr:spPr>
        <a:xfrm>
          <a:off x="6671805" y="1360714"/>
          <a:ext cx="582155" cy="937629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rgbClr val="FFC670"/>
              </a:solidFill>
              <a:effectLst/>
            </a:rPr>
            <a:t>1</a:t>
          </a:r>
          <a:endParaRPr lang="es-ES" sz="5400" b="1" cap="none" spc="0">
            <a:ln w="22225">
              <a:solidFill>
                <a:schemeClr val="accent2"/>
              </a:solidFill>
              <a:prstDash val="solid"/>
            </a:ln>
            <a:solidFill>
              <a:srgbClr val="FFC670"/>
            </a:solid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oneCellAnchor>
    <xdr:from>
      <xdr:col>16</xdr:col>
      <xdr:colOff>104641</xdr:colOff>
      <xdr:row>3</xdr:row>
      <xdr:rowOff>117260</xdr:rowOff>
    </xdr:from>
    <xdr:ext cx="535659" cy="937629"/>
    <xdr:sp macro="" textlink="">
      <xdr:nvSpPr>
        <xdr:cNvPr id="26" name="Rectángulo 14">
          <a:extLst>
            <a:ext uri="{FF2B5EF4-FFF2-40B4-BE49-F238E27FC236}">
              <a16:creationId xmlns:a16="http://schemas.microsoft.com/office/drawing/2014/main" id="{42E6C2AC-6454-6F4C-A99E-8EF030F9227B}"/>
            </a:ext>
            <a:ext uri="{147F2762-F138-4A5C-976F-8EAC2B608ADB}">
              <a16:predDERef xmlns:a16="http://schemas.microsoft.com/office/drawing/2014/main" pred="{F711E7B5-58F3-47D2-B730-E78AAE3DAF3D}"/>
            </a:ext>
          </a:extLst>
        </xdr:cNvPr>
        <xdr:cNvSpPr/>
      </xdr:nvSpPr>
      <xdr:spPr>
        <a:xfrm>
          <a:off x="13312641" y="726860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22225">
                <a:solidFill>
                  <a:schemeClr val="accent4"/>
                </a:solidFill>
                <a:prstDash val="solid"/>
              </a:ln>
              <a:solidFill>
                <a:schemeClr val="accent4">
                  <a:lumMod val="40000"/>
                  <a:lumOff val="60000"/>
                </a:schemeClr>
              </a:solidFill>
              <a:effectLst/>
            </a:rPr>
            <a:t>2</a:t>
          </a:r>
          <a:endParaRPr lang="es-ES" sz="5400" b="1" cap="none" spc="0">
            <a:ln w="22225">
              <a:solidFill>
                <a:schemeClr val="accent4"/>
              </a:solidFill>
              <a:prstDash val="solid"/>
            </a:ln>
            <a:solidFill>
              <a:schemeClr val="accent4">
                <a:lumMod val="40000"/>
                <a:lumOff val="60000"/>
              </a:schemeClr>
            </a:solid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oneCellAnchor>
    <xdr:from>
      <xdr:col>10</xdr:col>
      <xdr:colOff>27047</xdr:colOff>
      <xdr:row>7</xdr:row>
      <xdr:rowOff>38052</xdr:rowOff>
    </xdr:from>
    <xdr:ext cx="535659" cy="937629"/>
    <xdr:sp macro="" textlink="">
      <xdr:nvSpPr>
        <xdr:cNvPr id="27" name="Rectángulo 15">
          <a:extLst>
            <a:ext uri="{FF2B5EF4-FFF2-40B4-BE49-F238E27FC236}">
              <a16:creationId xmlns:a16="http://schemas.microsoft.com/office/drawing/2014/main" id="{848B39F4-82B3-9345-8201-C486493CD4AE}"/>
            </a:ext>
            <a:ext uri="{147F2762-F138-4A5C-976F-8EAC2B608ADB}">
              <a16:predDERef xmlns:a16="http://schemas.microsoft.com/office/drawing/2014/main" pred="{696F7FD6-B792-4213-8DD7-BEC9A513C127}"/>
            </a:ext>
          </a:extLst>
        </xdr:cNvPr>
        <xdr:cNvSpPr/>
      </xdr:nvSpPr>
      <xdr:spPr>
        <a:xfrm>
          <a:off x="8282047" y="1485852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22225">
                <a:solidFill>
                  <a:srgbClr val="6AC5FF"/>
                </a:solidFill>
                <a:prstDash val="solid"/>
              </a:ln>
              <a:solidFill>
                <a:srgbClr val="C1EDFF"/>
              </a:solidFill>
              <a:effectLst/>
            </a:rPr>
            <a:t>3</a:t>
          </a:r>
        </a:p>
      </xdr:txBody>
    </xdr:sp>
    <xdr:clientData/>
  </xdr:oneCellAnchor>
  <xdr:oneCellAnchor>
    <xdr:from>
      <xdr:col>14</xdr:col>
      <xdr:colOff>681075</xdr:colOff>
      <xdr:row>8</xdr:row>
      <xdr:rowOff>87037</xdr:rowOff>
    </xdr:from>
    <xdr:ext cx="535659" cy="937629"/>
    <xdr:sp macro="" textlink="">
      <xdr:nvSpPr>
        <xdr:cNvPr id="28" name="Rectángulo 16">
          <a:extLst>
            <a:ext uri="{FF2B5EF4-FFF2-40B4-BE49-F238E27FC236}">
              <a16:creationId xmlns:a16="http://schemas.microsoft.com/office/drawing/2014/main" id="{998B8B89-F0EC-F440-8CE5-DAC9274F8C9B}"/>
            </a:ext>
            <a:ext uri="{147F2762-F138-4A5C-976F-8EAC2B608ADB}">
              <a16:predDERef xmlns:a16="http://schemas.microsoft.com/office/drawing/2014/main" pred="{F7CE77AA-99B5-40AB-9A50-620F055372FE}"/>
            </a:ext>
          </a:extLst>
        </xdr:cNvPr>
        <xdr:cNvSpPr/>
      </xdr:nvSpPr>
      <xdr:spPr>
        <a:xfrm>
          <a:off x="12238075" y="1738037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22225">
                <a:solidFill>
                  <a:srgbClr val="BBB92C"/>
                </a:solidFill>
                <a:prstDash val="solid"/>
              </a:ln>
              <a:solidFill>
                <a:srgbClr val="ECF4C1"/>
              </a:solidFill>
              <a:effectLst/>
            </a:rPr>
            <a:t>4</a:t>
          </a:r>
        </a:p>
      </xdr:txBody>
    </xdr:sp>
    <xdr:clientData/>
  </xdr:oneCellAnchor>
  <xdr:oneCellAnchor>
    <xdr:from>
      <xdr:col>3</xdr:col>
      <xdr:colOff>131910</xdr:colOff>
      <xdr:row>11</xdr:row>
      <xdr:rowOff>64104</xdr:rowOff>
    </xdr:from>
    <xdr:ext cx="582155" cy="937629"/>
    <xdr:sp macro="" textlink="">
      <xdr:nvSpPr>
        <xdr:cNvPr id="29" name="Rectángulo 13">
          <a:extLst>
            <a:ext uri="{FF2B5EF4-FFF2-40B4-BE49-F238E27FC236}">
              <a16:creationId xmlns:a16="http://schemas.microsoft.com/office/drawing/2014/main" id="{DA14BC77-6A4F-AA48-A8FC-211A9BE548A5}"/>
            </a:ext>
            <a:ext uri="{147F2762-F138-4A5C-976F-8EAC2B608ADB}">
              <a16:predDERef xmlns:a16="http://schemas.microsoft.com/office/drawing/2014/main" pred="{A86F69D5-DF74-4391-8914-0490E9AFAA5E}"/>
            </a:ext>
          </a:extLst>
        </xdr:cNvPr>
        <xdr:cNvSpPr/>
      </xdr:nvSpPr>
      <xdr:spPr>
        <a:xfrm>
          <a:off x="2635624" y="2150533"/>
          <a:ext cx="582155" cy="937629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rgbClr val="FFC670"/>
              </a:solidFill>
              <a:effectLst/>
            </a:rPr>
            <a:t>1</a:t>
          </a:r>
          <a:endParaRPr lang="es-ES" sz="5400" b="1" cap="none" spc="0">
            <a:ln w="22225">
              <a:solidFill>
                <a:schemeClr val="accent2"/>
              </a:solidFill>
              <a:prstDash val="solid"/>
            </a:ln>
            <a:solidFill>
              <a:srgbClr val="FFC670"/>
            </a:solid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oneCellAnchor>
    <xdr:from>
      <xdr:col>1</xdr:col>
      <xdr:colOff>661745</xdr:colOff>
      <xdr:row>131</xdr:row>
      <xdr:rowOff>24204</xdr:rowOff>
    </xdr:from>
    <xdr:ext cx="184731" cy="937629"/>
    <xdr:sp macro="" textlink="">
      <xdr:nvSpPr>
        <xdr:cNvPr id="30" name="Rectángulo 21">
          <a:extLst>
            <a:ext uri="{FF2B5EF4-FFF2-40B4-BE49-F238E27FC236}">
              <a16:creationId xmlns:a16="http://schemas.microsoft.com/office/drawing/2014/main" id="{4C01890F-E9FD-CC44-804E-CDCBBF0CF10E}"/>
            </a:ext>
            <a:ext uri="{147F2762-F138-4A5C-976F-8EAC2B608ADB}">
              <a16:predDERef xmlns:a16="http://schemas.microsoft.com/office/drawing/2014/main" pred="{2175500D-61EA-4417-820C-E8F06DB15709}"/>
            </a:ext>
          </a:extLst>
        </xdr:cNvPr>
        <xdr:cNvSpPr/>
      </xdr:nvSpPr>
      <xdr:spPr>
        <a:xfrm>
          <a:off x="1487245" y="22249204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5400" b="1" cap="none" spc="0"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pattFill prst="narHorz">
              <a:fgClr>
                <a:schemeClr val="accent3"/>
              </a:fgClr>
              <a:bgClr>
                <a:schemeClr val="accent3">
                  <a:lumMod val="40000"/>
                  <a:lumOff val="60000"/>
                </a:schemeClr>
              </a:bgClr>
            </a:patt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0.13938</cdr:x>
      <cdr:y>0.23162</cdr:y>
    </cdr:from>
    <cdr:to>
      <cdr:x>0.27474</cdr:x>
      <cdr:y>0.32549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2DC181C2-CE7C-1651-E639-78C0F3F7D386}"/>
            </a:ext>
          </a:extLst>
        </cdr:cNvPr>
        <cdr:cNvSpPr txBox="1"/>
      </cdr:nvSpPr>
      <cdr:spPr>
        <a:xfrm xmlns:a="http://schemas.openxmlformats.org/drawingml/2006/main">
          <a:off x="1188990" y="1306826"/>
          <a:ext cx="1154727" cy="5296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MX" sz="1200" b="1">
              <a:solidFill>
                <a:schemeClr val="accent5"/>
              </a:solidFill>
              <a:latin typeface=""/>
            </a:rPr>
            <a:t>DIG</a:t>
          </a:r>
          <a:r>
            <a:rPr lang="es-MX" sz="1200" b="1" baseline="0">
              <a:solidFill>
                <a:schemeClr val="accent5"/>
              </a:solidFill>
              <a:latin typeface=""/>
            </a:rPr>
            <a:t> ACUM Stotal de S= </a:t>
          </a:r>
          <a:endParaRPr lang="es-MX" sz="1200" b="1">
            <a:solidFill>
              <a:schemeClr val="accent5"/>
            </a:solidFill>
            <a:latin typeface=""/>
          </a:endParaRPr>
        </a:p>
      </cdr:txBody>
    </cdr:sp>
  </cdr:relSizeAnchor>
  <cdr:relSizeAnchor xmlns:cdr="http://schemas.openxmlformats.org/drawingml/2006/chartDrawing">
    <cdr:from>
      <cdr:x>0.75745</cdr:x>
      <cdr:y>0.3854</cdr:y>
    </cdr:from>
    <cdr:to>
      <cdr:x>0.87808</cdr:x>
      <cdr:y>0.4593</cdr:y>
    </cdr:to>
    <cdr:sp macro="" textlink="">
      <cdr:nvSpPr>
        <cdr:cNvPr id="3" name="CuadroTexto 1">
          <a:extLst xmlns:a="http://schemas.openxmlformats.org/drawingml/2006/main">
            <a:ext uri="{FF2B5EF4-FFF2-40B4-BE49-F238E27FC236}">
              <a16:creationId xmlns:a16="http://schemas.microsoft.com/office/drawing/2014/main" id="{7757D3B5-8AD3-8E7B-553F-238907A0ED37}"/>
            </a:ext>
          </a:extLst>
        </cdr:cNvPr>
        <cdr:cNvSpPr txBox="1"/>
      </cdr:nvSpPr>
      <cdr:spPr>
        <a:xfrm xmlns:a="http://schemas.openxmlformats.org/drawingml/2006/main">
          <a:off x="6461645" y="2174401"/>
          <a:ext cx="1029054" cy="4169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 b="1">
              <a:solidFill>
                <a:schemeClr val="accent1"/>
              </a:solidFill>
              <a:latin typeface=""/>
            </a:rPr>
            <a:t>H</a:t>
          </a:r>
          <a:r>
            <a:rPr lang="es-MX" sz="900" b="1">
              <a:solidFill>
                <a:schemeClr val="accent1"/>
              </a:solidFill>
              <a:latin typeface=""/>
            </a:rPr>
            <a:t>2</a:t>
          </a:r>
          <a:r>
            <a:rPr lang="es-MX" sz="1200" b="1">
              <a:solidFill>
                <a:schemeClr val="accent1"/>
              </a:solidFill>
              <a:latin typeface=""/>
            </a:rPr>
            <a:t>S</a:t>
          </a:r>
          <a:r>
            <a:rPr lang="es-MX" sz="1200" b="1" baseline="0">
              <a:solidFill>
                <a:schemeClr val="accent1"/>
              </a:solidFill>
              <a:latin typeface=""/>
            </a:rPr>
            <a:t> ACUM</a:t>
          </a:r>
          <a:endParaRPr lang="es-MX" sz="1200" b="1">
            <a:solidFill>
              <a:schemeClr val="accent1"/>
            </a:solidFill>
            <a:latin typeface=""/>
          </a:endParaRPr>
        </a:p>
      </cdr:txBody>
    </cdr:sp>
  </cdr:relSizeAnchor>
  <cdr:relSizeAnchor xmlns:cdr="http://schemas.openxmlformats.org/drawingml/2006/chartDrawing">
    <cdr:from>
      <cdr:x>0.47614</cdr:x>
      <cdr:y>0.83031</cdr:y>
    </cdr:from>
    <cdr:to>
      <cdr:x>0.631</cdr:x>
      <cdr:y>0.92418</cdr:y>
    </cdr:to>
    <cdr:sp macro="" textlink="">
      <cdr:nvSpPr>
        <cdr:cNvPr id="4" name="CuadroTexto 1">
          <a:extLst xmlns:a="http://schemas.openxmlformats.org/drawingml/2006/main">
            <a:ext uri="{FF2B5EF4-FFF2-40B4-BE49-F238E27FC236}">
              <a16:creationId xmlns:a16="http://schemas.microsoft.com/office/drawing/2014/main" id="{3223EBC6-D2C6-750A-E8F7-0E6E5BB48E55}"/>
            </a:ext>
          </a:extLst>
        </cdr:cNvPr>
        <cdr:cNvSpPr txBox="1"/>
      </cdr:nvSpPr>
      <cdr:spPr>
        <a:xfrm xmlns:a="http://schemas.openxmlformats.org/drawingml/2006/main">
          <a:off x="3986990" y="4929230"/>
          <a:ext cx="1296727" cy="5572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 b="1">
              <a:solidFill>
                <a:schemeClr val="accent4"/>
              </a:solidFill>
              <a:latin typeface=""/>
            </a:rPr>
            <a:t>DIG</a:t>
          </a:r>
          <a:r>
            <a:rPr lang="es-MX" sz="1200" b="1" baseline="0">
              <a:solidFill>
                <a:schemeClr val="accent4"/>
              </a:solidFill>
              <a:latin typeface=""/>
            </a:rPr>
            <a:t> ACUM Stotal de SO4=  </a:t>
          </a:r>
          <a:endParaRPr lang="es-MX" sz="1200" b="1">
            <a:solidFill>
              <a:schemeClr val="accent4"/>
            </a:solidFill>
            <a:latin typeface=""/>
          </a:endParaRPr>
        </a:p>
      </cdr:txBody>
    </cdr:sp>
  </cdr:relSizeAnchor>
  <cdr:relSizeAnchor xmlns:cdr="http://schemas.openxmlformats.org/drawingml/2006/chartDrawing">
    <cdr:from>
      <cdr:x>0.70213</cdr:x>
      <cdr:y>0.68827</cdr:y>
    </cdr:from>
    <cdr:to>
      <cdr:x>0.88444</cdr:x>
      <cdr:y>0.78213</cdr:y>
    </cdr:to>
    <cdr:sp macro="" textlink="">
      <cdr:nvSpPr>
        <cdr:cNvPr id="5" name="CuadroTexto 1">
          <a:extLst xmlns:a="http://schemas.openxmlformats.org/drawingml/2006/main">
            <a:ext uri="{FF2B5EF4-FFF2-40B4-BE49-F238E27FC236}">
              <a16:creationId xmlns:a16="http://schemas.microsoft.com/office/drawing/2014/main" id="{BF86568B-C6BC-4891-B700-CF9767AB203F}"/>
            </a:ext>
          </a:extLst>
        </cdr:cNvPr>
        <cdr:cNvSpPr txBox="1"/>
      </cdr:nvSpPr>
      <cdr:spPr>
        <a:xfrm xmlns:a="http://schemas.openxmlformats.org/drawingml/2006/main">
          <a:off x="5879273" y="4086012"/>
          <a:ext cx="1526622" cy="5572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 b="1">
              <a:solidFill>
                <a:schemeClr val="accent3"/>
              </a:solidFill>
              <a:latin typeface=""/>
            </a:rPr>
            <a:t>CAMBIO</a:t>
          </a:r>
          <a:r>
            <a:rPr lang="es-MX" sz="1200" b="1" baseline="0">
              <a:solidFill>
                <a:schemeClr val="accent3"/>
              </a:solidFill>
              <a:latin typeface=""/>
            </a:rPr>
            <a:t> BIORREACTOR Stotal de S= </a:t>
          </a:r>
          <a:endParaRPr lang="es-MX" sz="1200" b="1">
            <a:solidFill>
              <a:schemeClr val="accent3"/>
            </a:solidFill>
            <a:latin typeface=""/>
          </a:endParaRPr>
        </a:p>
      </cdr:txBody>
    </cdr:sp>
  </cdr:relSizeAnchor>
  <cdr:relSizeAnchor xmlns:cdr="http://schemas.openxmlformats.org/drawingml/2006/chartDrawing">
    <cdr:from>
      <cdr:x>0.7381</cdr:x>
      <cdr:y>0.58485</cdr:y>
    </cdr:from>
    <cdr:to>
      <cdr:x>0.9317</cdr:x>
      <cdr:y>0.67715</cdr:y>
    </cdr:to>
    <cdr:sp macro="" textlink="">
      <cdr:nvSpPr>
        <cdr:cNvPr id="6" name="CuadroTexto 1">
          <a:extLst xmlns:a="http://schemas.openxmlformats.org/drawingml/2006/main">
            <a:ext uri="{FF2B5EF4-FFF2-40B4-BE49-F238E27FC236}">
              <a16:creationId xmlns:a16="http://schemas.microsoft.com/office/drawing/2014/main" id="{42C57CF1-23A4-FFEA-E820-08331E2CED0F}"/>
            </a:ext>
          </a:extLst>
        </cdr:cNvPr>
        <cdr:cNvSpPr txBox="1"/>
      </cdr:nvSpPr>
      <cdr:spPr>
        <a:xfrm xmlns:a="http://schemas.openxmlformats.org/drawingml/2006/main">
          <a:off x="6180493" y="3472025"/>
          <a:ext cx="1621141" cy="547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 b="1">
              <a:solidFill>
                <a:schemeClr val="accent2"/>
              </a:solidFill>
              <a:latin typeface=""/>
            </a:rPr>
            <a:t>CAMBIO</a:t>
          </a:r>
          <a:r>
            <a:rPr lang="es-MX" sz="1200" b="1" baseline="0">
              <a:solidFill>
                <a:schemeClr val="accent2"/>
              </a:solidFill>
              <a:latin typeface=""/>
            </a:rPr>
            <a:t> BIORREACTOR Stotal de SO4= </a:t>
          </a:r>
          <a:endParaRPr lang="es-MX" sz="1200" b="1">
            <a:solidFill>
              <a:schemeClr val="accent2"/>
            </a:solidFill>
            <a:latin typeface="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0.17924</cdr:x>
      <cdr:y>0.11604</cdr:y>
    </cdr:from>
    <cdr:to>
      <cdr:x>0.3146</cdr:x>
      <cdr:y>0.20991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2DC181C2-CE7C-1651-E639-78C0F3F7D386}"/>
            </a:ext>
          </a:extLst>
        </cdr:cNvPr>
        <cdr:cNvSpPr txBox="1"/>
      </cdr:nvSpPr>
      <cdr:spPr>
        <a:xfrm xmlns:a="http://schemas.openxmlformats.org/drawingml/2006/main">
          <a:off x="1502716" y="688887"/>
          <a:ext cx="1134863" cy="5572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MX" sz="1200" b="1">
              <a:solidFill>
                <a:schemeClr val="accent5"/>
              </a:solidFill>
              <a:latin typeface=""/>
            </a:rPr>
            <a:t>DIG</a:t>
          </a:r>
          <a:r>
            <a:rPr lang="es-MX" sz="1200" b="1" baseline="0">
              <a:solidFill>
                <a:schemeClr val="accent5"/>
              </a:solidFill>
              <a:latin typeface=""/>
            </a:rPr>
            <a:t> ACUM Stotal de S= </a:t>
          </a:r>
          <a:endParaRPr lang="es-MX" sz="1200" b="1">
            <a:solidFill>
              <a:schemeClr val="accent5"/>
            </a:solidFill>
            <a:latin typeface=""/>
          </a:endParaRPr>
        </a:p>
      </cdr:txBody>
    </cdr:sp>
  </cdr:relSizeAnchor>
  <cdr:relSizeAnchor xmlns:cdr="http://schemas.openxmlformats.org/drawingml/2006/chartDrawing">
    <cdr:from>
      <cdr:x>0.58742</cdr:x>
      <cdr:y>0.07324</cdr:y>
    </cdr:from>
    <cdr:to>
      <cdr:x>0.70805</cdr:x>
      <cdr:y>0.14714</cdr:y>
    </cdr:to>
    <cdr:sp macro="" textlink="">
      <cdr:nvSpPr>
        <cdr:cNvPr id="3" name="CuadroTexto 1">
          <a:extLst xmlns:a="http://schemas.openxmlformats.org/drawingml/2006/main">
            <a:ext uri="{FF2B5EF4-FFF2-40B4-BE49-F238E27FC236}">
              <a16:creationId xmlns:a16="http://schemas.microsoft.com/office/drawing/2014/main" id="{7757D3B5-8AD3-8E7B-553F-238907A0ED37}"/>
            </a:ext>
          </a:extLst>
        </cdr:cNvPr>
        <cdr:cNvSpPr txBox="1"/>
      </cdr:nvSpPr>
      <cdr:spPr>
        <a:xfrm xmlns:a="http://schemas.openxmlformats.org/drawingml/2006/main">
          <a:off x="4924974" y="434817"/>
          <a:ext cx="1011366" cy="438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 b="1">
              <a:solidFill>
                <a:schemeClr val="accent1"/>
              </a:solidFill>
              <a:latin typeface=""/>
            </a:rPr>
            <a:t>H</a:t>
          </a:r>
          <a:r>
            <a:rPr lang="es-MX" sz="900" b="1">
              <a:solidFill>
                <a:schemeClr val="accent1"/>
              </a:solidFill>
              <a:latin typeface=""/>
            </a:rPr>
            <a:t>2</a:t>
          </a:r>
          <a:r>
            <a:rPr lang="es-MX" sz="1200" b="1">
              <a:solidFill>
                <a:schemeClr val="accent1"/>
              </a:solidFill>
              <a:latin typeface=""/>
            </a:rPr>
            <a:t>S</a:t>
          </a:r>
          <a:r>
            <a:rPr lang="es-MX" sz="1200" b="1" baseline="0">
              <a:solidFill>
                <a:schemeClr val="accent1"/>
              </a:solidFill>
              <a:latin typeface=""/>
            </a:rPr>
            <a:t> ACUM</a:t>
          </a:r>
          <a:endParaRPr lang="es-MX" sz="1200" b="1">
            <a:solidFill>
              <a:schemeClr val="accent1"/>
            </a:solidFill>
            <a:latin typeface=""/>
          </a:endParaRPr>
        </a:p>
      </cdr:txBody>
    </cdr:sp>
  </cdr:relSizeAnchor>
  <cdr:relSizeAnchor xmlns:cdr="http://schemas.openxmlformats.org/drawingml/2006/chartDrawing">
    <cdr:from>
      <cdr:x>0.1086</cdr:x>
      <cdr:y>0.57422</cdr:y>
    </cdr:from>
    <cdr:to>
      <cdr:x>0.26347</cdr:x>
      <cdr:y>0.66809</cdr:y>
    </cdr:to>
    <cdr:sp macro="" textlink="">
      <cdr:nvSpPr>
        <cdr:cNvPr id="4" name="CuadroTexto 1">
          <a:extLst xmlns:a="http://schemas.openxmlformats.org/drawingml/2006/main">
            <a:ext uri="{FF2B5EF4-FFF2-40B4-BE49-F238E27FC236}">
              <a16:creationId xmlns:a16="http://schemas.microsoft.com/office/drawing/2014/main" id="{3223EBC6-D2C6-750A-E8F7-0E6E5BB48E55}"/>
            </a:ext>
          </a:extLst>
        </cdr:cNvPr>
        <cdr:cNvSpPr txBox="1"/>
      </cdr:nvSpPr>
      <cdr:spPr>
        <a:xfrm xmlns:a="http://schemas.openxmlformats.org/drawingml/2006/main">
          <a:off x="910547" y="3408963"/>
          <a:ext cx="1298352" cy="5572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 b="1">
              <a:solidFill>
                <a:schemeClr val="accent4"/>
              </a:solidFill>
              <a:latin typeface=""/>
            </a:rPr>
            <a:t>DIG</a:t>
          </a:r>
          <a:r>
            <a:rPr lang="es-MX" sz="1200" b="1" baseline="0">
              <a:solidFill>
                <a:schemeClr val="accent4"/>
              </a:solidFill>
              <a:latin typeface=""/>
            </a:rPr>
            <a:t> ACUM Stotal de SO4=  </a:t>
          </a:r>
          <a:endParaRPr lang="es-MX" sz="1200" b="1">
            <a:solidFill>
              <a:schemeClr val="accent4"/>
            </a:solidFill>
            <a:latin typeface=""/>
          </a:endParaRPr>
        </a:p>
      </cdr:txBody>
    </cdr:sp>
  </cdr:relSizeAnchor>
  <cdr:relSizeAnchor xmlns:cdr="http://schemas.openxmlformats.org/drawingml/2006/chartDrawing">
    <cdr:from>
      <cdr:x>0.76414</cdr:x>
      <cdr:y>0.54491</cdr:y>
    </cdr:from>
    <cdr:to>
      <cdr:x>0.96142</cdr:x>
      <cdr:y>0.63877</cdr:y>
    </cdr:to>
    <cdr:sp macro="" textlink="">
      <cdr:nvSpPr>
        <cdr:cNvPr id="5" name="CuadroTexto 1">
          <a:extLst xmlns:a="http://schemas.openxmlformats.org/drawingml/2006/main">
            <a:ext uri="{FF2B5EF4-FFF2-40B4-BE49-F238E27FC236}">
              <a16:creationId xmlns:a16="http://schemas.microsoft.com/office/drawing/2014/main" id="{BF86568B-C6BC-4891-B700-CF9767AB203F}"/>
            </a:ext>
          </a:extLst>
        </cdr:cNvPr>
        <cdr:cNvSpPr txBox="1"/>
      </cdr:nvSpPr>
      <cdr:spPr>
        <a:xfrm xmlns:a="http://schemas.openxmlformats.org/drawingml/2006/main">
          <a:off x="6406567" y="3234959"/>
          <a:ext cx="1654046" cy="5572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 b="1">
              <a:solidFill>
                <a:schemeClr val="accent3"/>
              </a:solidFill>
              <a:latin typeface=""/>
            </a:rPr>
            <a:t>CAMBIO</a:t>
          </a:r>
          <a:r>
            <a:rPr lang="es-MX" sz="1200" b="1" baseline="0">
              <a:solidFill>
                <a:schemeClr val="accent3"/>
              </a:solidFill>
              <a:latin typeface=""/>
            </a:rPr>
            <a:t> BIORREACTOR Stotal de S= </a:t>
          </a:r>
          <a:endParaRPr lang="es-MX" sz="1200" b="1">
            <a:solidFill>
              <a:schemeClr val="accent3"/>
            </a:solidFill>
            <a:latin typeface=""/>
          </a:endParaRPr>
        </a:p>
      </cdr:txBody>
    </cdr:sp>
  </cdr:relSizeAnchor>
  <cdr:relSizeAnchor xmlns:cdr="http://schemas.openxmlformats.org/drawingml/2006/chartDrawing">
    <cdr:from>
      <cdr:x>0.68117</cdr:x>
      <cdr:y>0.11099</cdr:y>
    </cdr:from>
    <cdr:to>
      <cdr:x>0.90114</cdr:x>
      <cdr:y>0.20486</cdr:y>
    </cdr:to>
    <cdr:sp macro="" textlink="">
      <cdr:nvSpPr>
        <cdr:cNvPr id="6" name="CuadroTexto 1">
          <a:extLst xmlns:a="http://schemas.openxmlformats.org/drawingml/2006/main">
            <a:ext uri="{FF2B5EF4-FFF2-40B4-BE49-F238E27FC236}">
              <a16:creationId xmlns:a16="http://schemas.microsoft.com/office/drawing/2014/main" id="{0BE6F788-1542-9FF0-5BC5-74B94B9CE6FA}"/>
            </a:ext>
          </a:extLst>
        </cdr:cNvPr>
        <cdr:cNvSpPr txBox="1"/>
      </cdr:nvSpPr>
      <cdr:spPr>
        <a:xfrm xmlns:a="http://schemas.openxmlformats.org/drawingml/2006/main">
          <a:off x="5710991" y="658908"/>
          <a:ext cx="1844214" cy="5572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 b="1">
              <a:solidFill>
                <a:schemeClr val="accent2"/>
              </a:solidFill>
              <a:latin typeface=""/>
            </a:rPr>
            <a:t>CAMBIO</a:t>
          </a:r>
          <a:r>
            <a:rPr lang="es-MX" sz="1200" b="1" baseline="0">
              <a:solidFill>
                <a:schemeClr val="accent2"/>
              </a:solidFill>
              <a:latin typeface=""/>
            </a:rPr>
            <a:t> BIORREACTOR Stotal de SO4= </a:t>
          </a:r>
          <a:endParaRPr lang="es-MX" sz="1200" b="1">
            <a:solidFill>
              <a:schemeClr val="accent2"/>
            </a:solidFill>
            <a:latin typeface=""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17</xdr:row>
      <xdr:rowOff>127000</xdr:rowOff>
    </xdr:from>
    <xdr:to>
      <xdr:col>4</xdr:col>
      <xdr:colOff>1701800</xdr:colOff>
      <xdr:row>31</xdr:row>
      <xdr:rowOff>157285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3614836-4F0D-5549-B9E4-FCCB26DB5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12701</xdr:colOff>
      <xdr:row>32</xdr:row>
      <xdr:rowOff>127000</xdr:rowOff>
    </xdr:from>
    <xdr:to>
      <xdr:col>4</xdr:col>
      <xdr:colOff>1727201</xdr:colOff>
      <xdr:row>46</xdr:row>
      <xdr:rowOff>144585</xdr:rowOff>
    </xdr:to>
    <xdr:graphicFrame macro="">
      <xdr:nvGraphicFramePr>
        <xdr:cNvPr id="6" name="Gráfico 10">
          <a:extLst>
            <a:ext uri="{FF2B5EF4-FFF2-40B4-BE49-F238E27FC236}">
              <a16:creationId xmlns:a16="http://schemas.microsoft.com/office/drawing/2014/main" id="{0920FDCA-38F9-3541-8AF4-2E54BB3F2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1843548</xdr:colOff>
      <xdr:row>17</xdr:row>
      <xdr:rowOff>136559</xdr:rowOff>
    </xdr:from>
    <xdr:to>
      <xdr:col>8</xdr:col>
      <xdr:colOff>104057</xdr:colOff>
      <xdr:row>31</xdr:row>
      <xdr:rowOff>166844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253B3B5-E564-0344-98B2-6AB251E89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1856248</xdr:colOff>
      <xdr:row>32</xdr:row>
      <xdr:rowOff>136559</xdr:rowOff>
    </xdr:from>
    <xdr:to>
      <xdr:col>8</xdr:col>
      <xdr:colOff>129458</xdr:colOff>
      <xdr:row>46</xdr:row>
      <xdr:rowOff>154144</xdr:rowOff>
    </xdr:to>
    <xdr:graphicFrame macro="">
      <xdr:nvGraphicFramePr>
        <xdr:cNvPr id="10" name="Gráfico 10">
          <a:extLst>
            <a:ext uri="{FF2B5EF4-FFF2-40B4-BE49-F238E27FC236}">
              <a16:creationId xmlns:a16="http://schemas.microsoft.com/office/drawing/2014/main" id="{1B338744-C4AC-B74A-B35F-B39A2A91B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83256</xdr:colOff>
      <xdr:row>74</xdr:row>
      <xdr:rowOff>28222</xdr:rowOff>
    </xdr:from>
    <xdr:to>
      <xdr:col>4</xdr:col>
      <xdr:colOff>1797756</xdr:colOff>
      <xdr:row>88</xdr:row>
      <xdr:rowOff>45807</xdr:rowOff>
    </xdr:to>
    <xdr:graphicFrame macro="">
      <xdr:nvGraphicFramePr>
        <xdr:cNvPr id="5" name="Gráfico 10">
          <a:extLst>
            <a:ext uri="{FF2B5EF4-FFF2-40B4-BE49-F238E27FC236}">
              <a16:creationId xmlns:a16="http://schemas.microsoft.com/office/drawing/2014/main" id="{399E35DC-C88C-9047-8129-65B09412A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23214</xdr:colOff>
      <xdr:row>59</xdr:row>
      <xdr:rowOff>37781</xdr:rowOff>
    </xdr:from>
    <xdr:to>
      <xdr:col>8</xdr:col>
      <xdr:colOff>174612</xdr:colOff>
      <xdr:row>73</xdr:row>
      <xdr:rowOff>68066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6F22954-3FA1-EE4D-8395-93D20DB1B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35914</xdr:colOff>
      <xdr:row>74</xdr:row>
      <xdr:rowOff>37781</xdr:rowOff>
    </xdr:from>
    <xdr:to>
      <xdr:col>8</xdr:col>
      <xdr:colOff>200013</xdr:colOff>
      <xdr:row>88</xdr:row>
      <xdr:rowOff>55366</xdr:rowOff>
    </xdr:to>
    <xdr:graphicFrame macro="">
      <xdr:nvGraphicFramePr>
        <xdr:cNvPr id="8" name="Gráfico 10">
          <a:extLst>
            <a:ext uri="{FF2B5EF4-FFF2-40B4-BE49-F238E27FC236}">
              <a16:creationId xmlns:a16="http://schemas.microsoft.com/office/drawing/2014/main" id="{3D517F8C-4FBF-D145-9432-4A8D08E82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84667</xdr:colOff>
      <xdr:row>59</xdr:row>
      <xdr:rowOff>42333</xdr:rowOff>
    </xdr:from>
    <xdr:to>
      <xdr:col>4</xdr:col>
      <xdr:colOff>1802397</xdr:colOff>
      <xdr:row>73</xdr:row>
      <xdr:rowOff>72618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ECE1650-1759-544F-8C50-3266018FA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3</xdr:row>
      <xdr:rowOff>142875</xdr:rowOff>
    </xdr:from>
    <xdr:to>
      <xdr:col>13</xdr:col>
      <xdr:colOff>114300</xdr:colOff>
      <xdr:row>8</xdr:row>
      <xdr:rowOff>76200</xdr:rowOff>
    </xdr:to>
    <xdr:sp macro="" textlink="">
      <xdr:nvSpPr>
        <xdr:cNvPr id="2" name="Rectángulo: esquinas redondeadas 5">
          <a:extLst>
            <a:ext uri="{FF2B5EF4-FFF2-40B4-BE49-F238E27FC236}">
              <a16:creationId xmlns:a16="http://schemas.microsoft.com/office/drawing/2014/main" id="{8F00EF53-C6AC-EA42-8865-B4C214B11D20}"/>
            </a:ext>
          </a:extLst>
        </xdr:cNvPr>
        <xdr:cNvSpPr/>
      </xdr:nvSpPr>
      <xdr:spPr>
        <a:xfrm>
          <a:off x="8385175" y="523875"/>
          <a:ext cx="2193925" cy="911225"/>
        </a:xfrm>
        <a:prstGeom prst="roundRect">
          <a:avLst/>
        </a:prstGeom>
        <a:solidFill>
          <a:srgbClr val="6AC5FF"/>
        </a:solidFill>
        <a:ln>
          <a:solidFill>
            <a:srgbClr val="7FCAF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AR" sz="1100"/>
            <a:t>VARIACIÓN DE S</a:t>
          </a:r>
          <a:r>
            <a:rPr lang="es-AR" sz="1100" baseline="0"/>
            <a:t> TOTAL EN TODO EL VOLUMEN DEL REACTOR ENTRE EL DÍA X-Y</a:t>
          </a:r>
        </a:p>
      </xdr:txBody>
    </xdr:sp>
    <xdr:clientData/>
  </xdr:twoCellAnchor>
  <xdr:twoCellAnchor>
    <xdr:from>
      <xdr:col>9</xdr:col>
      <xdr:colOff>104656</xdr:colOff>
      <xdr:row>4</xdr:row>
      <xdr:rowOff>142779</xdr:rowOff>
    </xdr:from>
    <xdr:to>
      <xdr:col>10</xdr:col>
      <xdr:colOff>276106</xdr:colOff>
      <xdr:row>6</xdr:row>
      <xdr:rowOff>181380</xdr:rowOff>
    </xdr:to>
    <xdr:sp macro="" textlink="">
      <xdr:nvSpPr>
        <xdr:cNvPr id="3" name="Flecha: a la derecha 6">
          <a:extLst>
            <a:ext uri="{FF2B5EF4-FFF2-40B4-BE49-F238E27FC236}">
              <a16:creationId xmlns:a16="http://schemas.microsoft.com/office/drawing/2014/main" id="{7712E105-0DC4-DE4C-8386-A05E87325142}"/>
            </a:ext>
            <a:ext uri="{147F2762-F138-4A5C-976F-8EAC2B608ADB}">
              <a16:predDERef xmlns:a16="http://schemas.microsoft.com/office/drawing/2014/main" pred="{9EF9FC4A-3268-4721-8ED7-41143C8D8EDB}"/>
            </a:ext>
          </a:extLst>
        </xdr:cNvPr>
        <xdr:cNvSpPr/>
      </xdr:nvSpPr>
      <xdr:spPr>
        <a:xfrm>
          <a:off x="7242056" y="714279"/>
          <a:ext cx="1047750" cy="432301"/>
        </a:xfrm>
        <a:prstGeom prst="right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13</xdr:col>
      <xdr:colOff>180831</xdr:colOff>
      <xdr:row>4</xdr:row>
      <xdr:rowOff>162212</xdr:rowOff>
    </xdr:from>
    <xdr:to>
      <xdr:col>14</xdr:col>
      <xdr:colOff>409431</xdr:colOff>
      <xdr:row>6</xdr:row>
      <xdr:rowOff>200335</xdr:rowOff>
    </xdr:to>
    <xdr:sp macro="" textlink="">
      <xdr:nvSpPr>
        <xdr:cNvPr id="4" name="Flecha: a la derecha 7">
          <a:extLst>
            <a:ext uri="{FF2B5EF4-FFF2-40B4-BE49-F238E27FC236}">
              <a16:creationId xmlns:a16="http://schemas.microsoft.com/office/drawing/2014/main" id="{681D8984-5B78-854D-9EA7-0F5B6F74F192}"/>
            </a:ext>
            <a:ext uri="{147F2762-F138-4A5C-976F-8EAC2B608ADB}">
              <a16:predDERef xmlns:a16="http://schemas.microsoft.com/office/drawing/2014/main" pred="{8FB725D7-D53C-42B0-82A4-D883D96C1FBF}"/>
            </a:ext>
          </a:extLst>
        </xdr:cNvPr>
        <xdr:cNvSpPr/>
      </xdr:nvSpPr>
      <xdr:spPr>
        <a:xfrm>
          <a:off x="10645631" y="733712"/>
          <a:ext cx="1104900" cy="431823"/>
        </a:xfrm>
        <a:prstGeom prst="right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11</xdr:col>
      <xdr:colOff>581025</xdr:colOff>
      <xdr:row>8</xdr:row>
      <xdr:rowOff>123825</xdr:rowOff>
    </xdr:from>
    <xdr:to>
      <xdr:col>12</xdr:col>
      <xdr:colOff>381000</xdr:colOff>
      <xdr:row>11</xdr:row>
      <xdr:rowOff>114300</xdr:rowOff>
    </xdr:to>
    <xdr:sp macro="" textlink="">
      <xdr:nvSpPr>
        <xdr:cNvPr id="5" name="Flecha: doblada hacia arriba 8">
          <a:extLst>
            <a:ext uri="{FF2B5EF4-FFF2-40B4-BE49-F238E27FC236}">
              <a16:creationId xmlns:a16="http://schemas.microsoft.com/office/drawing/2014/main" id="{D9B59300-CAC6-4B43-ABEA-51D240EC3A6C}"/>
            </a:ext>
            <a:ext uri="{147F2762-F138-4A5C-976F-8EAC2B608ADB}">
              <a16:predDERef xmlns:a16="http://schemas.microsoft.com/office/drawing/2014/main" pred="{9343B05F-AD85-4D0A-BDDD-3F52AC6F33C8}"/>
            </a:ext>
          </a:extLst>
        </xdr:cNvPr>
        <xdr:cNvSpPr/>
      </xdr:nvSpPr>
      <xdr:spPr>
        <a:xfrm rot="5400000">
          <a:off x="9420225" y="1533525"/>
          <a:ext cx="600075" cy="498475"/>
        </a:xfrm>
        <a:prstGeom prst="bentUp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oneCellAnchor>
    <xdr:from>
      <xdr:col>7</xdr:col>
      <xdr:colOff>505279</xdr:colOff>
      <xdr:row>3</xdr:row>
      <xdr:rowOff>162258</xdr:rowOff>
    </xdr:from>
    <xdr:ext cx="1285875" cy="781240"/>
    <xdr:sp macro="" textlink="">
      <xdr:nvSpPr>
        <xdr:cNvPr id="6" name="CuadroTexto 9">
          <a:extLst>
            <a:ext uri="{FF2B5EF4-FFF2-40B4-BE49-F238E27FC236}">
              <a16:creationId xmlns:a16="http://schemas.microsoft.com/office/drawing/2014/main" id="{B661F215-6506-214C-BA8D-2457588E51E8}"/>
            </a:ext>
            <a:ext uri="{147F2762-F138-4A5C-976F-8EAC2B608ADB}">
              <a16:predDERef xmlns:a16="http://schemas.microsoft.com/office/drawing/2014/main" pred="{340D4A9D-0EC6-4791-AF1C-4AF611921F7D}"/>
            </a:ext>
          </a:extLst>
        </xdr:cNvPr>
        <xdr:cNvSpPr txBox="1"/>
      </xdr:nvSpPr>
      <xdr:spPr>
        <a:xfrm>
          <a:off x="5890079" y="543258"/>
          <a:ext cx="1285875" cy="781240"/>
        </a:xfrm>
        <a:prstGeom prst="rect">
          <a:avLst/>
        </a:prstGeom>
        <a:solidFill>
          <a:srgbClr val="ED8E11"/>
        </a:solidFill>
        <a:ln>
          <a:solidFill>
            <a:srgbClr val="ED8E1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AR" sz="1100">
              <a:solidFill>
                <a:schemeClr val="bg1"/>
              </a:solidFill>
            </a:rPr>
            <a:t>APORTE DE S</a:t>
          </a:r>
          <a:r>
            <a:rPr lang="es-AR" sz="1100" baseline="0">
              <a:solidFill>
                <a:schemeClr val="bg1"/>
              </a:solidFill>
            </a:rPr>
            <a:t> total A TRAVÉS DE SUSTRATOS ENTRE DÍA X-Y </a:t>
          </a:r>
        </a:p>
      </xdr:txBody>
    </xdr:sp>
    <xdr:clientData/>
  </xdr:oneCellAnchor>
  <xdr:oneCellAnchor>
    <xdr:from>
      <xdr:col>14</xdr:col>
      <xdr:colOff>476250</xdr:colOff>
      <xdr:row>4</xdr:row>
      <xdr:rowOff>57150</xdr:rowOff>
    </xdr:from>
    <xdr:ext cx="1285875" cy="781240"/>
    <xdr:sp macro="" textlink="">
      <xdr:nvSpPr>
        <xdr:cNvPr id="7" name="CuadroTexto 10">
          <a:extLst>
            <a:ext uri="{FF2B5EF4-FFF2-40B4-BE49-F238E27FC236}">
              <a16:creationId xmlns:a16="http://schemas.microsoft.com/office/drawing/2014/main" id="{CC95F99B-B3B9-5846-8A9E-42D4811ECD8F}"/>
            </a:ext>
            <a:ext uri="{147F2762-F138-4A5C-976F-8EAC2B608ADB}">
              <a16:predDERef xmlns:a16="http://schemas.microsoft.com/office/drawing/2014/main" pred="{3308EFC8-6B2F-4FA6-8C65-EC5AA83A8F20}"/>
            </a:ext>
          </a:extLst>
        </xdr:cNvPr>
        <xdr:cNvSpPr txBox="1"/>
      </xdr:nvSpPr>
      <xdr:spPr>
        <a:xfrm>
          <a:off x="11817350" y="628650"/>
          <a:ext cx="1285875" cy="781240"/>
        </a:xfrm>
        <a:prstGeom prst="rect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AR" sz="1100"/>
            <a:t>SALIDA</a:t>
          </a:r>
          <a:r>
            <a:rPr lang="es-AR" sz="1100" baseline="0"/>
            <a:t> DE </a:t>
          </a:r>
          <a:r>
            <a:rPr lang="es-AR" sz="1100"/>
            <a:t>S</a:t>
          </a:r>
          <a:r>
            <a:rPr lang="es-AR" sz="1100" baseline="0"/>
            <a:t> total A TRAVÉS DEL GAS COMO H2S ENTRE DÍA X-Y</a:t>
          </a:r>
        </a:p>
      </xdr:txBody>
    </xdr:sp>
    <xdr:clientData/>
  </xdr:oneCellAnchor>
  <xdr:oneCellAnchor>
    <xdr:from>
      <xdr:col>12</xdr:col>
      <xdr:colOff>428625</xdr:colOff>
      <xdr:row>9</xdr:row>
      <xdr:rowOff>76200</xdr:rowOff>
    </xdr:from>
    <xdr:ext cx="1876425" cy="609013"/>
    <xdr:sp macro="" textlink="">
      <xdr:nvSpPr>
        <xdr:cNvPr id="8" name="CuadroTexto 11">
          <a:extLst>
            <a:ext uri="{FF2B5EF4-FFF2-40B4-BE49-F238E27FC236}">
              <a16:creationId xmlns:a16="http://schemas.microsoft.com/office/drawing/2014/main" id="{06BE577F-1CAB-004C-9ADC-3A9E453D05C6}"/>
            </a:ext>
            <a:ext uri="{147F2762-F138-4A5C-976F-8EAC2B608ADB}">
              <a16:predDERef xmlns:a16="http://schemas.microsoft.com/office/drawing/2014/main" pred="{D96E78C1-F07E-4338-B2C3-2451E065218C}"/>
            </a:ext>
          </a:extLst>
        </xdr:cNvPr>
        <xdr:cNvSpPr txBox="1"/>
      </xdr:nvSpPr>
      <xdr:spPr>
        <a:xfrm>
          <a:off x="10017125" y="1638300"/>
          <a:ext cx="1876425" cy="609013"/>
        </a:xfrm>
        <a:prstGeom prst="rect">
          <a:avLst/>
        </a:prstGeom>
        <a:solidFill>
          <a:srgbClr val="BBB92C"/>
        </a:solidFill>
        <a:ln>
          <a:solidFill>
            <a:srgbClr val="BBB92C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AR" sz="1100"/>
            <a:t>SALIDA</a:t>
          </a:r>
          <a:r>
            <a:rPr lang="es-AR" sz="1100" baseline="0"/>
            <a:t> DE </a:t>
          </a:r>
          <a:r>
            <a:rPr lang="es-AR" sz="1100"/>
            <a:t>S</a:t>
          </a:r>
          <a:r>
            <a:rPr lang="es-AR" sz="1100" baseline="0"/>
            <a:t> total A TRAVÉS DEL VOLUMEN DE DIGERIDO ENTRE DÍA X-Y</a:t>
          </a:r>
        </a:p>
      </xdr:txBody>
    </xdr:sp>
    <xdr:clientData/>
  </xdr:oneCellAnchor>
  <xdr:oneCellAnchor>
    <xdr:from>
      <xdr:col>8</xdr:col>
      <xdr:colOff>13377</xdr:colOff>
      <xdr:row>7</xdr:row>
      <xdr:rowOff>83084</xdr:rowOff>
    </xdr:from>
    <xdr:ext cx="582155" cy="937629"/>
    <xdr:sp macro="" textlink="">
      <xdr:nvSpPr>
        <xdr:cNvPr id="9" name="Rectángulo 13">
          <a:extLst>
            <a:ext uri="{FF2B5EF4-FFF2-40B4-BE49-F238E27FC236}">
              <a16:creationId xmlns:a16="http://schemas.microsoft.com/office/drawing/2014/main" id="{279ECEBF-5A37-1F4C-B2E3-FDEA6200CC3C}"/>
            </a:ext>
            <a:ext uri="{147F2762-F138-4A5C-976F-8EAC2B608ADB}">
              <a16:predDERef xmlns:a16="http://schemas.microsoft.com/office/drawing/2014/main" pred="{A86F69D5-DF74-4391-8914-0490E9AFAA5E}"/>
            </a:ext>
          </a:extLst>
        </xdr:cNvPr>
        <xdr:cNvSpPr/>
      </xdr:nvSpPr>
      <xdr:spPr>
        <a:xfrm>
          <a:off x="6992442" y="1353084"/>
          <a:ext cx="582155" cy="937629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rgbClr val="FFC670"/>
              </a:solidFill>
              <a:effectLst/>
            </a:rPr>
            <a:t>1</a:t>
          </a:r>
          <a:endParaRPr lang="es-ES" sz="5400" b="1" cap="none" spc="0">
            <a:ln w="22225">
              <a:solidFill>
                <a:schemeClr val="accent2"/>
              </a:solidFill>
              <a:prstDash val="solid"/>
            </a:ln>
            <a:solidFill>
              <a:srgbClr val="FFC670"/>
            </a:solid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oneCellAnchor>
    <xdr:from>
      <xdr:col>16</xdr:col>
      <xdr:colOff>104641</xdr:colOff>
      <xdr:row>3</xdr:row>
      <xdr:rowOff>117260</xdr:rowOff>
    </xdr:from>
    <xdr:ext cx="535659" cy="937629"/>
    <xdr:sp macro="" textlink="">
      <xdr:nvSpPr>
        <xdr:cNvPr id="10" name="Rectángulo 14">
          <a:extLst>
            <a:ext uri="{FF2B5EF4-FFF2-40B4-BE49-F238E27FC236}">
              <a16:creationId xmlns:a16="http://schemas.microsoft.com/office/drawing/2014/main" id="{207F0A99-2BBB-7344-BD98-8534C53F8DAE}"/>
            </a:ext>
            <a:ext uri="{147F2762-F138-4A5C-976F-8EAC2B608ADB}">
              <a16:predDERef xmlns:a16="http://schemas.microsoft.com/office/drawing/2014/main" pred="{F711E7B5-58F3-47D2-B730-E78AAE3DAF3D}"/>
            </a:ext>
          </a:extLst>
        </xdr:cNvPr>
        <xdr:cNvSpPr/>
      </xdr:nvSpPr>
      <xdr:spPr>
        <a:xfrm>
          <a:off x="13488487" y="727837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22225">
                <a:solidFill>
                  <a:schemeClr val="accent4"/>
                </a:solidFill>
                <a:prstDash val="solid"/>
              </a:ln>
              <a:solidFill>
                <a:schemeClr val="accent4">
                  <a:lumMod val="40000"/>
                  <a:lumOff val="60000"/>
                </a:schemeClr>
              </a:solidFill>
              <a:effectLst/>
            </a:rPr>
            <a:t>2</a:t>
          </a:r>
          <a:endParaRPr lang="es-ES" sz="5400" b="1" cap="none" spc="0">
            <a:ln w="22225">
              <a:solidFill>
                <a:schemeClr val="accent4"/>
              </a:solidFill>
              <a:prstDash val="solid"/>
            </a:ln>
            <a:solidFill>
              <a:schemeClr val="accent4">
                <a:lumMod val="40000"/>
                <a:lumOff val="60000"/>
              </a:schemeClr>
            </a:solid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oneCellAnchor>
    <xdr:from>
      <xdr:col>10</xdr:col>
      <xdr:colOff>27047</xdr:colOff>
      <xdr:row>7</xdr:row>
      <xdr:rowOff>38052</xdr:rowOff>
    </xdr:from>
    <xdr:ext cx="535659" cy="937629"/>
    <xdr:sp macro="" textlink="">
      <xdr:nvSpPr>
        <xdr:cNvPr id="11" name="Rectángulo 15">
          <a:extLst>
            <a:ext uri="{FF2B5EF4-FFF2-40B4-BE49-F238E27FC236}">
              <a16:creationId xmlns:a16="http://schemas.microsoft.com/office/drawing/2014/main" id="{214A9AEF-DFAA-224C-B172-1BCA1349342B}"/>
            </a:ext>
            <a:ext uri="{147F2762-F138-4A5C-976F-8EAC2B608ADB}">
              <a16:predDERef xmlns:a16="http://schemas.microsoft.com/office/drawing/2014/main" pred="{696F7FD6-B792-4213-8DD7-BEC9A513C127}"/>
            </a:ext>
          </a:extLst>
        </xdr:cNvPr>
        <xdr:cNvSpPr/>
      </xdr:nvSpPr>
      <xdr:spPr>
        <a:xfrm>
          <a:off x="8637647" y="1485852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22225">
                <a:solidFill>
                  <a:srgbClr val="6AC5FF"/>
                </a:solidFill>
                <a:prstDash val="solid"/>
              </a:ln>
              <a:solidFill>
                <a:srgbClr val="C1EDFF"/>
              </a:solidFill>
              <a:effectLst/>
            </a:rPr>
            <a:t>3</a:t>
          </a:r>
        </a:p>
      </xdr:txBody>
    </xdr:sp>
    <xdr:clientData/>
  </xdr:oneCellAnchor>
  <xdr:oneCellAnchor>
    <xdr:from>
      <xdr:col>14</xdr:col>
      <xdr:colOff>681075</xdr:colOff>
      <xdr:row>8</xdr:row>
      <xdr:rowOff>87037</xdr:rowOff>
    </xdr:from>
    <xdr:ext cx="535659" cy="937629"/>
    <xdr:sp macro="" textlink="">
      <xdr:nvSpPr>
        <xdr:cNvPr id="12" name="Rectángulo 16">
          <a:extLst>
            <a:ext uri="{FF2B5EF4-FFF2-40B4-BE49-F238E27FC236}">
              <a16:creationId xmlns:a16="http://schemas.microsoft.com/office/drawing/2014/main" id="{0272F790-04AE-9844-A0A2-03EADD5A020A}"/>
            </a:ext>
            <a:ext uri="{147F2762-F138-4A5C-976F-8EAC2B608ADB}">
              <a16:predDERef xmlns:a16="http://schemas.microsoft.com/office/drawing/2014/main" pred="{F7CE77AA-99B5-40AB-9A50-620F055372FE}"/>
            </a:ext>
          </a:extLst>
        </xdr:cNvPr>
        <xdr:cNvSpPr/>
      </xdr:nvSpPr>
      <xdr:spPr>
        <a:xfrm>
          <a:off x="12420434" y="1747806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22225">
                <a:solidFill>
                  <a:srgbClr val="BBB92C"/>
                </a:solidFill>
                <a:prstDash val="solid"/>
              </a:ln>
              <a:solidFill>
                <a:srgbClr val="ECF4C1"/>
              </a:solidFill>
              <a:effectLst/>
            </a:rPr>
            <a:t>4</a:t>
          </a:r>
        </a:p>
      </xdr:txBody>
    </xdr:sp>
    <xdr:clientData/>
  </xdr:oneCellAnchor>
  <xdr:oneCellAnchor>
    <xdr:from>
      <xdr:col>3</xdr:col>
      <xdr:colOff>870789</xdr:colOff>
      <xdr:row>39</xdr:row>
      <xdr:rowOff>142875</xdr:rowOff>
    </xdr:from>
    <xdr:ext cx="184731" cy="937629"/>
    <xdr:sp macro="" textlink="">
      <xdr:nvSpPr>
        <xdr:cNvPr id="13" name="Rectángulo 18">
          <a:extLst>
            <a:ext uri="{FF2B5EF4-FFF2-40B4-BE49-F238E27FC236}">
              <a16:creationId xmlns:a16="http://schemas.microsoft.com/office/drawing/2014/main" id="{78A85476-19E1-3044-964A-43457521946F}"/>
            </a:ext>
            <a:ext uri="{147F2762-F138-4A5C-976F-8EAC2B608ADB}">
              <a16:predDERef xmlns:a16="http://schemas.microsoft.com/office/drawing/2014/main" pred="{1AB46FF1-B61B-4579-8F03-43EFE12B5FB5}"/>
            </a:ext>
          </a:extLst>
        </xdr:cNvPr>
        <xdr:cNvSpPr/>
      </xdr:nvSpPr>
      <xdr:spPr>
        <a:xfrm>
          <a:off x="2623389" y="9286875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5400" b="1" cap="none" spc="0"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pattFill prst="narHorz">
              <a:fgClr>
                <a:schemeClr val="accent3"/>
              </a:fgClr>
              <a:bgClr>
                <a:schemeClr val="accent3">
                  <a:lumMod val="40000"/>
                  <a:lumOff val="60000"/>
                </a:schemeClr>
              </a:bgClr>
            </a:patt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oneCellAnchor>
    <xdr:from>
      <xdr:col>4</xdr:col>
      <xdr:colOff>403084</xdr:colOff>
      <xdr:row>155</xdr:row>
      <xdr:rowOff>198547</xdr:rowOff>
    </xdr:from>
    <xdr:ext cx="4714876" cy="581024"/>
    <xdr:sp macro="" textlink="">
      <xdr:nvSpPr>
        <xdr:cNvPr id="14" name="Rectángulo 20">
          <a:extLst>
            <a:ext uri="{FF2B5EF4-FFF2-40B4-BE49-F238E27FC236}">
              <a16:creationId xmlns:a16="http://schemas.microsoft.com/office/drawing/2014/main" id="{BA708EE5-EE00-8444-A22E-4AD4AD6E6A1B}"/>
            </a:ext>
            <a:ext uri="{147F2762-F138-4A5C-976F-8EAC2B608ADB}">
              <a16:predDERef xmlns:a16="http://schemas.microsoft.com/office/drawing/2014/main" pred="{E0481BC6-96B2-453E-BEC5-5615B7B04879}"/>
            </a:ext>
          </a:extLst>
        </xdr:cNvPr>
        <xdr:cNvSpPr/>
      </xdr:nvSpPr>
      <xdr:spPr>
        <a:xfrm>
          <a:off x="3934575" y="34243459"/>
          <a:ext cx="4714876" cy="581024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3200" b="1" cap="none" spc="0">
              <a:ln w="12700">
                <a:solidFill>
                  <a:schemeClr val="accent3">
                    <a:lumMod val="50000"/>
                  </a:schemeClr>
                </a:solidFill>
                <a:prstDash val="solid"/>
              </a:ln>
              <a:pattFill prst="narHorz">
                <a:fgClr>
                  <a:schemeClr val="accent3"/>
                </a:fgClr>
                <a:bgClr>
                  <a:schemeClr val="accent3">
                    <a:lumMod val="40000"/>
                    <a:lumOff val="60000"/>
                  </a:schemeClr>
                </a:bgClr>
              </a:pattFill>
              <a:effectLst>
                <a:innerShdw blurRad="177800">
                  <a:schemeClr val="accent3">
                    <a:lumMod val="50000"/>
                  </a:schemeClr>
                </a:innerShdw>
              </a:effectLst>
            </a:rPr>
            <a:t> </a:t>
          </a:r>
          <a:r>
            <a:rPr lang="es-ES" sz="3200" b="1" cap="none" spc="0">
              <a:ln w="22225">
                <a:solidFill>
                  <a:srgbClr val="ED8E11"/>
                </a:solidFill>
                <a:prstDash val="solid"/>
              </a:ln>
              <a:solidFill>
                <a:srgbClr val="F8CBAD"/>
              </a:solidFill>
              <a:effectLst/>
            </a:rPr>
            <a:t>1</a:t>
          </a:r>
          <a:r>
            <a:rPr lang="es-ES" sz="32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</a:t>
          </a:r>
          <a:r>
            <a:rPr lang="es-ES" sz="32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</a:t>
          </a:r>
          <a:r>
            <a:rPr lang="es-ES" sz="3200" b="1" cap="none" spc="0">
              <a:ln w="22225">
                <a:solidFill>
                  <a:schemeClr val="bg2">
                    <a:lumMod val="50000"/>
                  </a:schemeClr>
                </a:solidFill>
                <a:prstDash val="solid"/>
              </a:ln>
              <a:solidFill>
                <a:schemeClr val="bg2">
                  <a:lumMod val="75000"/>
                </a:schemeClr>
              </a:solidFill>
              <a:effectLst/>
            </a:rPr>
            <a:t>=</a:t>
          </a:r>
          <a:r>
            <a:rPr lang="es-ES" sz="32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</a:t>
          </a:r>
          <a:r>
            <a:rPr lang="es-ES" sz="3200" b="1" cap="none" spc="0">
              <a:ln w="22225">
                <a:solidFill>
                  <a:schemeClr val="accent4"/>
                </a:solidFill>
                <a:prstDash val="solid"/>
              </a:ln>
              <a:solidFill>
                <a:srgbClr val="FFD966"/>
              </a:solidFill>
              <a:effectLst/>
            </a:rPr>
            <a:t>2</a:t>
          </a:r>
          <a:r>
            <a:rPr lang="es-ES" sz="32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</a:t>
          </a:r>
          <a:r>
            <a:rPr lang="es-ES" sz="3200" b="1" cap="none" spc="0">
              <a:ln w="22225">
                <a:solidFill>
                  <a:schemeClr val="bg2">
                    <a:lumMod val="50000"/>
                  </a:schemeClr>
                </a:solidFill>
                <a:prstDash val="solid"/>
              </a:ln>
              <a:solidFill>
                <a:schemeClr val="bg2">
                  <a:lumMod val="75000"/>
                </a:schemeClr>
              </a:solidFill>
              <a:effectLst/>
            </a:rPr>
            <a:t>+ </a:t>
          </a:r>
          <a:r>
            <a:rPr lang="es-ES" sz="3200" b="1" cap="none" spc="0">
              <a:ln w="22225">
                <a:solidFill>
                  <a:srgbClr val="6AC5FF"/>
                </a:solidFill>
                <a:prstDash val="solid"/>
              </a:ln>
              <a:solidFill>
                <a:srgbClr val="C1EDFF"/>
              </a:solidFill>
              <a:effectLst/>
            </a:rPr>
            <a:t>3.1 </a:t>
          </a:r>
          <a:r>
            <a:rPr lang="es-ES" sz="3200" b="1" cap="none" spc="0">
              <a:ln w="22225">
                <a:solidFill>
                  <a:schemeClr val="bg2">
                    <a:lumMod val="50000"/>
                  </a:schemeClr>
                </a:solidFill>
                <a:prstDash val="solid"/>
              </a:ln>
              <a:solidFill>
                <a:schemeClr val="bg2">
                  <a:lumMod val="75000"/>
                </a:schemeClr>
              </a:solidFill>
              <a:effectLst/>
            </a:rPr>
            <a:t>+</a:t>
          </a:r>
          <a:r>
            <a:rPr lang="es-ES" sz="32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</a:t>
          </a:r>
          <a:r>
            <a:rPr lang="es-ES" sz="3200" b="1" cap="none" spc="0">
              <a:ln w="22225">
                <a:solidFill>
                  <a:srgbClr val="6AC5FF"/>
                </a:solidFill>
                <a:prstDash val="solid"/>
              </a:ln>
              <a:solidFill>
                <a:srgbClr val="C1EDFF"/>
              </a:solidFill>
              <a:effectLst/>
            </a:rPr>
            <a:t>3.2</a:t>
          </a:r>
          <a:r>
            <a:rPr lang="es-ES" sz="32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</a:t>
          </a:r>
          <a:r>
            <a:rPr lang="es-ES" sz="3200" b="1" cap="none" spc="0">
              <a:ln w="22225">
                <a:solidFill>
                  <a:schemeClr val="bg2">
                    <a:lumMod val="50000"/>
                  </a:schemeClr>
                </a:solidFill>
                <a:prstDash val="solid"/>
              </a:ln>
              <a:solidFill>
                <a:schemeClr val="bg2">
                  <a:lumMod val="75000"/>
                </a:schemeClr>
              </a:solidFill>
              <a:effectLst/>
            </a:rPr>
            <a:t>+ </a:t>
          </a:r>
          <a:r>
            <a:rPr lang="es-ES" sz="3200" b="1" cap="none" spc="0">
              <a:ln w="22225">
                <a:solidFill>
                  <a:srgbClr val="BBB92C"/>
                </a:solidFill>
                <a:prstDash val="solid"/>
              </a:ln>
              <a:solidFill>
                <a:srgbClr val="ECF4C1"/>
              </a:solidFill>
              <a:effectLst/>
            </a:rPr>
            <a:t>4.1</a:t>
          </a:r>
          <a:r>
            <a:rPr lang="es-ES" sz="32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</a:t>
          </a:r>
          <a:r>
            <a:rPr lang="es-ES" sz="3200" b="1" cap="none" spc="0">
              <a:ln w="22225">
                <a:solidFill>
                  <a:schemeClr val="bg2">
                    <a:lumMod val="50000"/>
                  </a:schemeClr>
                </a:solidFill>
                <a:prstDash val="solid"/>
              </a:ln>
              <a:solidFill>
                <a:schemeClr val="bg2">
                  <a:lumMod val="75000"/>
                </a:schemeClr>
              </a:solidFill>
              <a:effectLst/>
            </a:rPr>
            <a:t>+ </a:t>
          </a:r>
          <a:r>
            <a:rPr lang="es-ES" sz="3200" b="1" cap="none" spc="0">
              <a:ln w="22225">
                <a:solidFill>
                  <a:srgbClr val="BBB92C"/>
                </a:solidFill>
                <a:prstDash val="solid"/>
              </a:ln>
              <a:solidFill>
                <a:srgbClr val="ECF4C1"/>
              </a:solidFill>
              <a:effectLst/>
            </a:rPr>
            <a:t>4.2</a:t>
          </a:r>
          <a:endParaRPr lang="es-ES" sz="3200" b="1" cap="none" spc="0">
            <a:ln w="22225">
              <a:solidFill>
                <a:srgbClr val="BBB92C"/>
              </a:solidFill>
              <a:prstDash val="solid"/>
            </a:ln>
            <a:solidFill>
              <a:srgbClr val="ECF4C1"/>
            </a:solid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oneCellAnchor>
    <xdr:from>
      <xdr:col>1</xdr:col>
      <xdr:colOff>404064</xdr:colOff>
      <xdr:row>93</xdr:row>
      <xdr:rowOff>171450</xdr:rowOff>
    </xdr:from>
    <xdr:ext cx="184731" cy="937629"/>
    <xdr:sp macro="" textlink="">
      <xdr:nvSpPr>
        <xdr:cNvPr id="15" name="Rectángulo 21">
          <a:extLst>
            <a:ext uri="{FF2B5EF4-FFF2-40B4-BE49-F238E27FC236}">
              <a16:creationId xmlns:a16="http://schemas.microsoft.com/office/drawing/2014/main" id="{058A3E12-A925-EE4C-BF6F-6813069D405C}"/>
            </a:ext>
            <a:ext uri="{147F2762-F138-4A5C-976F-8EAC2B608ADB}">
              <a16:predDERef xmlns:a16="http://schemas.microsoft.com/office/drawing/2014/main" pred="{2175500D-61EA-4417-820C-E8F06DB15709}"/>
            </a:ext>
          </a:extLst>
        </xdr:cNvPr>
        <xdr:cNvSpPr/>
      </xdr:nvSpPr>
      <xdr:spPr>
        <a:xfrm>
          <a:off x="404064" y="24072850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5400" b="1" cap="none" spc="0"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pattFill prst="narHorz">
              <a:fgClr>
                <a:schemeClr val="accent3"/>
              </a:fgClr>
              <a:bgClr>
                <a:schemeClr val="accent3">
                  <a:lumMod val="40000"/>
                  <a:lumOff val="60000"/>
                </a:schemeClr>
              </a:bgClr>
            </a:patt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oneCellAnchor>
    <xdr:from>
      <xdr:col>3</xdr:col>
      <xdr:colOff>645194</xdr:colOff>
      <xdr:row>39</xdr:row>
      <xdr:rowOff>63760</xdr:rowOff>
    </xdr:from>
    <xdr:ext cx="535659" cy="937629"/>
    <xdr:sp macro="" textlink="">
      <xdr:nvSpPr>
        <xdr:cNvPr id="17" name="Rectángulo 14">
          <a:extLst>
            <a:ext uri="{FF2B5EF4-FFF2-40B4-BE49-F238E27FC236}">
              <a16:creationId xmlns:a16="http://schemas.microsoft.com/office/drawing/2014/main" id="{7EAC4F3B-8BB2-D749-82F7-6C0014761ABC}"/>
            </a:ext>
            <a:ext uri="{147F2762-F138-4A5C-976F-8EAC2B608ADB}">
              <a16:predDERef xmlns:a16="http://schemas.microsoft.com/office/drawing/2014/main" pred="{1457817D-75BB-4EEC-83ED-2F8AA2597F02}"/>
            </a:ext>
          </a:extLst>
        </xdr:cNvPr>
        <xdr:cNvSpPr/>
      </xdr:nvSpPr>
      <xdr:spPr>
        <a:xfrm>
          <a:off x="3137717" y="7268339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22225">
                <a:solidFill>
                  <a:schemeClr val="accent4"/>
                </a:solidFill>
                <a:prstDash val="solid"/>
              </a:ln>
              <a:solidFill>
                <a:schemeClr val="accent4">
                  <a:lumMod val="40000"/>
                  <a:lumOff val="60000"/>
                </a:schemeClr>
              </a:solidFill>
              <a:effectLst/>
            </a:rPr>
            <a:t>2</a:t>
          </a:r>
          <a:endParaRPr lang="es-ES" sz="5400" b="1" cap="none" spc="0">
            <a:ln w="22225">
              <a:solidFill>
                <a:schemeClr val="accent4"/>
              </a:solidFill>
              <a:prstDash val="solid"/>
            </a:ln>
            <a:solidFill>
              <a:schemeClr val="accent4">
                <a:lumMod val="40000"/>
                <a:lumOff val="60000"/>
              </a:schemeClr>
            </a:solid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oneCellAnchor>
    <xdr:from>
      <xdr:col>1</xdr:col>
      <xdr:colOff>684892</xdr:colOff>
      <xdr:row>93</xdr:row>
      <xdr:rowOff>22790</xdr:rowOff>
    </xdr:from>
    <xdr:ext cx="535659" cy="937629"/>
    <xdr:sp macro="" textlink="">
      <xdr:nvSpPr>
        <xdr:cNvPr id="18" name="Rectángulo 15">
          <a:extLst>
            <a:ext uri="{FF2B5EF4-FFF2-40B4-BE49-F238E27FC236}">
              <a16:creationId xmlns:a16="http://schemas.microsoft.com/office/drawing/2014/main" id="{BC3A93CD-64F9-BA4C-98E6-B0B399CD7C81}"/>
            </a:ext>
            <a:ext uri="{147F2762-F138-4A5C-976F-8EAC2B608ADB}">
              <a16:predDERef xmlns:a16="http://schemas.microsoft.com/office/drawing/2014/main" pred="{AC6874D9-FC1C-4074-B5BB-2EC307421023}"/>
            </a:ext>
          </a:extLst>
        </xdr:cNvPr>
        <xdr:cNvSpPr/>
      </xdr:nvSpPr>
      <xdr:spPr>
        <a:xfrm>
          <a:off x="1515733" y="17660360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22225">
                <a:solidFill>
                  <a:srgbClr val="6AC5FF"/>
                </a:solidFill>
                <a:prstDash val="solid"/>
              </a:ln>
              <a:solidFill>
                <a:srgbClr val="C1EDFF"/>
              </a:solidFill>
              <a:effectLst/>
            </a:rPr>
            <a:t>3</a:t>
          </a:r>
        </a:p>
      </xdr:txBody>
    </xdr:sp>
    <xdr:clientData/>
  </xdr:oneCellAnchor>
  <xdr:oneCellAnchor>
    <xdr:from>
      <xdr:col>1</xdr:col>
      <xdr:colOff>120039</xdr:colOff>
      <xdr:row>126</xdr:row>
      <xdr:rowOff>81837</xdr:rowOff>
    </xdr:from>
    <xdr:ext cx="535659" cy="937629"/>
    <xdr:sp macro="" textlink="">
      <xdr:nvSpPr>
        <xdr:cNvPr id="19" name="Rectángulo 16">
          <a:extLst>
            <a:ext uri="{FF2B5EF4-FFF2-40B4-BE49-F238E27FC236}">
              <a16:creationId xmlns:a16="http://schemas.microsoft.com/office/drawing/2014/main" id="{CD437B5A-57E9-DE4F-8A0A-2C03BBBF1407}"/>
            </a:ext>
            <a:ext uri="{147F2762-F138-4A5C-976F-8EAC2B608ADB}">
              <a16:predDERef xmlns:a16="http://schemas.microsoft.com/office/drawing/2014/main" pred="{D798EBB1-9D3A-48EE-B585-ABDC22931635}"/>
            </a:ext>
          </a:extLst>
        </xdr:cNvPr>
        <xdr:cNvSpPr/>
      </xdr:nvSpPr>
      <xdr:spPr>
        <a:xfrm>
          <a:off x="120039" y="32314437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22225">
                <a:solidFill>
                  <a:srgbClr val="BBB92C"/>
                </a:solidFill>
                <a:prstDash val="solid"/>
              </a:ln>
              <a:solidFill>
                <a:srgbClr val="ECF4C1"/>
              </a:solidFill>
              <a:effectLst/>
            </a:rPr>
            <a:t>4</a:t>
          </a:r>
        </a:p>
      </xdr:txBody>
    </xdr:sp>
    <xdr:clientData/>
  </xdr:oneCellAnchor>
  <xdr:twoCellAnchor>
    <xdr:from>
      <xdr:col>16</xdr:col>
      <xdr:colOff>0</xdr:colOff>
      <xdr:row>163</xdr:row>
      <xdr:rowOff>0</xdr:rowOff>
    </xdr:from>
    <xdr:to>
      <xdr:col>26</xdr:col>
      <xdr:colOff>264392</xdr:colOff>
      <xdr:row>188</xdr:row>
      <xdr:rowOff>27518</xdr:rowOff>
    </xdr:to>
    <xdr:graphicFrame macro="">
      <xdr:nvGraphicFramePr>
        <xdr:cNvPr id="20" name="Gráfico 26">
          <a:extLst>
            <a:ext uri="{FF2B5EF4-FFF2-40B4-BE49-F238E27FC236}">
              <a16:creationId xmlns:a16="http://schemas.microsoft.com/office/drawing/2014/main" id="{CFE0962C-1ABD-3D48-BDDF-0090BA83E1C2}"/>
            </a:ext>
            <a:ext uri="{147F2762-F138-4A5C-976F-8EAC2B608ADB}">
              <a16:predDERef xmlns:a16="http://schemas.microsoft.com/office/drawing/2014/main" pred="{7E614B5B-41E3-4A6E-B6A0-5E6B236F8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764906</xdr:colOff>
      <xdr:row>204</xdr:row>
      <xdr:rowOff>151886</xdr:rowOff>
    </xdr:from>
    <xdr:to>
      <xdr:col>12</xdr:col>
      <xdr:colOff>542855</xdr:colOff>
      <xdr:row>234</xdr:row>
      <xdr:rowOff>25359</xdr:rowOff>
    </xdr:to>
    <xdr:graphicFrame macro="">
      <xdr:nvGraphicFramePr>
        <xdr:cNvPr id="22" name="Gráfico 29">
          <a:extLst>
            <a:ext uri="{FF2B5EF4-FFF2-40B4-BE49-F238E27FC236}">
              <a16:creationId xmlns:a16="http://schemas.microsoft.com/office/drawing/2014/main" id="{4B8137DF-20A2-1A45-AA58-E4D91B4256A6}"/>
            </a:ext>
            <a:ext uri="{147F2762-F138-4A5C-976F-8EAC2B608ADB}">
              <a16:predDERef xmlns:a16="http://schemas.microsoft.com/office/drawing/2014/main" pred="{770A08CC-9902-4509-9B16-0C33B3B10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745188</xdr:colOff>
      <xdr:row>174</xdr:row>
      <xdr:rowOff>133999</xdr:rowOff>
    </xdr:from>
    <xdr:to>
      <xdr:col>12</xdr:col>
      <xdr:colOff>533629</xdr:colOff>
      <xdr:row>204</xdr:row>
      <xdr:rowOff>7469</xdr:rowOff>
    </xdr:to>
    <xdr:graphicFrame macro="">
      <xdr:nvGraphicFramePr>
        <xdr:cNvPr id="23" name="Gráfico 29">
          <a:extLst>
            <a:ext uri="{FF2B5EF4-FFF2-40B4-BE49-F238E27FC236}">
              <a16:creationId xmlns:a16="http://schemas.microsoft.com/office/drawing/2014/main" id="{0CCDF988-A730-C748-9F0F-5C5D6AC8C5BE}"/>
            </a:ext>
            <a:ext uri="{147F2762-F138-4A5C-976F-8EAC2B608ADB}">
              <a16:predDERef xmlns:a16="http://schemas.microsoft.com/office/drawing/2014/main" pred="{770A08CC-9902-4509-9B16-0C33B3B10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12016</xdr:colOff>
      <xdr:row>188</xdr:row>
      <xdr:rowOff>168577</xdr:rowOff>
    </xdr:from>
    <xdr:to>
      <xdr:col>26</xdr:col>
      <xdr:colOff>245661</xdr:colOff>
      <xdr:row>214</xdr:row>
      <xdr:rowOff>4396</xdr:rowOff>
    </xdr:to>
    <xdr:graphicFrame macro="">
      <xdr:nvGraphicFramePr>
        <xdr:cNvPr id="24" name="Gráfico 26">
          <a:extLst>
            <a:ext uri="{FF2B5EF4-FFF2-40B4-BE49-F238E27FC236}">
              <a16:creationId xmlns:a16="http://schemas.microsoft.com/office/drawing/2014/main" id="{C9E65AFE-D2B1-F444-83A1-F80DDABB6299}"/>
            </a:ext>
            <a:ext uri="{147F2762-F138-4A5C-976F-8EAC2B608ADB}">
              <a16:predDERef xmlns:a16="http://schemas.microsoft.com/office/drawing/2014/main" pred="{7E614B5B-41E3-4A6E-B6A0-5E6B236F8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22282</xdr:colOff>
      <xdr:row>215</xdr:row>
      <xdr:rowOff>55702</xdr:rowOff>
    </xdr:from>
    <xdr:to>
      <xdr:col>26</xdr:col>
      <xdr:colOff>255927</xdr:colOff>
      <xdr:row>240</xdr:row>
      <xdr:rowOff>92048</xdr:rowOff>
    </xdr:to>
    <xdr:graphicFrame macro="">
      <xdr:nvGraphicFramePr>
        <xdr:cNvPr id="25" name="Gráfico 26">
          <a:extLst>
            <a:ext uri="{FF2B5EF4-FFF2-40B4-BE49-F238E27FC236}">
              <a16:creationId xmlns:a16="http://schemas.microsoft.com/office/drawing/2014/main" id="{0F997967-56B3-A849-91C7-B84A8401A6AE}"/>
            </a:ext>
            <a:ext uri="{147F2762-F138-4A5C-976F-8EAC2B608ADB}">
              <a16:predDERef xmlns:a16="http://schemas.microsoft.com/office/drawing/2014/main" pred="{7E614B5B-41E3-4A6E-B6A0-5E6B236F8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3</xdr:col>
      <xdr:colOff>601787</xdr:colOff>
      <xdr:row>11</xdr:row>
      <xdr:rowOff>73610</xdr:rowOff>
    </xdr:from>
    <xdr:ext cx="582155" cy="937629"/>
    <xdr:sp macro="" textlink="">
      <xdr:nvSpPr>
        <xdr:cNvPr id="27" name="Rectángulo 13">
          <a:extLst>
            <a:ext uri="{FF2B5EF4-FFF2-40B4-BE49-F238E27FC236}">
              <a16:creationId xmlns:a16="http://schemas.microsoft.com/office/drawing/2014/main" id="{FD6EB826-09A0-894C-B836-6D514D5BC3B9}"/>
            </a:ext>
            <a:ext uri="{147F2762-F138-4A5C-976F-8EAC2B608ADB}">
              <a16:predDERef xmlns:a16="http://schemas.microsoft.com/office/drawing/2014/main" pred="{A86F69D5-DF74-4391-8914-0490E9AFAA5E}"/>
            </a:ext>
          </a:extLst>
        </xdr:cNvPr>
        <xdr:cNvSpPr/>
      </xdr:nvSpPr>
      <xdr:spPr>
        <a:xfrm>
          <a:off x="3094310" y="2091367"/>
          <a:ext cx="582155" cy="937629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rgbClr val="FFC670"/>
              </a:solidFill>
              <a:effectLst/>
            </a:rPr>
            <a:t>1</a:t>
          </a:r>
          <a:endParaRPr lang="es-ES" sz="5400" b="1" cap="none" spc="0">
            <a:ln w="22225">
              <a:solidFill>
                <a:schemeClr val="accent2"/>
              </a:solidFill>
              <a:prstDash val="solid"/>
            </a:ln>
            <a:solidFill>
              <a:srgbClr val="FFC670"/>
            </a:solid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0.13938</cdr:x>
      <cdr:y>0.23162</cdr:y>
    </cdr:from>
    <cdr:to>
      <cdr:x>0.27474</cdr:x>
      <cdr:y>0.32549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2DC181C2-CE7C-1651-E639-78C0F3F7D386}"/>
            </a:ext>
          </a:extLst>
        </cdr:cNvPr>
        <cdr:cNvSpPr txBox="1"/>
      </cdr:nvSpPr>
      <cdr:spPr>
        <a:xfrm xmlns:a="http://schemas.openxmlformats.org/drawingml/2006/main">
          <a:off x="1188990" y="1306826"/>
          <a:ext cx="1154727" cy="5296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MX" sz="1200" b="1">
              <a:solidFill>
                <a:schemeClr val="accent5"/>
              </a:solidFill>
              <a:latin typeface=""/>
            </a:rPr>
            <a:t>DIG</a:t>
          </a:r>
          <a:r>
            <a:rPr lang="es-MX" sz="1200" b="1" baseline="0">
              <a:solidFill>
                <a:schemeClr val="accent5"/>
              </a:solidFill>
              <a:latin typeface=""/>
            </a:rPr>
            <a:t> ACUM Stotal de S= </a:t>
          </a:r>
          <a:endParaRPr lang="es-MX" sz="1200" b="1">
            <a:solidFill>
              <a:schemeClr val="accent5"/>
            </a:solidFill>
            <a:latin typeface=""/>
          </a:endParaRPr>
        </a:p>
      </cdr:txBody>
    </cdr:sp>
  </cdr:relSizeAnchor>
  <cdr:relSizeAnchor xmlns:cdr="http://schemas.openxmlformats.org/drawingml/2006/chartDrawing">
    <cdr:from>
      <cdr:x>0.75745</cdr:x>
      <cdr:y>0.3854</cdr:y>
    </cdr:from>
    <cdr:to>
      <cdr:x>0.87808</cdr:x>
      <cdr:y>0.4593</cdr:y>
    </cdr:to>
    <cdr:sp macro="" textlink="">
      <cdr:nvSpPr>
        <cdr:cNvPr id="3" name="CuadroTexto 1">
          <a:extLst xmlns:a="http://schemas.openxmlformats.org/drawingml/2006/main">
            <a:ext uri="{FF2B5EF4-FFF2-40B4-BE49-F238E27FC236}">
              <a16:creationId xmlns:a16="http://schemas.microsoft.com/office/drawing/2014/main" id="{7757D3B5-8AD3-8E7B-553F-238907A0ED37}"/>
            </a:ext>
          </a:extLst>
        </cdr:cNvPr>
        <cdr:cNvSpPr txBox="1"/>
      </cdr:nvSpPr>
      <cdr:spPr>
        <a:xfrm xmlns:a="http://schemas.openxmlformats.org/drawingml/2006/main">
          <a:off x="6461645" y="2174401"/>
          <a:ext cx="1029054" cy="4169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 b="1">
              <a:solidFill>
                <a:schemeClr val="accent1"/>
              </a:solidFill>
              <a:latin typeface=""/>
            </a:rPr>
            <a:t>H</a:t>
          </a:r>
          <a:r>
            <a:rPr lang="es-MX" sz="900" b="1">
              <a:solidFill>
                <a:schemeClr val="accent1"/>
              </a:solidFill>
              <a:latin typeface=""/>
            </a:rPr>
            <a:t>2</a:t>
          </a:r>
          <a:r>
            <a:rPr lang="es-MX" sz="1200" b="1">
              <a:solidFill>
                <a:schemeClr val="accent1"/>
              </a:solidFill>
              <a:latin typeface=""/>
            </a:rPr>
            <a:t>S</a:t>
          </a:r>
          <a:r>
            <a:rPr lang="es-MX" sz="1200" b="1" baseline="0">
              <a:solidFill>
                <a:schemeClr val="accent1"/>
              </a:solidFill>
              <a:latin typeface=""/>
            </a:rPr>
            <a:t> ACUM</a:t>
          </a:r>
          <a:endParaRPr lang="es-MX" sz="1200" b="1">
            <a:solidFill>
              <a:schemeClr val="accent1"/>
            </a:solidFill>
            <a:latin typeface=""/>
          </a:endParaRPr>
        </a:p>
      </cdr:txBody>
    </cdr:sp>
  </cdr:relSizeAnchor>
  <cdr:relSizeAnchor xmlns:cdr="http://schemas.openxmlformats.org/drawingml/2006/chartDrawing">
    <cdr:from>
      <cdr:x>0.28733</cdr:x>
      <cdr:y>0.79538</cdr:y>
    </cdr:from>
    <cdr:to>
      <cdr:x>0.44219</cdr:x>
      <cdr:y>0.88925</cdr:y>
    </cdr:to>
    <cdr:sp macro="" textlink="">
      <cdr:nvSpPr>
        <cdr:cNvPr id="4" name="CuadroTexto 1">
          <a:extLst xmlns:a="http://schemas.openxmlformats.org/drawingml/2006/main">
            <a:ext uri="{FF2B5EF4-FFF2-40B4-BE49-F238E27FC236}">
              <a16:creationId xmlns:a16="http://schemas.microsoft.com/office/drawing/2014/main" id="{3223EBC6-D2C6-750A-E8F7-0E6E5BB48E55}"/>
            </a:ext>
          </a:extLst>
        </cdr:cNvPr>
        <cdr:cNvSpPr txBox="1"/>
      </cdr:nvSpPr>
      <cdr:spPr>
        <a:xfrm xmlns:a="http://schemas.openxmlformats.org/drawingml/2006/main">
          <a:off x="2449543" y="4456599"/>
          <a:ext cx="1320203" cy="5259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 b="1">
              <a:solidFill>
                <a:schemeClr val="accent4"/>
              </a:solidFill>
              <a:latin typeface=""/>
            </a:rPr>
            <a:t>DIG</a:t>
          </a:r>
          <a:r>
            <a:rPr lang="es-MX" sz="1200" b="1" baseline="0">
              <a:solidFill>
                <a:schemeClr val="accent4"/>
              </a:solidFill>
              <a:latin typeface=""/>
            </a:rPr>
            <a:t> ACUM Stotal de SO4=  </a:t>
          </a:r>
          <a:endParaRPr lang="es-MX" sz="1200" b="1">
            <a:solidFill>
              <a:schemeClr val="accent4"/>
            </a:solidFill>
            <a:latin typeface=""/>
          </a:endParaRPr>
        </a:p>
      </cdr:txBody>
    </cdr:sp>
  </cdr:relSizeAnchor>
  <cdr:relSizeAnchor xmlns:cdr="http://schemas.openxmlformats.org/drawingml/2006/chartDrawing">
    <cdr:from>
      <cdr:x>0.55173</cdr:x>
      <cdr:y>0.83586</cdr:y>
    </cdr:from>
    <cdr:to>
      <cdr:x>0.74263</cdr:x>
      <cdr:y>0.92972</cdr:y>
    </cdr:to>
    <cdr:sp macro="" textlink="">
      <cdr:nvSpPr>
        <cdr:cNvPr id="5" name="CuadroTexto 1">
          <a:extLst xmlns:a="http://schemas.openxmlformats.org/drawingml/2006/main">
            <a:ext uri="{FF2B5EF4-FFF2-40B4-BE49-F238E27FC236}">
              <a16:creationId xmlns:a16="http://schemas.microsoft.com/office/drawing/2014/main" id="{BF86568B-C6BC-4891-B700-CF9767AB203F}"/>
            </a:ext>
          </a:extLst>
        </cdr:cNvPr>
        <cdr:cNvSpPr txBox="1"/>
      </cdr:nvSpPr>
      <cdr:spPr>
        <a:xfrm xmlns:a="http://schemas.openxmlformats.org/drawingml/2006/main">
          <a:off x="4554947" y="4897412"/>
          <a:ext cx="1576024" cy="5499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 b="1">
              <a:solidFill>
                <a:schemeClr val="accent3"/>
              </a:solidFill>
              <a:latin typeface=""/>
            </a:rPr>
            <a:t>CAMBIO</a:t>
          </a:r>
          <a:r>
            <a:rPr lang="es-MX" sz="1200" b="1" baseline="0">
              <a:solidFill>
                <a:schemeClr val="accent3"/>
              </a:solidFill>
              <a:latin typeface=""/>
            </a:rPr>
            <a:t> BIORREACTOR Stotal de S= </a:t>
          </a:r>
          <a:endParaRPr lang="es-MX" sz="1200" b="1">
            <a:solidFill>
              <a:schemeClr val="accent3"/>
            </a:solidFill>
            <a:latin typeface=""/>
          </a:endParaRPr>
        </a:p>
      </cdr:txBody>
    </cdr:sp>
  </cdr:relSizeAnchor>
  <cdr:relSizeAnchor xmlns:cdr="http://schemas.openxmlformats.org/drawingml/2006/chartDrawing">
    <cdr:from>
      <cdr:x>0.63632</cdr:x>
      <cdr:y>0.7445</cdr:y>
    </cdr:from>
    <cdr:to>
      <cdr:x>0.83568</cdr:x>
      <cdr:y>0.83837</cdr:y>
    </cdr:to>
    <cdr:sp macro="" textlink="">
      <cdr:nvSpPr>
        <cdr:cNvPr id="6" name="CuadroTexto 1">
          <a:extLst xmlns:a="http://schemas.openxmlformats.org/drawingml/2006/main">
            <a:ext uri="{FF2B5EF4-FFF2-40B4-BE49-F238E27FC236}">
              <a16:creationId xmlns:a16="http://schemas.microsoft.com/office/drawing/2014/main" id="{DC4EBB30-6B59-5F5B-2AA1-39DE1E65FCB7}"/>
            </a:ext>
          </a:extLst>
        </cdr:cNvPr>
        <cdr:cNvSpPr txBox="1"/>
      </cdr:nvSpPr>
      <cdr:spPr>
        <a:xfrm xmlns:a="http://schemas.openxmlformats.org/drawingml/2006/main">
          <a:off x="5253343" y="4362116"/>
          <a:ext cx="1645851" cy="5499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 b="1">
              <a:solidFill>
                <a:schemeClr val="accent2"/>
              </a:solidFill>
              <a:latin typeface=""/>
            </a:rPr>
            <a:t>CAMBIO</a:t>
          </a:r>
          <a:r>
            <a:rPr lang="es-MX" sz="1200" b="1" baseline="0">
              <a:solidFill>
                <a:schemeClr val="accent2"/>
              </a:solidFill>
              <a:latin typeface=""/>
            </a:rPr>
            <a:t> BIORREACTOR Stotal de SO4= </a:t>
          </a:r>
          <a:endParaRPr lang="es-MX" sz="1200" b="1">
            <a:solidFill>
              <a:schemeClr val="accent2"/>
            </a:solidFill>
            <a:latin typeface="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0.15605</cdr:x>
      <cdr:y>0.22082</cdr:y>
    </cdr:from>
    <cdr:to>
      <cdr:x>0.29141</cdr:x>
      <cdr:y>0.31469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2DC181C2-CE7C-1651-E639-78C0F3F7D386}"/>
            </a:ext>
          </a:extLst>
        </cdr:cNvPr>
        <cdr:cNvSpPr txBox="1"/>
      </cdr:nvSpPr>
      <cdr:spPr>
        <a:xfrm xmlns:a="http://schemas.openxmlformats.org/drawingml/2006/main">
          <a:off x="1331243" y="1245849"/>
          <a:ext cx="1154742" cy="5296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MX" sz="1200" b="1">
              <a:solidFill>
                <a:schemeClr val="accent5"/>
              </a:solidFill>
              <a:latin typeface=""/>
            </a:rPr>
            <a:t>DIG</a:t>
          </a:r>
          <a:r>
            <a:rPr lang="es-MX" sz="1200" b="1" baseline="0">
              <a:solidFill>
                <a:schemeClr val="accent5"/>
              </a:solidFill>
              <a:latin typeface=""/>
            </a:rPr>
            <a:t> ACUM Stotal de S= </a:t>
          </a:r>
          <a:endParaRPr lang="es-MX" sz="1200" b="1">
            <a:solidFill>
              <a:schemeClr val="accent5"/>
            </a:solidFill>
            <a:latin typeface=""/>
          </a:endParaRPr>
        </a:p>
      </cdr:txBody>
    </cdr:sp>
  </cdr:relSizeAnchor>
  <cdr:relSizeAnchor xmlns:cdr="http://schemas.openxmlformats.org/drawingml/2006/chartDrawing">
    <cdr:from>
      <cdr:x>0.75745</cdr:x>
      <cdr:y>0.3854</cdr:y>
    </cdr:from>
    <cdr:to>
      <cdr:x>0.87808</cdr:x>
      <cdr:y>0.4593</cdr:y>
    </cdr:to>
    <cdr:sp macro="" textlink="">
      <cdr:nvSpPr>
        <cdr:cNvPr id="3" name="CuadroTexto 1">
          <a:extLst xmlns:a="http://schemas.openxmlformats.org/drawingml/2006/main">
            <a:ext uri="{FF2B5EF4-FFF2-40B4-BE49-F238E27FC236}">
              <a16:creationId xmlns:a16="http://schemas.microsoft.com/office/drawing/2014/main" id="{7757D3B5-8AD3-8E7B-553F-238907A0ED37}"/>
            </a:ext>
          </a:extLst>
        </cdr:cNvPr>
        <cdr:cNvSpPr txBox="1"/>
      </cdr:nvSpPr>
      <cdr:spPr>
        <a:xfrm xmlns:a="http://schemas.openxmlformats.org/drawingml/2006/main">
          <a:off x="6461645" y="2174401"/>
          <a:ext cx="1029054" cy="4169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 b="1">
              <a:solidFill>
                <a:schemeClr val="accent1"/>
              </a:solidFill>
              <a:latin typeface=""/>
            </a:rPr>
            <a:t>H</a:t>
          </a:r>
          <a:r>
            <a:rPr lang="es-MX" sz="900" b="1">
              <a:solidFill>
                <a:schemeClr val="accent1"/>
              </a:solidFill>
              <a:latin typeface=""/>
            </a:rPr>
            <a:t>2</a:t>
          </a:r>
          <a:r>
            <a:rPr lang="es-MX" sz="1200" b="1">
              <a:solidFill>
                <a:schemeClr val="accent1"/>
              </a:solidFill>
              <a:latin typeface=""/>
            </a:rPr>
            <a:t>S</a:t>
          </a:r>
          <a:r>
            <a:rPr lang="es-MX" sz="1200" b="1" baseline="0">
              <a:solidFill>
                <a:schemeClr val="accent1"/>
              </a:solidFill>
              <a:latin typeface=""/>
            </a:rPr>
            <a:t> ACUM</a:t>
          </a:r>
          <a:endParaRPr lang="es-MX" sz="1200" b="1">
            <a:solidFill>
              <a:schemeClr val="accent1"/>
            </a:solidFill>
            <a:latin typeface=""/>
          </a:endParaRPr>
        </a:p>
      </cdr:txBody>
    </cdr:sp>
  </cdr:relSizeAnchor>
  <cdr:relSizeAnchor xmlns:cdr="http://schemas.openxmlformats.org/drawingml/2006/chartDrawing">
    <cdr:from>
      <cdr:x>0.17507</cdr:x>
      <cdr:y>0.66809</cdr:y>
    </cdr:from>
    <cdr:to>
      <cdr:x>0.32993</cdr:x>
      <cdr:y>0.76196</cdr:y>
    </cdr:to>
    <cdr:sp macro="" textlink="">
      <cdr:nvSpPr>
        <cdr:cNvPr id="4" name="CuadroTexto 1">
          <a:extLst xmlns:a="http://schemas.openxmlformats.org/drawingml/2006/main">
            <a:ext uri="{FF2B5EF4-FFF2-40B4-BE49-F238E27FC236}">
              <a16:creationId xmlns:a16="http://schemas.microsoft.com/office/drawing/2014/main" id="{3223EBC6-D2C6-750A-E8F7-0E6E5BB48E55}"/>
            </a:ext>
          </a:extLst>
        </cdr:cNvPr>
        <cdr:cNvSpPr txBox="1"/>
      </cdr:nvSpPr>
      <cdr:spPr>
        <a:xfrm xmlns:a="http://schemas.openxmlformats.org/drawingml/2006/main">
          <a:off x="1493519" y="3769360"/>
          <a:ext cx="1321083" cy="5296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 b="1">
              <a:solidFill>
                <a:schemeClr val="accent4"/>
              </a:solidFill>
              <a:latin typeface=""/>
            </a:rPr>
            <a:t>DIG</a:t>
          </a:r>
          <a:r>
            <a:rPr lang="es-MX" sz="1200" b="1" baseline="0">
              <a:solidFill>
                <a:schemeClr val="accent4"/>
              </a:solidFill>
              <a:latin typeface=""/>
            </a:rPr>
            <a:t> ACUM Stotal de SO4=  </a:t>
          </a:r>
          <a:endParaRPr lang="es-MX" sz="1200" b="1">
            <a:solidFill>
              <a:schemeClr val="accent4"/>
            </a:solidFill>
            <a:latin typeface=""/>
          </a:endParaRPr>
        </a:p>
      </cdr:txBody>
    </cdr:sp>
  </cdr:relSizeAnchor>
  <cdr:relSizeAnchor xmlns:cdr="http://schemas.openxmlformats.org/drawingml/2006/chartDrawing">
    <cdr:from>
      <cdr:x>0.26797</cdr:x>
      <cdr:y>0.79595</cdr:y>
    </cdr:from>
    <cdr:to>
      <cdr:x>0.44084</cdr:x>
      <cdr:y>0.88981</cdr:y>
    </cdr:to>
    <cdr:sp macro="" textlink="">
      <cdr:nvSpPr>
        <cdr:cNvPr id="5" name="CuadroTexto 1">
          <a:extLst xmlns:a="http://schemas.openxmlformats.org/drawingml/2006/main">
            <a:ext uri="{FF2B5EF4-FFF2-40B4-BE49-F238E27FC236}">
              <a16:creationId xmlns:a16="http://schemas.microsoft.com/office/drawing/2014/main" id="{BF86568B-C6BC-4891-B700-CF9767AB203F}"/>
            </a:ext>
          </a:extLst>
        </cdr:cNvPr>
        <cdr:cNvSpPr txBox="1"/>
      </cdr:nvSpPr>
      <cdr:spPr>
        <a:xfrm xmlns:a="http://schemas.openxmlformats.org/drawingml/2006/main">
          <a:off x="2215106" y="4663551"/>
          <a:ext cx="1429004" cy="5499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 b="1">
              <a:solidFill>
                <a:schemeClr val="accent3"/>
              </a:solidFill>
              <a:latin typeface=""/>
            </a:rPr>
            <a:t>CAMBIO</a:t>
          </a:r>
          <a:r>
            <a:rPr lang="es-MX" sz="1200" b="1" baseline="0">
              <a:solidFill>
                <a:schemeClr val="accent3"/>
              </a:solidFill>
              <a:latin typeface=""/>
            </a:rPr>
            <a:t> BIORREACTOR Stotal de S= </a:t>
          </a:r>
          <a:endParaRPr lang="es-MX" sz="1200" b="1">
            <a:solidFill>
              <a:schemeClr val="accent3"/>
            </a:solidFill>
            <a:latin typeface=""/>
          </a:endParaRPr>
        </a:p>
      </cdr:txBody>
    </cdr:sp>
  </cdr:relSizeAnchor>
  <cdr:relSizeAnchor xmlns:cdr="http://schemas.openxmlformats.org/drawingml/2006/chartDrawing">
    <cdr:from>
      <cdr:x>0.4385</cdr:x>
      <cdr:y>0.84445</cdr:y>
    </cdr:from>
    <cdr:to>
      <cdr:x>0.6376</cdr:x>
      <cdr:y>0.93832</cdr:y>
    </cdr:to>
    <cdr:sp macro="" textlink="">
      <cdr:nvSpPr>
        <cdr:cNvPr id="6" name="CuadroTexto 1">
          <a:extLst xmlns:a="http://schemas.openxmlformats.org/drawingml/2006/main">
            <a:ext uri="{FF2B5EF4-FFF2-40B4-BE49-F238E27FC236}">
              <a16:creationId xmlns:a16="http://schemas.microsoft.com/office/drawing/2014/main" id="{0BE6F788-1542-9FF0-5BC5-74B94B9CE6FA}"/>
            </a:ext>
          </a:extLst>
        </cdr:cNvPr>
        <cdr:cNvSpPr txBox="1"/>
      </cdr:nvSpPr>
      <cdr:spPr>
        <a:xfrm xmlns:a="http://schemas.openxmlformats.org/drawingml/2006/main">
          <a:off x="3624750" y="4947717"/>
          <a:ext cx="1645851" cy="5499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 b="1">
              <a:solidFill>
                <a:schemeClr val="accent2"/>
              </a:solidFill>
              <a:latin typeface=""/>
            </a:rPr>
            <a:t>CAMBIO</a:t>
          </a:r>
          <a:r>
            <a:rPr lang="es-MX" sz="1200" b="1" baseline="0">
              <a:solidFill>
                <a:schemeClr val="accent2"/>
              </a:solidFill>
              <a:latin typeface=""/>
            </a:rPr>
            <a:t> BIORREACTOR Stotal de SO4= </a:t>
          </a:r>
          <a:endParaRPr lang="es-MX" sz="1200" b="1">
            <a:solidFill>
              <a:schemeClr val="accent2"/>
            </a:solidFill>
            <a:latin typeface="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3</xdr:row>
      <xdr:rowOff>142875</xdr:rowOff>
    </xdr:from>
    <xdr:to>
      <xdr:col>13</xdr:col>
      <xdr:colOff>114300</xdr:colOff>
      <xdr:row>8</xdr:row>
      <xdr:rowOff>76200</xdr:rowOff>
    </xdr:to>
    <xdr:sp macro="" textlink="">
      <xdr:nvSpPr>
        <xdr:cNvPr id="2" name="Rectángulo: esquinas redondeadas 5">
          <a:extLst>
            <a:ext uri="{FF2B5EF4-FFF2-40B4-BE49-F238E27FC236}">
              <a16:creationId xmlns:a16="http://schemas.microsoft.com/office/drawing/2014/main" id="{884A9E82-2891-E148-8A95-621374A8A10F}"/>
            </a:ext>
          </a:extLst>
        </xdr:cNvPr>
        <xdr:cNvSpPr/>
      </xdr:nvSpPr>
      <xdr:spPr>
        <a:xfrm>
          <a:off x="8385175" y="523875"/>
          <a:ext cx="2193925" cy="911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AR" sz="1100"/>
            <a:t>VARIACIÓN DE S</a:t>
          </a:r>
          <a:r>
            <a:rPr lang="es-AR" sz="1100" baseline="0"/>
            <a:t> TOTAL EN TODO EL VOLUMEN DEL REACTOR ENTRE EL DÍA X-Y</a:t>
          </a:r>
        </a:p>
      </xdr:txBody>
    </xdr:sp>
    <xdr:clientData/>
  </xdr:twoCellAnchor>
  <xdr:twoCellAnchor>
    <xdr:from>
      <xdr:col>9</xdr:col>
      <xdr:colOff>104656</xdr:colOff>
      <xdr:row>4</xdr:row>
      <xdr:rowOff>142779</xdr:rowOff>
    </xdr:from>
    <xdr:to>
      <xdr:col>10</xdr:col>
      <xdr:colOff>276106</xdr:colOff>
      <xdr:row>6</xdr:row>
      <xdr:rowOff>181380</xdr:rowOff>
    </xdr:to>
    <xdr:sp macro="" textlink="">
      <xdr:nvSpPr>
        <xdr:cNvPr id="3" name="Flecha: a la derecha 6">
          <a:extLst>
            <a:ext uri="{FF2B5EF4-FFF2-40B4-BE49-F238E27FC236}">
              <a16:creationId xmlns:a16="http://schemas.microsoft.com/office/drawing/2014/main" id="{A0345599-5437-CC4D-93CD-719BA75A5617}"/>
            </a:ext>
            <a:ext uri="{147F2762-F138-4A5C-976F-8EAC2B608ADB}">
              <a16:predDERef xmlns:a16="http://schemas.microsoft.com/office/drawing/2014/main" pred="{9EF9FC4A-3268-4721-8ED7-41143C8D8EDB}"/>
            </a:ext>
          </a:extLst>
        </xdr:cNvPr>
        <xdr:cNvSpPr/>
      </xdr:nvSpPr>
      <xdr:spPr>
        <a:xfrm>
          <a:off x="7242056" y="714279"/>
          <a:ext cx="1047750" cy="4323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13</xdr:col>
      <xdr:colOff>180831</xdr:colOff>
      <xdr:row>4</xdr:row>
      <xdr:rowOff>162212</xdr:rowOff>
    </xdr:from>
    <xdr:to>
      <xdr:col>14</xdr:col>
      <xdr:colOff>409431</xdr:colOff>
      <xdr:row>6</xdr:row>
      <xdr:rowOff>200335</xdr:rowOff>
    </xdr:to>
    <xdr:sp macro="" textlink="">
      <xdr:nvSpPr>
        <xdr:cNvPr id="4" name="Flecha: a la derecha 7">
          <a:extLst>
            <a:ext uri="{FF2B5EF4-FFF2-40B4-BE49-F238E27FC236}">
              <a16:creationId xmlns:a16="http://schemas.microsoft.com/office/drawing/2014/main" id="{FB3B6834-1408-6A4E-97A2-3457A2FF50FE}"/>
            </a:ext>
            <a:ext uri="{147F2762-F138-4A5C-976F-8EAC2B608ADB}">
              <a16:predDERef xmlns:a16="http://schemas.microsoft.com/office/drawing/2014/main" pred="{8FB725D7-D53C-42B0-82A4-D883D96C1FBF}"/>
            </a:ext>
          </a:extLst>
        </xdr:cNvPr>
        <xdr:cNvSpPr/>
      </xdr:nvSpPr>
      <xdr:spPr>
        <a:xfrm>
          <a:off x="10645631" y="733712"/>
          <a:ext cx="1104900" cy="43182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11</xdr:col>
      <xdr:colOff>581025</xdr:colOff>
      <xdr:row>8</xdr:row>
      <xdr:rowOff>123825</xdr:rowOff>
    </xdr:from>
    <xdr:to>
      <xdr:col>12</xdr:col>
      <xdr:colOff>381000</xdr:colOff>
      <xdr:row>11</xdr:row>
      <xdr:rowOff>114300</xdr:rowOff>
    </xdr:to>
    <xdr:sp macro="" textlink="">
      <xdr:nvSpPr>
        <xdr:cNvPr id="5" name="Flecha: doblada hacia arriba 8">
          <a:extLst>
            <a:ext uri="{FF2B5EF4-FFF2-40B4-BE49-F238E27FC236}">
              <a16:creationId xmlns:a16="http://schemas.microsoft.com/office/drawing/2014/main" id="{3FCF6C19-45F7-2144-9E9E-F909FA7ADC38}"/>
            </a:ext>
            <a:ext uri="{147F2762-F138-4A5C-976F-8EAC2B608ADB}">
              <a16:predDERef xmlns:a16="http://schemas.microsoft.com/office/drawing/2014/main" pred="{9343B05F-AD85-4D0A-BDDD-3F52AC6F33C8}"/>
            </a:ext>
          </a:extLst>
        </xdr:cNvPr>
        <xdr:cNvSpPr/>
      </xdr:nvSpPr>
      <xdr:spPr>
        <a:xfrm rot="5400000">
          <a:off x="9420225" y="1533525"/>
          <a:ext cx="600075" cy="498475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oneCellAnchor>
    <xdr:from>
      <xdr:col>14</xdr:col>
      <xdr:colOff>476250</xdr:colOff>
      <xdr:row>4</xdr:row>
      <xdr:rowOff>57150</xdr:rowOff>
    </xdr:from>
    <xdr:ext cx="1285875" cy="781240"/>
    <xdr:sp macro="" textlink="">
      <xdr:nvSpPr>
        <xdr:cNvPr id="7" name="CuadroTexto 10">
          <a:extLst>
            <a:ext uri="{FF2B5EF4-FFF2-40B4-BE49-F238E27FC236}">
              <a16:creationId xmlns:a16="http://schemas.microsoft.com/office/drawing/2014/main" id="{49458DD8-7B51-2A4B-B337-2EA16C60A5B9}"/>
            </a:ext>
            <a:ext uri="{147F2762-F138-4A5C-976F-8EAC2B608ADB}">
              <a16:predDERef xmlns:a16="http://schemas.microsoft.com/office/drawing/2014/main" pred="{3308EFC8-6B2F-4FA6-8C65-EC5AA83A8F20}"/>
            </a:ext>
          </a:extLst>
        </xdr:cNvPr>
        <xdr:cNvSpPr txBox="1"/>
      </xdr:nvSpPr>
      <xdr:spPr>
        <a:xfrm>
          <a:off x="11817350" y="628650"/>
          <a:ext cx="1285875" cy="78124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AR" sz="1100"/>
            <a:t>SALIDA</a:t>
          </a:r>
          <a:r>
            <a:rPr lang="es-AR" sz="1100" baseline="0"/>
            <a:t> DE </a:t>
          </a:r>
          <a:r>
            <a:rPr lang="es-AR" sz="1100"/>
            <a:t>S</a:t>
          </a:r>
          <a:r>
            <a:rPr lang="es-AR" sz="1100" baseline="0"/>
            <a:t> total A TRAVÉS DEL GAS COMO H2S ENTRE DÍA X-Y</a:t>
          </a:r>
        </a:p>
      </xdr:txBody>
    </xdr:sp>
    <xdr:clientData/>
  </xdr:oneCellAnchor>
  <xdr:oneCellAnchor>
    <xdr:from>
      <xdr:col>12</xdr:col>
      <xdr:colOff>428625</xdr:colOff>
      <xdr:row>9</xdr:row>
      <xdr:rowOff>76200</xdr:rowOff>
    </xdr:from>
    <xdr:ext cx="1876425" cy="609013"/>
    <xdr:sp macro="" textlink="">
      <xdr:nvSpPr>
        <xdr:cNvPr id="8" name="CuadroTexto 11">
          <a:extLst>
            <a:ext uri="{FF2B5EF4-FFF2-40B4-BE49-F238E27FC236}">
              <a16:creationId xmlns:a16="http://schemas.microsoft.com/office/drawing/2014/main" id="{ACE97249-511D-FE4B-A381-763A0E48E8B6}"/>
            </a:ext>
            <a:ext uri="{147F2762-F138-4A5C-976F-8EAC2B608ADB}">
              <a16:predDERef xmlns:a16="http://schemas.microsoft.com/office/drawing/2014/main" pred="{D96E78C1-F07E-4338-B2C3-2451E065218C}"/>
            </a:ext>
          </a:extLst>
        </xdr:cNvPr>
        <xdr:cNvSpPr txBox="1"/>
      </xdr:nvSpPr>
      <xdr:spPr>
        <a:xfrm>
          <a:off x="10017125" y="1638300"/>
          <a:ext cx="1876425" cy="609013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AR" sz="1100"/>
            <a:t>SALIDA</a:t>
          </a:r>
          <a:r>
            <a:rPr lang="es-AR" sz="1100" baseline="0"/>
            <a:t> DE </a:t>
          </a:r>
          <a:r>
            <a:rPr lang="es-AR" sz="1100"/>
            <a:t>S</a:t>
          </a:r>
          <a:r>
            <a:rPr lang="es-AR" sz="1100" baseline="0"/>
            <a:t> total A TRAVÉS DEL VOLUMEN DE DIGERIDO ENTRE DÍA X-Y</a:t>
          </a:r>
        </a:p>
      </xdr:txBody>
    </xdr:sp>
    <xdr:clientData/>
  </xdr:oneCellAnchor>
  <xdr:oneCellAnchor>
    <xdr:from>
      <xdr:col>16</xdr:col>
      <xdr:colOff>242656</xdr:colOff>
      <xdr:row>3</xdr:row>
      <xdr:rowOff>133542</xdr:rowOff>
    </xdr:from>
    <xdr:ext cx="184731" cy="937629"/>
    <xdr:sp macro="" textlink="">
      <xdr:nvSpPr>
        <xdr:cNvPr id="10" name="Rectángulo 14">
          <a:extLst>
            <a:ext uri="{FF2B5EF4-FFF2-40B4-BE49-F238E27FC236}">
              <a16:creationId xmlns:a16="http://schemas.microsoft.com/office/drawing/2014/main" id="{1FD64F1E-3EF2-DA49-B397-8C8DD1CFDBC6}"/>
            </a:ext>
            <a:ext uri="{147F2762-F138-4A5C-976F-8EAC2B608ADB}">
              <a16:predDERef xmlns:a16="http://schemas.microsoft.com/office/drawing/2014/main" pred="{F711E7B5-58F3-47D2-B730-E78AAE3DAF3D}"/>
            </a:ext>
          </a:extLst>
        </xdr:cNvPr>
        <xdr:cNvSpPr/>
      </xdr:nvSpPr>
      <xdr:spPr>
        <a:xfrm>
          <a:off x="13380587" y="757594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5400" b="1" cap="none" spc="0">
            <a:ln w="22225">
              <a:solidFill>
                <a:schemeClr val="accent4"/>
              </a:solidFill>
              <a:prstDash val="solid"/>
            </a:ln>
            <a:solidFill>
              <a:schemeClr val="accent4">
                <a:lumMod val="40000"/>
                <a:lumOff val="60000"/>
              </a:schemeClr>
            </a:solid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oneCellAnchor>
    <xdr:from>
      <xdr:col>3</xdr:col>
      <xdr:colOff>870789</xdr:colOff>
      <xdr:row>40</xdr:row>
      <xdr:rowOff>142875</xdr:rowOff>
    </xdr:from>
    <xdr:ext cx="184731" cy="937629"/>
    <xdr:sp macro="" textlink="">
      <xdr:nvSpPr>
        <xdr:cNvPr id="13" name="Rectángulo 18">
          <a:extLst>
            <a:ext uri="{FF2B5EF4-FFF2-40B4-BE49-F238E27FC236}">
              <a16:creationId xmlns:a16="http://schemas.microsoft.com/office/drawing/2014/main" id="{9C5F9539-531C-8845-BDA9-81B595528266}"/>
            </a:ext>
            <a:ext uri="{147F2762-F138-4A5C-976F-8EAC2B608ADB}">
              <a16:predDERef xmlns:a16="http://schemas.microsoft.com/office/drawing/2014/main" pred="{1AB46FF1-B61B-4579-8F03-43EFE12B5FB5}"/>
            </a:ext>
          </a:extLst>
        </xdr:cNvPr>
        <xdr:cNvSpPr/>
      </xdr:nvSpPr>
      <xdr:spPr>
        <a:xfrm>
          <a:off x="2623389" y="8334375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5400" b="1" cap="none" spc="0"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pattFill prst="narHorz">
              <a:fgClr>
                <a:schemeClr val="accent3"/>
              </a:fgClr>
              <a:bgClr>
                <a:schemeClr val="accent3">
                  <a:lumMod val="40000"/>
                  <a:lumOff val="60000"/>
                </a:schemeClr>
              </a:bgClr>
            </a:patt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oneCellAnchor>
    <xdr:from>
      <xdr:col>4</xdr:col>
      <xdr:colOff>536768</xdr:colOff>
      <xdr:row>162</xdr:row>
      <xdr:rowOff>20301</xdr:rowOff>
    </xdr:from>
    <xdr:ext cx="4714876" cy="581024"/>
    <xdr:sp macro="" textlink="">
      <xdr:nvSpPr>
        <xdr:cNvPr id="14" name="Rectángulo 20">
          <a:extLst>
            <a:ext uri="{FF2B5EF4-FFF2-40B4-BE49-F238E27FC236}">
              <a16:creationId xmlns:a16="http://schemas.microsoft.com/office/drawing/2014/main" id="{E4BBC968-D34C-204B-840D-5249C4799F21}"/>
            </a:ext>
            <a:ext uri="{147F2762-F138-4A5C-976F-8EAC2B608ADB}">
              <a16:predDERef xmlns:a16="http://schemas.microsoft.com/office/drawing/2014/main" pred="{E0481BC6-96B2-453E-BEC5-5615B7B04879}"/>
            </a:ext>
          </a:extLst>
        </xdr:cNvPr>
        <xdr:cNvSpPr/>
      </xdr:nvSpPr>
      <xdr:spPr>
        <a:xfrm>
          <a:off x="3165668" y="35300901"/>
          <a:ext cx="4714876" cy="581024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3200" b="1" cap="none" spc="0">
              <a:ln w="12700">
                <a:solidFill>
                  <a:schemeClr val="accent3">
                    <a:lumMod val="50000"/>
                  </a:schemeClr>
                </a:solidFill>
                <a:prstDash val="solid"/>
              </a:ln>
              <a:pattFill prst="narHorz">
                <a:fgClr>
                  <a:schemeClr val="accent3"/>
                </a:fgClr>
                <a:bgClr>
                  <a:schemeClr val="accent3">
                    <a:lumMod val="40000"/>
                    <a:lumOff val="60000"/>
                  </a:schemeClr>
                </a:bgClr>
              </a:pattFill>
              <a:effectLst>
                <a:innerShdw blurRad="177800">
                  <a:schemeClr val="accent3">
                    <a:lumMod val="50000"/>
                  </a:schemeClr>
                </a:innerShdw>
              </a:effectLst>
            </a:rPr>
            <a:t> </a:t>
          </a:r>
          <a:r>
            <a:rPr lang="es-ES" sz="3200" b="1" cap="none" spc="0">
              <a:ln w="22225">
                <a:solidFill>
                  <a:srgbClr val="ED8E11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1</a:t>
          </a:r>
          <a:r>
            <a:rPr lang="es-ES" sz="32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</a:t>
          </a:r>
          <a:r>
            <a:rPr lang="es-ES" sz="32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</a:t>
          </a:r>
          <a:r>
            <a:rPr lang="es-ES" sz="3200" b="1" cap="none" spc="0">
              <a:ln w="22225">
                <a:solidFill>
                  <a:schemeClr val="bg2">
                    <a:lumMod val="50000"/>
                  </a:schemeClr>
                </a:solidFill>
                <a:prstDash val="solid"/>
              </a:ln>
              <a:solidFill>
                <a:schemeClr val="bg2">
                  <a:lumMod val="75000"/>
                </a:schemeClr>
              </a:solidFill>
              <a:effectLst/>
            </a:rPr>
            <a:t>=</a:t>
          </a:r>
          <a:r>
            <a:rPr lang="es-ES" sz="32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</a:t>
          </a:r>
          <a:r>
            <a:rPr lang="es-ES" sz="3200" b="1" cap="none" spc="0">
              <a:ln w="22225">
                <a:solidFill>
                  <a:schemeClr val="accent4"/>
                </a:solidFill>
                <a:prstDash val="solid"/>
              </a:ln>
              <a:solidFill>
                <a:schemeClr val="accent4">
                  <a:lumMod val="60000"/>
                  <a:lumOff val="40000"/>
                </a:schemeClr>
              </a:solidFill>
              <a:effectLst/>
            </a:rPr>
            <a:t>2</a:t>
          </a:r>
          <a:r>
            <a:rPr lang="es-ES" sz="32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</a:t>
          </a:r>
          <a:r>
            <a:rPr lang="es-ES" sz="3200" b="1" cap="none" spc="0">
              <a:ln w="22225">
                <a:solidFill>
                  <a:schemeClr val="bg2">
                    <a:lumMod val="50000"/>
                  </a:schemeClr>
                </a:solidFill>
                <a:prstDash val="solid"/>
              </a:ln>
              <a:solidFill>
                <a:schemeClr val="bg2">
                  <a:lumMod val="75000"/>
                </a:schemeClr>
              </a:solidFill>
              <a:effectLst/>
            </a:rPr>
            <a:t>+ </a:t>
          </a:r>
          <a:r>
            <a:rPr lang="es-ES" sz="3200" b="1" cap="none" spc="0">
              <a:ln w="22225">
                <a:solidFill>
                  <a:srgbClr val="6AC5FF"/>
                </a:solidFill>
                <a:prstDash val="solid"/>
              </a:ln>
              <a:solidFill>
                <a:srgbClr val="C1EDFF"/>
              </a:solidFill>
              <a:effectLst/>
            </a:rPr>
            <a:t>3.1</a:t>
          </a:r>
          <a:r>
            <a:rPr lang="es-ES" sz="32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</a:t>
          </a:r>
          <a:r>
            <a:rPr lang="es-ES" sz="3200" b="1" cap="none" spc="0">
              <a:ln w="22225">
                <a:solidFill>
                  <a:schemeClr val="bg2">
                    <a:lumMod val="50000"/>
                  </a:schemeClr>
                </a:solidFill>
                <a:prstDash val="solid"/>
              </a:ln>
              <a:solidFill>
                <a:schemeClr val="bg2">
                  <a:lumMod val="75000"/>
                </a:schemeClr>
              </a:solidFill>
              <a:effectLst/>
            </a:rPr>
            <a:t>+</a:t>
          </a:r>
          <a:r>
            <a:rPr lang="es-ES" sz="32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</a:t>
          </a:r>
          <a:r>
            <a:rPr lang="es-ES" sz="3200" b="1" cap="none" spc="0">
              <a:ln w="22225">
                <a:solidFill>
                  <a:srgbClr val="6AC5FF"/>
                </a:solidFill>
                <a:prstDash val="solid"/>
              </a:ln>
              <a:solidFill>
                <a:srgbClr val="C1EDFF"/>
              </a:solidFill>
              <a:effectLst/>
            </a:rPr>
            <a:t>3.2</a:t>
          </a:r>
          <a:r>
            <a:rPr lang="es-ES" sz="32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</a:t>
          </a:r>
          <a:r>
            <a:rPr lang="es-ES" sz="3200" b="1" cap="none" spc="0">
              <a:ln w="22225">
                <a:solidFill>
                  <a:schemeClr val="bg2">
                    <a:lumMod val="50000"/>
                  </a:schemeClr>
                </a:solidFill>
                <a:prstDash val="solid"/>
              </a:ln>
              <a:solidFill>
                <a:schemeClr val="bg2">
                  <a:lumMod val="75000"/>
                </a:schemeClr>
              </a:solidFill>
              <a:effectLst/>
            </a:rPr>
            <a:t>+ </a:t>
          </a:r>
          <a:r>
            <a:rPr lang="es-ES" sz="3200" b="1" cap="none" spc="0">
              <a:ln w="22225">
                <a:solidFill>
                  <a:srgbClr val="BBB92C"/>
                </a:solidFill>
                <a:prstDash val="solid"/>
              </a:ln>
              <a:solidFill>
                <a:srgbClr val="ECF4C1"/>
              </a:solidFill>
              <a:effectLst/>
            </a:rPr>
            <a:t>4.1</a:t>
          </a:r>
          <a:r>
            <a:rPr lang="es-ES" sz="32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</a:t>
          </a:r>
          <a:r>
            <a:rPr lang="es-ES" sz="3200" b="1" cap="none" spc="0">
              <a:ln w="22225">
                <a:solidFill>
                  <a:schemeClr val="bg2">
                    <a:lumMod val="50000"/>
                  </a:schemeClr>
                </a:solidFill>
                <a:prstDash val="solid"/>
              </a:ln>
              <a:solidFill>
                <a:schemeClr val="bg2">
                  <a:lumMod val="75000"/>
                </a:schemeClr>
              </a:solidFill>
              <a:effectLst/>
            </a:rPr>
            <a:t>+ </a:t>
          </a:r>
          <a:r>
            <a:rPr lang="es-ES" sz="3200" b="1" cap="none" spc="0">
              <a:ln w="22225">
                <a:solidFill>
                  <a:srgbClr val="BBB92C"/>
                </a:solidFill>
                <a:prstDash val="solid"/>
              </a:ln>
              <a:solidFill>
                <a:srgbClr val="ECF4C1"/>
              </a:solidFill>
              <a:effectLst/>
            </a:rPr>
            <a:t>4.2</a:t>
          </a:r>
          <a:endParaRPr lang="es-ES" sz="3200" b="1" cap="none" spc="0">
            <a:ln w="22225">
              <a:solidFill>
                <a:srgbClr val="BBB92C"/>
              </a:solidFill>
              <a:prstDash val="solid"/>
            </a:ln>
            <a:solidFill>
              <a:srgbClr val="ECF4C1"/>
            </a:solid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oneCellAnchor>
    <xdr:from>
      <xdr:col>1</xdr:col>
      <xdr:colOff>661745</xdr:colOff>
      <xdr:row>101</xdr:row>
      <xdr:rowOff>24204</xdr:rowOff>
    </xdr:from>
    <xdr:ext cx="184731" cy="937629"/>
    <xdr:sp macro="" textlink="">
      <xdr:nvSpPr>
        <xdr:cNvPr id="15" name="Rectángulo 21">
          <a:extLst>
            <a:ext uri="{FF2B5EF4-FFF2-40B4-BE49-F238E27FC236}">
              <a16:creationId xmlns:a16="http://schemas.microsoft.com/office/drawing/2014/main" id="{EAF96269-EED7-5545-BCCC-C485DFA64065}"/>
            </a:ext>
            <a:ext uri="{147F2762-F138-4A5C-976F-8EAC2B608ADB}">
              <a16:predDERef xmlns:a16="http://schemas.microsoft.com/office/drawing/2014/main" pred="{2175500D-61EA-4417-820C-E8F06DB15709}"/>
            </a:ext>
          </a:extLst>
        </xdr:cNvPr>
        <xdr:cNvSpPr/>
      </xdr:nvSpPr>
      <xdr:spPr>
        <a:xfrm>
          <a:off x="661745" y="22592104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5400" b="1" cap="none" spc="0"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pattFill prst="narHorz">
              <a:fgClr>
                <a:schemeClr val="accent3"/>
              </a:fgClr>
              <a:bgClr>
                <a:schemeClr val="accent3">
                  <a:lumMod val="40000"/>
                  <a:lumOff val="60000"/>
                </a:schemeClr>
              </a:bgClr>
            </a:patt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oneCellAnchor>
    <xdr:from>
      <xdr:col>3</xdr:col>
      <xdr:colOff>201432</xdr:colOff>
      <xdr:row>11</xdr:row>
      <xdr:rowOff>49197</xdr:rowOff>
    </xdr:from>
    <xdr:ext cx="582155" cy="937629"/>
    <xdr:sp macro="" textlink="">
      <xdr:nvSpPr>
        <xdr:cNvPr id="16" name="Rectángulo 13">
          <a:extLst>
            <a:ext uri="{FF2B5EF4-FFF2-40B4-BE49-F238E27FC236}">
              <a16:creationId xmlns:a16="http://schemas.microsoft.com/office/drawing/2014/main" id="{4B1759D0-1765-5141-BB59-90D09833D902}"/>
            </a:ext>
            <a:ext uri="{147F2762-F138-4A5C-976F-8EAC2B608ADB}">
              <a16:predDERef xmlns:a16="http://schemas.microsoft.com/office/drawing/2014/main" pred="{0750452A-D474-4CF9-A8FA-43BE142D1DD1}"/>
            </a:ext>
          </a:extLst>
        </xdr:cNvPr>
        <xdr:cNvSpPr/>
      </xdr:nvSpPr>
      <xdr:spPr>
        <a:xfrm>
          <a:off x="2673879" y="2048771"/>
          <a:ext cx="582155" cy="93762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5400" b="1" cap="none" spc="0">
              <a:ln w="22225">
                <a:solidFill>
                  <a:srgbClr val="ED8E11"/>
                </a:solidFill>
                <a:prstDash val="solid"/>
              </a:ln>
              <a:solidFill>
                <a:srgbClr val="F8CBAD"/>
              </a:solidFill>
              <a:effectLst/>
            </a:rPr>
            <a:t>1</a:t>
          </a:r>
          <a:endParaRPr lang="es-ES" sz="5400" b="1" cap="none" spc="0">
            <a:ln w="22225">
              <a:solidFill>
                <a:srgbClr val="ED8E11"/>
              </a:solidFill>
              <a:prstDash val="solid"/>
            </a:ln>
            <a:solidFill>
              <a:srgbClr val="F8CBAD"/>
            </a:solid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oneCellAnchor>
    <xdr:from>
      <xdr:col>3</xdr:col>
      <xdr:colOff>645194</xdr:colOff>
      <xdr:row>40</xdr:row>
      <xdr:rowOff>67422</xdr:rowOff>
    </xdr:from>
    <xdr:ext cx="535659" cy="937629"/>
    <xdr:sp macro="" textlink="">
      <xdr:nvSpPr>
        <xdr:cNvPr id="17" name="Rectángulo 14">
          <a:extLst>
            <a:ext uri="{FF2B5EF4-FFF2-40B4-BE49-F238E27FC236}">
              <a16:creationId xmlns:a16="http://schemas.microsoft.com/office/drawing/2014/main" id="{07C290A2-2DC8-9046-9A30-BE8738C0DC3F}"/>
            </a:ext>
            <a:ext uri="{147F2762-F138-4A5C-976F-8EAC2B608ADB}">
              <a16:predDERef xmlns:a16="http://schemas.microsoft.com/office/drawing/2014/main" pred="{1457817D-75BB-4EEC-83ED-2F8AA2597F02}"/>
            </a:ext>
          </a:extLst>
        </xdr:cNvPr>
        <xdr:cNvSpPr/>
      </xdr:nvSpPr>
      <xdr:spPr>
        <a:xfrm>
          <a:off x="3117641" y="7592848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22225">
                <a:solidFill>
                  <a:schemeClr val="accent4"/>
                </a:solidFill>
                <a:prstDash val="solid"/>
              </a:ln>
              <a:solidFill>
                <a:schemeClr val="accent4">
                  <a:lumMod val="40000"/>
                  <a:lumOff val="60000"/>
                </a:schemeClr>
              </a:solidFill>
              <a:effectLst/>
            </a:rPr>
            <a:t>2</a:t>
          </a:r>
          <a:endParaRPr lang="es-ES" sz="5400" b="1" cap="none" spc="0">
            <a:ln w="22225">
              <a:solidFill>
                <a:schemeClr val="accent4"/>
              </a:solidFill>
              <a:prstDash val="solid"/>
            </a:ln>
            <a:solidFill>
              <a:schemeClr val="accent4">
                <a:lumMod val="40000"/>
                <a:lumOff val="60000"/>
              </a:schemeClr>
            </a:solid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oneCellAnchor>
    <xdr:from>
      <xdr:col>1</xdr:col>
      <xdr:colOff>536275</xdr:colOff>
      <xdr:row>96</xdr:row>
      <xdr:rowOff>36679</xdr:rowOff>
    </xdr:from>
    <xdr:ext cx="535659" cy="937629"/>
    <xdr:sp macro="" textlink="">
      <xdr:nvSpPr>
        <xdr:cNvPr id="18" name="Rectángulo 15">
          <a:extLst>
            <a:ext uri="{FF2B5EF4-FFF2-40B4-BE49-F238E27FC236}">
              <a16:creationId xmlns:a16="http://schemas.microsoft.com/office/drawing/2014/main" id="{0A43A4ED-5576-4448-9F0D-BC57E5BC14F1}"/>
            </a:ext>
            <a:ext uri="{147F2762-F138-4A5C-976F-8EAC2B608ADB}">
              <a16:predDERef xmlns:a16="http://schemas.microsoft.com/office/drawing/2014/main" pred="{AC6874D9-FC1C-4074-B5BB-2EC307421023}"/>
            </a:ext>
          </a:extLst>
        </xdr:cNvPr>
        <xdr:cNvSpPr/>
      </xdr:nvSpPr>
      <xdr:spPr>
        <a:xfrm>
          <a:off x="1360424" y="18221998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22225">
                <a:solidFill>
                  <a:srgbClr val="6AC5FF"/>
                </a:solidFill>
                <a:prstDash val="solid"/>
              </a:ln>
              <a:solidFill>
                <a:srgbClr val="C1EDFF"/>
              </a:solidFill>
              <a:effectLst/>
            </a:rPr>
            <a:t>3</a:t>
          </a:r>
        </a:p>
      </xdr:txBody>
    </xdr:sp>
    <xdr:clientData/>
  </xdr:oneCellAnchor>
  <xdr:oneCellAnchor>
    <xdr:from>
      <xdr:col>1</xdr:col>
      <xdr:colOff>147060</xdr:colOff>
      <xdr:row>130</xdr:row>
      <xdr:rowOff>41305</xdr:rowOff>
    </xdr:from>
    <xdr:ext cx="535659" cy="937629"/>
    <xdr:sp macro="" textlink="">
      <xdr:nvSpPr>
        <xdr:cNvPr id="19" name="Rectángulo 16">
          <a:extLst>
            <a:ext uri="{FF2B5EF4-FFF2-40B4-BE49-F238E27FC236}">
              <a16:creationId xmlns:a16="http://schemas.microsoft.com/office/drawing/2014/main" id="{BAA56DD8-5EEB-F449-BA76-603B7BB19EAC}"/>
            </a:ext>
            <a:ext uri="{147F2762-F138-4A5C-976F-8EAC2B608ADB}">
              <a16:predDERef xmlns:a16="http://schemas.microsoft.com/office/drawing/2014/main" pred="{D798EBB1-9D3A-48EE-B585-ABDC22931635}"/>
            </a:ext>
          </a:extLst>
        </xdr:cNvPr>
        <xdr:cNvSpPr/>
      </xdr:nvSpPr>
      <xdr:spPr>
        <a:xfrm>
          <a:off x="971209" y="25022475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22225">
                <a:solidFill>
                  <a:srgbClr val="BBB92C"/>
                </a:solidFill>
                <a:prstDash val="solid"/>
              </a:ln>
              <a:solidFill>
                <a:srgbClr val="ECF4C1"/>
              </a:solidFill>
              <a:effectLst/>
            </a:rPr>
            <a:t>4</a:t>
          </a:r>
        </a:p>
      </xdr:txBody>
    </xdr:sp>
    <xdr:clientData/>
  </xdr:oneCellAnchor>
  <xdr:oneCellAnchor>
    <xdr:from>
      <xdr:col>1</xdr:col>
      <xdr:colOff>661745</xdr:colOff>
      <xdr:row>135</xdr:row>
      <xdr:rowOff>24204</xdr:rowOff>
    </xdr:from>
    <xdr:ext cx="184731" cy="937629"/>
    <xdr:sp macro="" textlink="">
      <xdr:nvSpPr>
        <xdr:cNvPr id="20" name="Rectángulo 21">
          <a:extLst>
            <a:ext uri="{FF2B5EF4-FFF2-40B4-BE49-F238E27FC236}">
              <a16:creationId xmlns:a16="http://schemas.microsoft.com/office/drawing/2014/main" id="{C0E54FED-CCB1-8C4C-8E41-7AAD495ACDAA}"/>
            </a:ext>
            <a:ext uri="{147F2762-F138-4A5C-976F-8EAC2B608ADB}">
              <a16:predDERef xmlns:a16="http://schemas.microsoft.com/office/drawing/2014/main" pred="{2175500D-61EA-4417-820C-E8F06DB15709}"/>
            </a:ext>
          </a:extLst>
        </xdr:cNvPr>
        <xdr:cNvSpPr/>
      </xdr:nvSpPr>
      <xdr:spPr>
        <a:xfrm>
          <a:off x="1487245" y="22427004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5400" b="1" cap="none" spc="0"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pattFill prst="narHorz">
              <a:fgClr>
                <a:schemeClr val="accent3"/>
              </a:fgClr>
              <a:bgClr>
                <a:schemeClr val="accent3">
                  <a:lumMod val="40000"/>
                  <a:lumOff val="60000"/>
                </a:schemeClr>
              </a:bgClr>
            </a:patt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twoCellAnchor>
    <xdr:from>
      <xdr:col>3</xdr:col>
      <xdr:colOff>36651</xdr:colOff>
      <xdr:row>207</xdr:row>
      <xdr:rowOff>954</xdr:rowOff>
    </xdr:from>
    <xdr:to>
      <xdr:col>13</xdr:col>
      <xdr:colOff>28191</xdr:colOff>
      <xdr:row>236</xdr:row>
      <xdr:rowOff>44793</xdr:rowOff>
    </xdr:to>
    <xdr:graphicFrame macro="">
      <xdr:nvGraphicFramePr>
        <xdr:cNvPr id="21" name="Gráfico 29">
          <a:extLst>
            <a:ext uri="{FF2B5EF4-FFF2-40B4-BE49-F238E27FC236}">
              <a16:creationId xmlns:a16="http://schemas.microsoft.com/office/drawing/2014/main" id="{FEA89E83-0DD5-D844-9861-F09DC5833302}"/>
            </a:ext>
            <a:ext uri="{147F2762-F138-4A5C-976F-8EAC2B608ADB}">
              <a16:predDERef xmlns:a16="http://schemas.microsoft.com/office/drawing/2014/main" pred="{770A08CC-9902-4509-9B16-0C33B3B10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16933</xdr:colOff>
      <xdr:row>176</xdr:row>
      <xdr:rowOff>169333</xdr:rowOff>
    </xdr:from>
    <xdr:to>
      <xdr:col>13</xdr:col>
      <xdr:colOff>18965</xdr:colOff>
      <xdr:row>206</xdr:row>
      <xdr:rowOff>26904</xdr:rowOff>
    </xdr:to>
    <xdr:graphicFrame macro="">
      <xdr:nvGraphicFramePr>
        <xdr:cNvPr id="22" name="Gráfico 29">
          <a:extLst>
            <a:ext uri="{FF2B5EF4-FFF2-40B4-BE49-F238E27FC236}">
              <a16:creationId xmlns:a16="http://schemas.microsoft.com/office/drawing/2014/main" id="{D8C44203-9DAD-324B-BBE9-E1E5E4461305}"/>
            </a:ext>
            <a:ext uri="{147F2762-F138-4A5C-976F-8EAC2B608ADB}">
              <a16:predDERef xmlns:a16="http://schemas.microsoft.com/office/drawing/2014/main" pred="{770A08CC-9902-4509-9B16-0C33B3B10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254000</xdr:colOff>
      <xdr:row>174</xdr:row>
      <xdr:rowOff>197812</xdr:rowOff>
    </xdr:from>
    <xdr:to>
      <xdr:col>23</xdr:col>
      <xdr:colOff>464917</xdr:colOff>
      <xdr:row>199</xdr:row>
      <xdr:rowOff>158488</xdr:rowOff>
    </xdr:to>
    <xdr:graphicFrame macro="">
      <xdr:nvGraphicFramePr>
        <xdr:cNvPr id="23" name="Gráfico 26">
          <a:extLst>
            <a:ext uri="{FF2B5EF4-FFF2-40B4-BE49-F238E27FC236}">
              <a16:creationId xmlns:a16="http://schemas.microsoft.com/office/drawing/2014/main" id="{C0F629ED-CCAA-7D49-A5AD-2EF1D98506BA}"/>
            </a:ext>
            <a:ext uri="{147F2762-F138-4A5C-976F-8EAC2B608ADB}">
              <a16:predDERef xmlns:a16="http://schemas.microsoft.com/office/drawing/2014/main" pred="{7E614B5B-41E3-4A6E-B6A0-5E6B236F8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371475</xdr:colOff>
      <xdr:row>3</xdr:row>
      <xdr:rowOff>142875</xdr:rowOff>
    </xdr:from>
    <xdr:to>
      <xdr:col>13</xdr:col>
      <xdr:colOff>114300</xdr:colOff>
      <xdr:row>8</xdr:row>
      <xdr:rowOff>76200</xdr:rowOff>
    </xdr:to>
    <xdr:sp macro="" textlink="">
      <xdr:nvSpPr>
        <xdr:cNvPr id="24" name="Rectángulo: esquinas redondeadas 5">
          <a:extLst>
            <a:ext uri="{FF2B5EF4-FFF2-40B4-BE49-F238E27FC236}">
              <a16:creationId xmlns:a16="http://schemas.microsoft.com/office/drawing/2014/main" id="{B19C0F2F-BD73-A745-8C2D-4A884558FADD}"/>
            </a:ext>
          </a:extLst>
        </xdr:cNvPr>
        <xdr:cNvSpPr/>
      </xdr:nvSpPr>
      <xdr:spPr>
        <a:xfrm>
          <a:off x="8982075" y="752475"/>
          <a:ext cx="2219325" cy="974725"/>
        </a:xfrm>
        <a:prstGeom prst="roundRect">
          <a:avLst/>
        </a:prstGeom>
        <a:solidFill>
          <a:srgbClr val="6AC5FF"/>
        </a:solidFill>
        <a:ln>
          <a:solidFill>
            <a:srgbClr val="7FCAF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AR" sz="1100"/>
            <a:t>VARIACIÓN DE S</a:t>
          </a:r>
          <a:r>
            <a:rPr lang="es-AR" sz="1100" baseline="0"/>
            <a:t> TOTAL EN TODO EL VOLUMEN DEL REACTOR ENTRE EL DÍA X-Y</a:t>
          </a:r>
        </a:p>
      </xdr:txBody>
    </xdr:sp>
    <xdr:clientData/>
  </xdr:twoCellAnchor>
  <xdr:twoCellAnchor>
    <xdr:from>
      <xdr:col>9</xdr:col>
      <xdr:colOff>104656</xdr:colOff>
      <xdr:row>4</xdr:row>
      <xdr:rowOff>142779</xdr:rowOff>
    </xdr:from>
    <xdr:to>
      <xdr:col>10</xdr:col>
      <xdr:colOff>276106</xdr:colOff>
      <xdr:row>6</xdr:row>
      <xdr:rowOff>181380</xdr:rowOff>
    </xdr:to>
    <xdr:sp macro="" textlink="">
      <xdr:nvSpPr>
        <xdr:cNvPr id="25" name="Flecha: a la derecha 6">
          <a:extLst>
            <a:ext uri="{FF2B5EF4-FFF2-40B4-BE49-F238E27FC236}">
              <a16:creationId xmlns:a16="http://schemas.microsoft.com/office/drawing/2014/main" id="{6D53B59C-AB31-5941-8116-B98E4FBE96EB}"/>
            </a:ext>
            <a:ext uri="{147F2762-F138-4A5C-976F-8EAC2B608ADB}">
              <a16:predDERef xmlns:a16="http://schemas.microsoft.com/office/drawing/2014/main" pred="{9EF9FC4A-3268-4721-8ED7-41143C8D8EDB}"/>
            </a:ext>
          </a:extLst>
        </xdr:cNvPr>
        <xdr:cNvSpPr/>
      </xdr:nvSpPr>
      <xdr:spPr>
        <a:xfrm>
          <a:off x="7889756" y="955579"/>
          <a:ext cx="996950" cy="457701"/>
        </a:xfrm>
        <a:prstGeom prst="right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13</xdr:col>
      <xdr:colOff>180831</xdr:colOff>
      <xdr:row>4</xdr:row>
      <xdr:rowOff>162212</xdr:rowOff>
    </xdr:from>
    <xdr:to>
      <xdr:col>14</xdr:col>
      <xdr:colOff>409431</xdr:colOff>
      <xdr:row>6</xdr:row>
      <xdr:rowOff>200335</xdr:rowOff>
    </xdr:to>
    <xdr:sp macro="" textlink="">
      <xdr:nvSpPr>
        <xdr:cNvPr id="26" name="Flecha: a la derecha 7">
          <a:extLst>
            <a:ext uri="{FF2B5EF4-FFF2-40B4-BE49-F238E27FC236}">
              <a16:creationId xmlns:a16="http://schemas.microsoft.com/office/drawing/2014/main" id="{B39AB9DE-17C8-9648-91CE-364C369BC8F1}"/>
            </a:ext>
            <a:ext uri="{147F2762-F138-4A5C-976F-8EAC2B608ADB}">
              <a16:predDERef xmlns:a16="http://schemas.microsoft.com/office/drawing/2014/main" pred="{8FB725D7-D53C-42B0-82A4-D883D96C1FBF}"/>
            </a:ext>
          </a:extLst>
        </xdr:cNvPr>
        <xdr:cNvSpPr/>
      </xdr:nvSpPr>
      <xdr:spPr>
        <a:xfrm>
          <a:off x="11267931" y="975012"/>
          <a:ext cx="1054100" cy="457223"/>
        </a:xfrm>
        <a:prstGeom prst="right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11</xdr:col>
      <xdr:colOff>581025</xdr:colOff>
      <xdr:row>8</xdr:row>
      <xdr:rowOff>123825</xdr:rowOff>
    </xdr:from>
    <xdr:to>
      <xdr:col>12</xdr:col>
      <xdr:colOff>381000</xdr:colOff>
      <xdr:row>11</xdr:row>
      <xdr:rowOff>114300</xdr:rowOff>
    </xdr:to>
    <xdr:sp macro="" textlink="">
      <xdr:nvSpPr>
        <xdr:cNvPr id="27" name="Flecha: doblada hacia arriba 8">
          <a:extLst>
            <a:ext uri="{FF2B5EF4-FFF2-40B4-BE49-F238E27FC236}">
              <a16:creationId xmlns:a16="http://schemas.microsoft.com/office/drawing/2014/main" id="{39DA821A-41E8-9645-BEB5-DDB86FBAC68F}"/>
            </a:ext>
            <a:ext uri="{147F2762-F138-4A5C-976F-8EAC2B608ADB}">
              <a16:predDERef xmlns:a16="http://schemas.microsoft.com/office/drawing/2014/main" pred="{9343B05F-AD85-4D0A-BDDD-3F52AC6F33C8}"/>
            </a:ext>
          </a:extLst>
        </xdr:cNvPr>
        <xdr:cNvSpPr/>
      </xdr:nvSpPr>
      <xdr:spPr>
        <a:xfrm rot="5400000">
          <a:off x="10010775" y="1781175"/>
          <a:ext cx="638175" cy="625475"/>
        </a:xfrm>
        <a:prstGeom prst="bentUp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oneCellAnchor>
    <xdr:from>
      <xdr:col>7</xdr:col>
      <xdr:colOff>505279</xdr:colOff>
      <xdr:row>3</xdr:row>
      <xdr:rowOff>162258</xdr:rowOff>
    </xdr:from>
    <xdr:ext cx="1285875" cy="781240"/>
    <xdr:sp macro="" textlink="">
      <xdr:nvSpPr>
        <xdr:cNvPr id="28" name="CuadroTexto 9">
          <a:extLst>
            <a:ext uri="{FF2B5EF4-FFF2-40B4-BE49-F238E27FC236}">
              <a16:creationId xmlns:a16="http://schemas.microsoft.com/office/drawing/2014/main" id="{1200AEB9-DA11-894E-980C-A442E8A4D6AD}"/>
            </a:ext>
            <a:ext uri="{147F2762-F138-4A5C-976F-8EAC2B608ADB}">
              <a16:predDERef xmlns:a16="http://schemas.microsoft.com/office/drawing/2014/main" pred="{340D4A9D-0EC6-4791-AF1C-4AF611921F7D}"/>
            </a:ext>
          </a:extLst>
        </xdr:cNvPr>
        <xdr:cNvSpPr txBox="1"/>
      </xdr:nvSpPr>
      <xdr:spPr>
        <a:xfrm>
          <a:off x="6639379" y="771858"/>
          <a:ext cx="1285875" cy="781240"/>
        </a:xfrm>
        <a:prstGeom prst="rect">
          <a:avLst/>
        </a:prstGeom>
        <a:solidFill>
          <a:srgbClr val="ED8E11"/>
        </a:solidFill>
        <a:ln>
          <a:solidFill>
            <a:srgbClr val="ED8E1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AR" sz="1100">
              <a:solidFill>
                <a:schemeClr val="bg1"/>
              </a:solidFill>
            </a:rPr>
            <a:t>APORTE DE S</a:t>
          </a:r>
          <a:r>
            <a:rPr lang="es-AR" sz="1100" baseline="0">
              <a:solidFill>
                <a:schemeClr val="bg1"/>
              </a:solidFill>
            </a:rPr>
            <a:t> total A TRAVÉS DE SUSTRATOS ENTRE DÍA X-Y </a:t>
          </a:r>
        </a:p>
      </xdr:txBody>
    </xdr:sp>
    <xdr:clientData/>
  </xdr:oneCellAnchor>
  <xdr:oneCellAnchor>
    <xdr:from>
      <xdr:col>14</xdr:col>
      <xdr:colOff>476250</xdr:colOff>
      <xdr:row>4</xdr:row>
      <xdr:rowOff>57150</xdr:rowOff>
    </xdr:from>
    <xdr:ext cx="1285875" cy="781240"/>
    <xdr:sp macro="" textlink="">
      <xdr:nvSpPr>
        <xdr:cNvPr id="29" name="CuadroTexto 10">
          <a:extLst>
            <a:ext uri="{FF2B5EF4-FFF2-40B4-BE49-F238E27FC236}">
              <a16:creationId xmlns:a16="http://schemas.microsoft.com/office/drawing/2014/main" id="{F9488A6E-212F-D145-A996-0FC9878E1FF3}"/>
            </a:ext>
            <a:ext uri="{147F2762-F138-4A5C-976F-8EAC2B608ADB}">
              <a16:predDERef xmlns:a16="http://schemas.microsoft.com/office/drawing/2014/main" pred="{3308EFC8-6B2F-4FA6-8C65-EC5AA83A8F20}"/>
            </a:ext>
          </a:extLst>
        </xdr:cNvPr>
        <xdr:cNvSpPr txBox="1"/>
      </xdr:nvSpPr>
      <xdr:spPr>
        <a:xfrm>
          <a:off x="12388850" y="869950"/>
          <a:ext cx="1285875" cy="781240"/>
        </a:xfrm>
        <a:prstGeom prst="rect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AR" sz="1100"/>
            <a:t>SALIDA</a:t>
          </a:r>
          <a:r>
            <a:rPr lang="es-AR" sz="1100" baseline="0"/>
            <a:t> DE </a:t>
          </a:r>
          <a:r>
            <a:rPr lang="es-AR" sz="1100"/>
            <a:t>S</a:t>
          </a:r>
          <a:r>
            <a:rPr lang="es-AR" sz="1100" baseline="0"/>
            <a:t> total A TRAVÉS DEL GAS COMO H2S ENTRE DÍA X-Y</a:t>
          </a:r>
        </a:p>
      </xdr:txBody>
    </xdr:sp>
    <xdr:clientData/>
  </xdr:oneCellAnchor>
  <xdr:oneCellAnchor>
    <xdr:from>
      <xdr:col>12</xdr:col>
      <xdr:colOff>428625</xdr:colOff>
      <xdr:row>9</xdr:row>
      <xdr:rowOff>76200</xdr:rowOff>
    </xdr:from>
    <xdr:ext cx="1876425" cy="609013"/>
    <xdr:sp macro="" textlink="">
      <xdr:nvSpPr>
        <xdr:cNvPr id="30" name="CuadroTexto 11">
          <a:extLst>
            <a:ext uri="{FF2B5EF4-FFF2-40B4-BE49-F238E27FC236}">
              <a16:creationId xmlns:a16="http://schemas.microsoft.com/office/drawing/2014/main" id="{24C972C9-1BF2-D145-A2A4-D56A1493E300}"/>
            </a:ext>
            <a:ext uri="{147F2762-F138-4A5C-976F-8EAC2B608ADB}">
              <a16:predDERef xmlns:a16="http://schemas.microsoft.com/office/drawing/2014/main" pred="{D96E78C1-F07E-4338-B2C3-2451E065218C}"/>
            </a:ext>
          </a:extLst>
        </xdr:cNvPr>
        <xdr:cNvSpPr txBox="1"/>
      </xdr:nvSpPr>
      <xdr:spPr>
        <a:xfrm>
          <a:off x="10690225" y="1943100"/>
          <a:ext cx="1876425" cy="609013"/>
        </a:xfrm>
        <a:prstGeom prst="rect">
          <a:avLst/>
        </a:prstGeom>
        <a:solidFill>
          <a:srgbClr val="BBB92C"/>
        </a:solidFill>
        <a:ln>
          <a:solidFill>
            <a:srgbClr val="BBB92C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AR" sz="1100"/>
            <a:t>SALIDA</a:t>
          </a:r>
          <a:r>
            <a:rPr lang="es-AR" sz="1100" baseline="0"/>
            <a:t> DE </a:t>
          </a:r>
          <a:r>
            <a:rPr lang="es-AR" sz="1100"/>
            <a:t>S</a:t>
          </a:r>
          <a:r>
            <a:rPr lang="es-AR" sz="1100" baseline="0"/>
            <a:t> total A TRAVÉS DEL VOLUMEN DE DIGERIDO ENTRE DÍA X-Y</a:t>
          </a:r>
        </a:p>
      </xdr:txBody>
    </xdr:sp>
    <xdr:clientData/>
  </xdr:oneCellAnchor>
  <xdr:oneCellAnchor>
    <xdr:from>
      <xdr:col>8</xdr:col>
      <xdr:colOff>13377</xdr:colOff>
      <xdr:row>7</xdr:row>
      <xdr:rowOff>81064</xdr:rowOff>
    </xdr:from>
    <xdr:ext cx="582155" cy="937629"/>
    <xdr:sp macro="" textlink="">
      <xdr:nvSpPr>
        <xdr:cNvPr id="31" name="Rectángulo 13">
          <a:extLst>
            <a:ext uri="{FF2B5EF4-FFF2-40B4-BE49-F238E27FC236}">
              <a16:creationId xmlns:a16="http://schemas.microsoft.com/office/drawing/2014/main" id="{CB44EC9B-7C5E-3842-B398-FCED335300C3}"/>
            </a:ext>
            <a:ext uri="{147F2762-F138-4A5C-976F-8EAC2B608ADB}">
              <a16:predDERef xmlns:a16="http://schemas.microsoft.com/office/drawing/2014/main" pred="{A86F69D5-DF74-4391-8914-0490E9AFAA5E}"/>
            </a:ext>
          </a:extLst>
        </xdr:cNvPr>
        <xdr:cNvSpPr/>
      </xdr:nvSpPr>
      <xdr:spPr>
        <a:xfrm>
          <a:off x="6606568" y="1337553"/>
          <a:ext cx="582155" cy="937629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rgbClr val="FFC670"/>
              </a:solidFill>
              <a:effectLst/>
            </a:rPr>
            <a:t>1</a:t>
          </a:r>
          <a:endParaRPr lang="es-ES" sz="5400" b="1" cap="none" spc="0">
            <a:ln w="22225">
              <a:solidFill>
                <a:schemeClr val="accent2"/>
              </a:solidFill>
              <a:prstDash val="solid"/>
            </a:ln>
            <a:solidFill>
              <a:srgbClr val="FFC670"/>
            </a:solid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oneCellAnchor>
    <xdr:from>
      <xdr:col>16</xdr:col>
      <xdr:colOff>137486</xdr:colOff>
      <xdr:row>3</xdr:row>
      <xdr:rowOff>161053</xdr:rowOff>
    </xdr:from>
    <xdr:ext cx="535659" cy="937629"/>
    <xdr:sp macro="" textlink="">
      <xdr:nvSpPr>
        <xdr:cNvPr id="32" name="Rectángulo 14">
          <a:extLst>
            <a:ext uri="{FF2B5EF4-FFF2-40B4-BE49-F238E27FC236}">
              <a16:creationId xmlns:a16="http://schemas.microsoft.com/office/drawing/2014/main" id="{81CA7E18-0039-2F45-880B-A484F0D63EAD}"/>
            </a:ext>
            <a:ext uri="{147F2762-F138-4A5C-976F-8EAC2B608ADB}">
              <a16:predDERef xmlns:a16="http://schemas.microsoft.com/office/drawing/2014/main" pred="{F711E7B5-58F3-47D2-B730-E78AAE3DAF3D}"/>
            </a:ext>
          </a:extLst>
        </xdr:cNvPr>
        <xdr:cNvSpPr/>
      </xdr:nvSpPr>
      <xdr:spPr>
        <a:xfrm>
          <a:off x="13275417" y="785105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22225">
                <a:solidFill>
                  <a:schemeClr val="accent4"/>
                </a:solidFill>
                <a:prstDash val="solid"/>
              </a:ln>
              <a:solidFill>
                <a:schemeClr val="accent4">
                  <a:lumMod val="40000"/>
                  <a:lumOff val="60000"/>
                </a:schemeClr>
              </a:solidFill>
              <a:effectLst/>
            </a:rPr>
            <a:t>2</a:t>
          </a:r>
          <a:endParaRPr lang="es-ES" sz="5400" b="1" cap="none" spc="0">
            <a:ln w="22225">
              <a:solidFill>
                <a:schemeClr val="accent4"/>
              </a:solidFill>
              <a:prstDash val="solid"/>
            </a:ln>
            <a:solidFill>
              <a:schemeClr val="accent4">
                <a:lumMod val="40000"/>
                <a:lumOff val="60000"/>
              </a:schemeClr>
            </a:solid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oneCellAnchor>
    <xdr:from>
      <xdr:col>10</xdr:col>
      <xdr:colOff>92737</xdr:colOff>
      <xdr:row>7</xdr:row>
      <xdr:rowOff>103741</xdr:rowOff>
    </xdr:from>
    <xdr:ext cx="535659" cy="937629"/>
    <xdr:sp macro="" textlink="">
      <xdr:nvSpPr>
        <xdr:cNvPr id="33" name="Rectángulo 15">
          <a:extLst>
            <a:ext uri="{FF2B5EF4-FFF2-40B4-BE49-F238E27FC236}">
              <a16:creationId xmlns:a16="http://schemas.microsoft.com/office/drawing/2014/main" id="{D20850E7-09C5-AB48-8E4E-0982A7977EDB}"/>
            </a:ext>
            <a:ext uri="{147F2762-F138-4A5C-976F-8EAC2B608ADB}">
              <a16:predDERef xmlns:a16="http://schemas.microsoft.com/office/drawing/2014/main" pred="{696F7FD6-B792-4213-8DD7-BEC9A513C127}"/>
            </a:ext>
          </a:extLst>
        </xdr:cNvPr>
        <xdr:cNvSpPr/>
      </xdr:nvSpPr>
      <xdr:spPr>
        <a:xfrm>
          <a:off x="8303944" y="1581758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22225">
                <a:solidFill>
                  <a:srgbClr val="6AC5FF"/>
                </a:solidFill>
                <a:prstDash val="solid"/>
              </a:ln>
              <a:solidFill>
                <a:srgbClr val="C1EDFF"/>
              </a:solidFill>
              <a:effectLst/>
            </a:rPr>
            <a:t>3</a:t>
          </a:r>
        </a:p>
      </xdr:txBody>
    </xdr:sp>
    <xdr:clientData/>
  </xdr:oneCellAnchor>
  <xdr:oneCellAnchor>
    <xdr:from>
      <xdr:col>14</xdr:col>
      <xdr:colOff>702972</xdr:colOff>
      <xdr:row>8</xdr:row>
      <xdr:rowOff>108933</xdr:rowOff>
    </xdr:from>
    <xdr:ext cx="535659" cy="937629"/>
    <xdr:sp macro="" textlink="">
      <xdr:nvSpPr>
        <xdr:cNvPr id="34" name="Rectángulo 16">
          <a:extLst>
            <a:ext uri="{FF2B5EF4-FFF2-40B4-BE49-F238E27FC236}">
              <a16:creationId xmlns:a16="http://schemas.microsoft.com/office/drawing/2014/main" id="{A84B05B1-8840-AD4D-915C-03A404895E6E}"/>
            </a:ext>
            <a:ext uri="{147F2762-F138-4A5C-976F-8EAC2B608ADB}">
              <a16:predDERef xmlns:a16="http://schemas.microsoft.com/office/drawing/2014/main" pred="{F7CE77AA-99B5-40AB-9A50-620F055372FE}"/>
            </a:ext>
          </a:extLst>
        </xdr:cNvPr>
        <xdr:cNvSpPr/>
      </xdr:nvSpPr>
      <xdr:spPr>
        <a:xfrm>
          <a:off x="12198662" y="1794967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22225">
                <a:solidFill>
                  <a:srgbClr val="BBB92C"/>
                </a:solidFill>
                <a:prstDash val="solid"/>
              </a:ln>
              <a:solidFill>
                <a:srgbClr val="ECF4C1"/>
              </a:solidFill>
              <a:effectLst/>
            </a:rPr>
            <a:t>4</a:t>
          </a:r>
        </a:p>
      </xdr:txBody>
    </xdr:sp>
    <xdr:clientData/>
  </xdr:one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0.13938</cdr:x>
      <cdr:y>0.23162</cdr:y>
    </cdr:from>
    <cdr:to>
      <cdr:x>0.27474</cdr:x>
      <cdr:y>0.32549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2DC181C2-CE7C-1651-E639-78C0F3F7D386}"/>
            </a:ext>
          </a:extLst>
        </cdr:cNvPr>
        <cdr:cNvSpPr txBox="1"/>
      </cdr:nvSpPr>
      <cdr:spPr>
        <a:xfrm xmlns:a="http://schemas.openxmlformats.org/drawingml/2006/main">
          <a:off x="1188990" y="1306826"/>
          <a:ext cx="1154727" cy="5296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MX" sz="1200" b="1">
              <a:solidFill>
                <a:schemeClr val="accent5"/>
              </a:solidFill>
              <a:latin typeface=""/>
            </a:rPr>
            <a:t>DIG</a:t>
          </a:r>
          <a:r>
            <a:rPr lang="es-MX" sz="1200" b="1" baseline="0">
              <a:solidFill>
                <a:schemeClr val="accent5"/>
              </a:solidFill>
              <a:latin typeface=""/>
            </a:rPr>
            <a:t> ACUM Stotal de S= </a:t>
          </a:r>
          <a:endParaRPr lang="es-MX" sz="1200" b="1">
            <a:solidFill>
              <a:schemeClr val="accent5"/>
            </a:solidFill>
            <a:latin typeface=""/>
          </a:endParaRPr>
        </a:p>
      </cdr:txBody>
    </cdr:sp>
  </cdr:relSizeAnchor>
  <cdr:relSizeAnchor xmlns:cdr="http://schemas.openxmlformats.org/drawingml/2006/chartDrawing">
    <cdr:from>
      <cdr:x>0.75745</cdr:x>
      <cdr:y>0.30839</cdr:y>
    </cdr:from>
    <cdr:to>
      <cdr:x>0.87808</cdr:x>
      <cdr:y>0.38229</cdr:y>
    </cdr:to>
    <cdr:sp macro="" textlink="">
      <cdr:nvSpPr>
        <cdr:cNvPr id="3" name="CuadroTexto 1">
          <a:extLst xmlns:a="http://schemas.openxmlformats.org/drawingml/2006/main">
            <a:ext uri="{FF2B5EF4-FFF2-40B4-BE49-F238E27FC236}">
              <a16:creationId xmlns:a16="http://schemas.microsoft.com/office/drawing/2014/main" id="{7757D3B5-8AD3-8E7B-553F-238907A0ED37}"/>
            </a:ext>
          </a:extLst>
        </cdr:cNvPr>
        <cdr:cNvSpPr txBox="1"/>
      </cdr:nvSpPr>
      <cdr:spPr>
        <a:xfrm xmlns:a="http://schemas.openxmlformats.org/drawingml/2006/main">
          <a:off x="6227102" y="1830780"/>
          <a:ext cx="991717" cy="438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 b="1">
              <a:solidFill>
                <a:schemeClr val="accent1"/>
              </a:solidFill>
              <a:latin typeface=""/>
            </a:rPr>
            <a:t>H</a:t>
          </a:r>
          <a:r>
            <a:rPr lang="es-MX" sz="900" b="1">
              <a:solidFill>
                <a:schemeClr val="accent1"/>
              </a:solidFill>
              <a:latin typeface=""/>
            </a:rPr>
            <a:t>2</a:t>
          </a:r>
          <a:r>
            <a:rPr lang="es-MX" sz="1200" b="1">
              <a:solidFill>
                <a:schemeClr val="accent1"/>
              </a:solidFill>
              <a:latin typeface=""/>
            </a:rPr>
            <a:t>S</a:t>
          </a:r>
          <a:r>
            <a:rPr lang="es-MX" sz="1200" b="1" baseline="0">
              <a:solidFill>
                <a:schemeClr val="accent1"/>
              </a:solidFill>
              <a:latin typeface=""/>
            </a:rPr>
            <a:t> ACUM</a:t>
          </a:r>
          <a:endParaRPr lang="es-MX" sz="1200" b="1">
            <a:solidFill>
              <a:schemeClr val="accent1"/>
            </a:solidFill>
            <a:latin typeface=""/>
          </a:endParaRPr>
        </a:p>
      </cdr:txBody>
    </cdr:sp>
  </cdr:relSizeAnchor>
  <cdr:relSizeAnchor xmlns:cdr="http://schemas.openxmlformats.org/drawingml/2006/chartDrawing">
    <cdr:from>
      <cdr:x>0.4554</cdr:x>
      <cdr:y>0.84672</cdr:y>
    </cdr:from>
    <cdr:to>
      <cdr:x>0.61026</cdr:x>
      <cdr:y>0.94059</cdr:y>
    </cdr:to>
    <cdr:sp macro="" textlink="">
      <cdr:nvSpPr>
        <cdr:cNvPr id="4" name="CuadroTexto 1">
          <a:extLst xmlns:a="http://schemas.openxmlformats.org/drawingml/2006/main">
            <a:ext uri="{FF2B5EF4-FFF2-40B4-BE49-F238E27FC236}">
              <a16:creationId xmlns:a16="http://schemas.microsoft.com/office/drawing/2014/main" id="{3223EBC6-D2C6-750A-E8F7-0E6E5BB48E55}"/>
            </a:ext>
          </a:extLst>
        </cdr:cNvPr>
        <cdr:cNvSpPr txBox="1"/>
      </cdr:nvSpPr>
      <cdr:spPr>
        <a:xfrm xmlns:a="http://schemas.openxmlformats.org/drawingml/2006/main">
          <a:off x="3743940" y="5026683"/>
          <a:ext cx="1273126" cy="5572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 b="1">
              <a:solidFill>
                <a:schemeClr val="accent4"/>
              </a:solidFill>
              <a:latin typeface=""/>
            </a:rPr>
            <a:t>DIG</a:t>
          </a:r>
          <a:r>
            <a:rPr lang="es-MX" sz="1200" b="1" baseline="0">
              <a:solidFill>
                <a:schemeClr val="accent4"/>
              </a:solidFill>
              <a:latin typeface=""/>
            </a:rPr>
            <a:t> ACUM Stotal de SO4=  </a:t>
          </a:r>
          <a:endParaRPr lang="es-MX" sz="1200" b="1">
            <a:solidFill>
              <a:schemeClr val="accent4"/>
            </a:solidFill>
            <a:latin typeface=""/>
          </a:endParaRPr>
        </a:p>
      </cdr:txBody>
    </cdr:sp>
  </cdr:relSizeAnchor>
  <cdr:relSizeAnchor xmlns:cdr="http://schemas.openxmlformats.org/drawingml/2006/chartDrawing">
    <cdr:from>
      <cdr:x>0.69192</cdr:x>
      <cdr:y>0.7155</cdr:y>
    </cdr:from>
    <cdr:to>
      <cdr:x>0.90471</cdr:x>
      <cdr:y>0.80936</cdr:y>
    </cdr:to>
    <cdr:sp macro="" textlink="">
      <cdr:nvSpPr>
        <cdr:cNvPr id="5" name="CuadroTexto 1">
          <a:extLst xmlns:a="http://schemas.openxmlformats.org/drawingml/2006/main">
            <a:ext uri="{FF2B5EF4-FFF2-40B4-BE49-F238E27FC236}">
              <a16:creationId xmlns:a16="http://schemas.microsoft.com/office/drawing/2014/main" id="{BF86568B-C6BC-4891-B700-CF9767AB203F}"/>
            </a:ext>
          </a:extLst>
        </cdr:cNvPr>
        <cdr:cNvSpPr txBox="1"/>
      </cdr:nvSpPr>
      <cdr:spPr>
        <a:xfrm xmlns:a="http://schemas.openxmlformats.org/drawingml/2006/main">
          <a:off x="5688377" y="4247639"/>
          <a:ext cx="1749345" cy="5572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 b="1">
              <a:solidFill>
                <a:schemeClr val="accent3"/>
              </a:solidFill>
              <a:latin typeface=""/>
            </a:rPr>
            <a:t>CAMBIO</a:t>
          </a:r>
          <a:r>
            <a:rPr lang="es-MX" sz="1200" b="1" baseline="0">
              <a:solidFill>
                <a:schemeClr val="accent3"/>
              </a:solidFill>
              <a:latin typeface=""/>
            </a:rPr>
            <a:t> BIORREACTOR Stotal de S= </a:t>
          </a:r>
          <a:endParaRPr lang="es-MX" sz="1200" b="1">
            <a:solidFill>
              <a:schemeClr val="accent3"/>
            </a:solidFill>
            <a:latin typeface=""/>
          </a:endParaRPr>
        </a:p>
      </cdr:txBody>
    </cdr:sp>
  </cdr:relSizeAnchor>
  <cdr:relSizeAnchor xmlns:cdr="http://schemas.openxmlformats.org/drawingml/2006/chartDrawing">
    <cdr:from>
      <cdr:x>0.73477</cdr:x>
      <cdr:y>0.60297</cdr:y>
    </cdr:from>
    <cdr:to>
      <cdr:x>0.93085</cdr:x>
      <cdr:y>0.69684</cdr:y>
    </cdr:to>
    <cdr:sp macro="" textlink="">
      <cdr:nvSpPr>
        <cdr:cNvPr id="6" name="CuadroTexto 1">
          <a:extLst xmlns:a="http://schemas.openxmlformats.org/drawingml/2006/main">
            <a:ext uri="{FF2B5EF4-FFF2-40B4-BE49-F238E27FC236}">
              <a16:creationId xmlns:a16="http://schemas.microsoft.com/office/drawing/2014/main" id="{42C57CF1-23A4-FFEA-E820-08331E2CED0F}"/>
            </a:ext>
          </a:extLst>
        </cdr:cNvPr>
        <cdr:cNvSpPr txBox="1"/>
      </cdr:nvSpPr>
      <cdr:spPr>
        <a:xfrm xmlns:a="http://schemas.openxmlformats.org/drawingml/2006/main">
          <a:off x="6040674" y="3579605"/>
          <a:ext cx="1611964" cy="5572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 b="1">
              <a:solidFill>
                <a:schemeClr val="accent2"/>
              </a:solidFill>
              <a:latin typeface=""/>
            </a:rPr>
            <a:t>CAMBIO</a:t>
          </a:r>
          <a:r>
            <a:rPr lang="es-MX" sz="1200" b="1" baseline="0">
              <a:solidFill>
                <a:schemeClr val="accent2"/>
              </a:solidFill>
              <a:latin typeface=""/>
            </a:rPr>
            <a:t> BIORREACTOR Stotal de SO4= </a:t>
          </a:r>
          <a:endParaRPr lang="es-MX" sz="1200" b="1">
            <a:solidFill>
              <a:schemeClr val="accent2"/>
            </a:solidFill>
            <a:latin typeface="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0.13019</cdr:x>
      <cdr:y>0.22326</cdr:y>
    </cdr:from>
    <cdr:to>
      <cdr:x>0.26555</cdr:x>
      <cdr:y>0.31713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2DC181C2-CE7C-1651-E639-78C0F3F7D386}"/>
            </a:ext>
          </a:extLst>
        </cdr:cNvPr>
        <cdr:cNvSpPr txBox="1"/>
      </cdr:nvSpPr>
      <cdr:spPr>
        <a:xfrm xmlns:a="http://schemas.openxmlformats.org/drawingml/2006/main">
          <a:off x="1077805" y="1303267"/>
          <a:ext cx="1120569" cy="547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MX" sz="1200" b="1">
              <a:solidFill>
                <a:schemeClr val="accent5"/>
              </a:solidFill>
              <a:latin typeface=""/>
            </a:rPr>
            <a:t>DIG</a:t>
          </a:r>
          <a:r>
            <a:rPr lang="es-MX" sz="1200" b="1" baseline="0">
              <a:solidFill>
                <a:schemeClr val="accent5"/>
              </a:solidFill>
              <a:latin typeface=""/>
            </a:rPr>
            <a:t> ACUM Stotal de S= </a:t>
          </a:r>
          <a:endParaRPr lang="es-MX" sz="1200" b="1">
            <a:solidFill>
              <a:schemeClr val="accent5"/>
            </a:solidFill>
            <a:latin typeface=""/>
          </a:endParaRPr>
        </a:p>
      </cdr:txBody>
    </cdr:sp>
  </cdr:relSizeAnchor>
  <cdr:relSizeAnchor xmlns:cdr="http://schemas.openxmlformats.org/drawingml/2006/chartDrawing">
    <cdr:from>
      <cdr:x>0.75745</cdr:x>
      <cdr:y>0.27784</cdr:y>
    </cdr:from>
    <cdr:to>
      <cdr:x>0.87808</cdr:x>
      <cdr:y>0.35174</cdr:y>
    </cdr:to>
    <cdr:sp macro="" textlink="">
      <cdr:nvSpPr>
        <cdr:cNvPr id="3" name="CuadroTexto 1">
          <a:extLst xmlns:a="http://schemas.openxmlformats.org/drawingml/2006/main">
            <a:ext uri="{FF2B5EF4-FFF2-40B4-BE49-F238E27FC236}">
              <a16:creationId xmlns:a16="http://schemas.microsoft.com/office/drawing/2014/main" id="{7757D3B5-8AD3-8E7B-553F-238907A0ED37}"/>
            </a:ext>
          </a:extLst>
        </cdr:cNvPr>
        <cdr:cNvSpPr txBox="1"/>
      </cdr:nvSpPr>
      <cdr:spPr>
        <a:xfrm xmlns:a="http://schemas.openxmlformats.org/drawingml/2006/main">
          <a:off x="6270502" y="1621838"/>
          <a:ext cx="998628" cy="4313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 b="1">
              <a:solidFill>
                <a:schemeClr val="accent1"/>
              </a:solidFill>
              <a:latin typeface=""/>
            </a:rPr>
            <a:t>H</a:t>
          </a:r>
          <a:r>
            <a:rPr lang="es-MX" sz="900" b="1">
              <a:solidFill>
                <a:schemeClr val="accent1"/>
              </a:solidFill>
              <a:latin typeface=""/>
            </a:rPr>
            <a:t>2</a:t>
          </a:r>
          <a:r>
            <a:rPr lang="es-MX" sz="1200" b="1">
              <a:solidFill>
                <a:schemeClr val="accent1"/>
              </a:solidFill>
              <a:latin typeface=""/>
            </a:rPr>
            <a:t>S</a:t>
          </a:r>
          <a:r>
            <a:rPr lang="es-MX" sz="1200" b="1" baseline="0">
              <a:solidFill>
                <a:schemeClr val="accent1"/>
              </a:solidFill>
              <a:latin typeface=""/>
            </a:rPr>
            <a:t> ACUM</a:t>
          </a:r>
          <a:endParaRPr lang="es-MX" sz="1200" b="1">
            <a:solidFill>
              <a:schemeClr val="accent1"/>
            </a:solidFill>
            <a:latin typeface=""/>
          </a:endParaRPr>
        </a:p>
      </cdr:txBody>
    </cdr:sp>
  </cdr:relSizeAnchor>
  <cdr:relSizeAnchor xmlns:cdr="http://schemas.openxmlformats.org/drawingml/2006/chartDrawing">
    <cdr:from>
      <cdr:x>0.49051</cdr:x>
      <cdr:y>0.82943</cdr:y>
    </cdr:from>
    <cdr:to>
      <cdr:x>0.64537</cdr:x>
      <cdr:y>0.9233</cdr:y>
    </cdr:to>
    <cdr:sp macro="" textlink="">
      <cdr:nvSpPr>
        <cdr:cNvPr id="4" name="CuadroTexto 1">
          <a:extLst xmlns:a="http://schemas.openxmlformats.org/drawingml/2006/main">
            <a:ext uri="{FF2B5EF4-FFF2-40B4-BE49-F238E27FC236}">
              <a16:creationId xmlns:a16="http://schemas.microsoft.com/office/drawing/2014/main" id="{3223EBC6-D2C6-750A-E8F7-0E6E5BB48E55}"/>
            </a:ext>
          </a:extLst>
        </cdr:cNvPr>
        <cdr:cNvSpPr txBox="1"/>
      </cdr:nvSpPr>
      <cdr:spPr>
        <a:xfrm xmlns:a="http://schemas.openxmlformats.org/drawingml/2006/main">
          <a:off x="4060655" y="4841653"/>
          <a:ext cx="1281999" cy="547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 b="1">
              <a:solidFill>
                <a:schemeClr val="accent4"/>
              </a:solidFill>
              <a:latin typeface=""/>
            </a:rPr>
            <a:t>DIG</a:t>
          </a:r>
          <a:r>
            <a:rPr lang="es-MX" sz="1200" b="1" baseline="0">
              <a:solidFill>
                <a:schemeClr val="accent4"/>
              </a:solidFill>
              <a:latin typeface=""/>
            </a:rPr>
            <a:t> ACUM Stotal de SO4=  </a:t>
          </a:r>
          <a:endParaRPr lang="es-MX" sz="1200" b="1">
            <a:solidFill>
              <a:schemeClr val="accent4"/>
            </a:solidFill>
            <a:latin typeface=""/>
          </a:endParaRPr>
        </a:p>
      </cdr:txBody>
    </cdr:sp>
  </cdr:relSizeAnchor>
  <cdr:relSizeAnchor xmlns:cdr="http://schemas.openxmlformats.org/drawingml/2006/chartDrawing">
    <cdr:from>
      <cdr:x>0.68511</cdr:x>
      <cdr:y>0.71528</cdr:y>
    </cdr:from>
    <cdr:to>
      <cdr:x>0.86358</cdr:x>
      <cdr:y>0.80914</cdr:y>
    </cdr:to>
    <cdr:sp macro="" textlink="">
      <cdr:nvSpPr>
        <cdr:cNvPr id="5" name="CuadroTexto 1">
          <a:extLst xmlns:a="http://schemas.openxmlformats.org/drawingml/2006/main">
            <a:ext uri="{FF2B5EF4-FFF2-40B4-BE49-F238E27FC236}">
              <a16:creationId xmlns:a16="http://schemas.microsoft.com/office/drawing/2014/main" id="{BF86568B-C6BC-4891-B700-CF9767AB203F}"/>
            </a:ext>
          </a:extLst>
        </cdr:cNvPr>
        <cdr:cNvSpPr txBox="1"/>
      </cdr:nvSpPr>
      <cdr:spPr>
        <a:xfrm xmlns:a="http://schemas.openxmlformats.org/drawingml/2006/main">
          <a:off x="5671631" y="4175316"/>
          <a:ext cx="1477470" cy="5478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 b="1">
              <a:solidFill>
                <a:schemeClr val="accent3"/>
              </a:solidFill>
              <a:latin typeface=""/>
            </a:rPr>
            <a:t>CAMBIO</a:t>
          </a:r>
          <a:r>
            <a:rPr lang="es-MX" sz="1200" b="1" baseline="0">
              <a:solidFill>
                <a:schemeClr val="accent3"/>
              </a:solidFill>
              <a:latin typeface=""/>
            </a:rPr>
            <a:t> BIORREACTOR Stotal de S= </a:t>
          </a:r>
          <a:endParaRPr lang="es-MX" sz="1200" b="1">
            <a:solidFill>
              <a:schemeClr val="accent3"/>
            </a:solidFill>
            <a:latin typeface=""/>
          </a:endParaRPr>
        </a:p>
      </cdr:txBody>
    </cdr:sp>
  </cdr:relSizeAnchor>
  <cdr:relSizeAnchor xmlns:cdr="http://schemas.openxmlformats.org/drawingml/2006/chartDrawing">
    <cdr:from>
      <cdr:x>0.74532</cdr:x>
      <cdr:y>0.57555</cdr:y>
    </cdr:from>
    <cdr:to>
      <cdr:x>0.94115</cdr:x>
      <cdr:y>0.66942</cdr:y>
    </cdr:to>
    <cdr:sp macro="" textlink="">
      <cdr:nvSpPr>
        <cdr:cNvPr id="6" name="CuadroTexto 1">
          <a:extLst xmlns:a="http://schemas.openxmlformats.org/drawingml/2006/main">
            <a:ext uri="{FF2B5EF4-FFF2-40B4-BE49-F238E27FC236}">
              <a16:creationId xmlns:a16="http://schemas.microsoft.com/office/drawing/2014/main" id="{0BE6F788-1542-9FF0-5BC5-74B94B9CE6FA}"/>
            </a:ext>
          </a:extLst>
        </cdr:cNvPr>
        <cdr:cNvSpPr txBox="1"/>
      </cdr:nvSpPr>
      <cdr:spPr>
        <a:xfrm xmlns:a="http://schemas.openxmlformats.org/drawingml/2006/main">
          <a:off x="6170095" y="3359661"/>
          <a:ext cx="1621141" cy="547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 b="1">
              <a:solidFill>
                <a:schemeClr val="accent2"/>
              </a:solidFill>
              <a:latin typeface=""/>
            </a:rPr>
            <a:t>CAMBIO</a:t>
          </a:r>
          <a:r>
            <a:rPr lang="es-MX" sz="1200" b="1" baseline="0">
              <a:solidFill>
                <a:schemeClr val="accent2"/>
              </a:solidFill>
              <a:latin typeface=""/>
            </a:rPr>
            <a:t> BIORREACTOR Stotal de SO4= </a:t>
          </a:r>
          <a:endParaRPr lang="es-MX" sz="1200" b="1">
            <a:solidFill>
              <a:schemeClr val="accent2"/>
            </a:solidFill>
            <a:latin typeface="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870789</xdr:colOff>
      <xdr:row>39</xdr:row>
      <xdr:rowOff>142875</xdr:rowOff>
    </xdr:from>
    <xdr:ext cx="184731" cy="937629"/>
    <xdr:sp macro="" textlink="">
      <xdr:nvSpPr>
        <xdr:cNvPr id="13" name="Rectángulo 18">
          <a:extLst>
            <a:ext uri="{FF2B5EF4-FFF2-40B4-BE49-F238E27FC236}">
              <a16:creationId xmlns:a16="http://schemas.microsoft.com/office/drawing/2014/main" id="{A3800211-8C07-F242-ABC6-47AE66BF83FE}"/>
            </a:ext>
            <a:ext uri="{147F2762-F138-4A5C-976F-8EAC2B608ADB}">
              <a16:predDERef xmlns:a16="http://schemas.microsoft.com/office/drawing/2014/main" pred="{1AB46FF1-B61B-4579-8F03-43EFE12B5FB5}"/>
            </a:ext>
          </a:extLst>
        </xdr:cNvPr>
        <xdr:cNvSpPr/>
      </xdr:nvSpPr>
      <xdr:spPr>
        <a:xfrm>
          <a:off x="3296489" y="8804275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5400" b="1" cap="none" spc="0"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pattFill prst="narHorz">
              <a:fgClr>
                <a:schemeClr val="accent3"/>
              </a:fgClr>
              <a:bgClr>
                <a:schemeClr val="accent3">
                  <a:lumMod val="40000"/>
                  <a:lumOff val="60000"/>
                </a:schemeClr>
              </a:bgClr>
            </a:patt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oneCellAnchor>
    <xdr:from>
      <xdr:col>3</xdr:col>
      <xdr:colOff>645194</xdr:colOff>
      <xdr:row>39</xdr:row>
      <xdr:rowOff>65954</xdr:rowOff>
    </xdr:from>
    <xdr:ext cx="535659" cy="937629"/>
    <xdr:sp macro="" textlink="">
      <xdr:nvSpPr>
        <xdr:cNvPr id="17" name="Rectángulo 14">
          <a:extLst>
            <a:ext uri="{FF2B5EF4-FFF2-40B4-BE49-F238E27FC236}">
              <a16:creationId xmlns:a16="http://schemas.microsoft.com/office/drawing/2014/main" id="{ED84E269-FDDB-924C-901B-D8BFD6BBAD94}"/>
            </a:ext>
            <a:ext uri="{147F2762-F138-4A5C-976F-8EAC2B608ADB}">
              <a16:predDERef xmlns:a16="http://schemas.microsoft.com/office/drawing/2014/main" pred="{1457817D-75BB-4EEC-83ED-2F8AA2597F02}"/>
            </a:ext>
          </a:extLst>
        </xdr:cNvPr>
        <xdr:cNvSpPr/>
      </xdr:nvSpPr>
      <xdr:spPr>
        <a:xfrm>
          <a:off x="3129977" y="7340845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22225">
                <a:solidFill>
                  <a:schemeClr val="accent4"/>
                </a:solidFill>
                <a:prstDash val="solid"/>
              </a:ln>
              <a:solidFill>
                <a:schemeClr val="accent4">
                  <a:lumMod val="40000"/>
                  <a:lumOff val="60000"/>
                </a:schemeClr>
              </a:solidFill>
              <a:effectLst/>
            </a:rPr>
            <a:t>2</a:t>
          </a:r>
          <a:endParaRPr lang="es-ES" sz="5400" b="1" cap="none" spc="0">
            <a:ln w="22225">
              <a:solidFill>
                <a:schemeClr val="accent4"/>
              </a:solidFill>
              <a:prstDash val="solid"/>
            </a:ln>
            <a:solidFill>
              <a:schemeClr val="accent4">
                <a:lumMod val="40000"/>
                <a:lumOff val="60000"/>
              </a:schemeClr>
            </a:solid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oneCellAnchor>
    <xdr:from>
      <xdr:col>1</xdr:col>
      <xdr:colOff>698696</xdr:colOff>
      <xdr:row>93</xdr:row>
      <xdr:rowOff>90134</xdr:rowOff>
    </xdr:from>
    <xdr:ext cx="535659" cy="937629"/>
    <xdr:sp macro="" textlink="">
      <xdr:nvSpPr>
        <xdr:cNvPr id="18" name="Rectángulo 15">
          <a:extLst>
            <a:ext uri="{FF2B5EF4-FFF2-40B4-BE49-F238E27FC236}">
              <a16:creationId xmlns:a16="http://schemas.microsoft.com/office/drawing/2014/main" id="{13DB3514-42BF-F24A-872C-6BE222E5E618}"/>
            </a:ext>
            <a:ext uri="{147F2762-F138-4A5C-976F-8EAC2B608ADB}">
              <a16:predDERef xmlns:a16="http://schemas.microsoft.com/office/drawing/2014/main" pred="{AC6874D9-FC1C-4074-B5BB-2EC307421023}"/>
            </a:ext>
          </a:extLst>
        </xdr:cNvPr>
        <xdr:cNvSpPr/>
      </xdr:nvSpPr>
      <xdr:spPr>
        <a:xfrm>
          <a:off x="1526957" y="17649264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22225">
                <a:solidFill>
                  <a:srgbClr val="6AC5FF"/>
                </a:solidFill>
                <a:prstDash val="solid"/>
              </a:ln>
              <a:solidFill>
                <a:srgbClr val="C1EDFF"/>
              </a:solidFill>
              <a:effectLst/>
            </a:rPr>
            <a:t>3</a:t>
          </a:r>
        </a:p>
      </xdr:txBody>
    </xdr:sp>
    <xdr:clientData/>
  </xdr:oneCellAnchor>
  <xdr:oneCellAnchor>
    <xdr:from>
      <xdr:col>1</xdr:col>
      <xdr:colOff>120039</xdr:colOff>
      <xdr:row>126</xdr:row>
      <xdr:rowOff>81837</xdr:rowOff>
    </xdr:from>
    <xdr:ext cx="535659" cy="937629"/>
    <xdr:sp macro="" textlink="">
      <xdr:nvSpPr>
        <xdr:cNvPr id="19" name="Rectángulo 16">
          <a:extLst>
            <a:ext uri="{FF2B5EF4-FFF2-40B4-BE49-F238E27FC236}">
              <a16:creationId xmlns:a16="http://schemas.microsoft.com/office/drawing/2014/main" id="{F24CBF23-7D2A-C84D-9166-3C38A8CDDB86}"/>
            </a:ext>
            <a:ext uri="{147F2762-F138-4A5C-976F-8EAC2B608ADB}">
              <a16:predDERef xmlns:a16="http://schemas.microsoft.com/office/drawing/2014/main" pred="{D798EBB1-9D3A-48EE-B585-ABDC22931635}"/>
            </a:ext>
          </a:extLst>
        </xdr:cNvPr>
        <xdr:cNvSpPr/>
      </xdr:nvSpPr>
      <xdr:spPr>
        <a:xfrm>
          <a:off x="948300" y="28408359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22225">
                <a:solidFill>
                  <a:srgbClr val="BBB92C"/>
                </a:solidFill>
                <a:prstDash val="solid"/>
              </a:ln>
              <a:solidFill>
                <a:srgbClr val="ECF4C1"/>
              </a:solidFill>
              <a:effectLst/>
            </a:rPr>
            <a:t>4</a:t>
          </a:r>
        </a:p>
      </xdr:txBody>
    </xdr:sp>
    <xdr:clientData/>
  </xdr:oneCellAnchor>
  <xdr:oneCellAnchor>
    <xdr:from>
      <xdr:col>2</xdr:col>
      <xdr:colOff>661745</xdr:colOff>
      <xdr:row>101</xdr:row>
      <xdr:rowOff>24204</xdr:rowOff>
    </xdr:from>
    <xdr:ext cx="184731" cy="937629"/>
    <xdr:sp macro="" textlink="">
      <xdr:nvSpPr>
        <xdr:cNvPr id="24" name="Rectángulo 21">
          <a:extLst>
            <a:ext uri="{FF2B5EF4-FFF2-40B4-BE49-F238E27FC236}">
              <a16:creationId xmlns:a16="http://schemas.microsoft.com/office/drawing/2014/main" id="{0E1CF44E-D3BD-374B-A674-4ABB1945FB29}"/>
            </a:ext>
            <a:ext uri="{147F2762-F138-4A5C-976F-8EAC2B608ADB}">
              <a16:predDERef xmlns:a16="http://schemas.microsoft.com/office/drawing/2014/main" pred="{2175500D-61EA-4417-820C-E8F06DB15709}"/>
            </a:ext>
          </a:extLst>
        </xdr:cNvPr>
        <xdr:cNvSpPr/>
      </xdr:nvSpPr>
      <xdr:spPr>
        <a:xfrm>
          <a:off x="1487245" y="21817404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5400" b="1" cap="none" spc="0"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pattFill prst="narHorz">
              <a:fgClr>
                <a:schemeClr val="accent3"/>
              </a:fgClr>
              <a:bgClr>
                <a:schemeClr val="accent3">
                  <a:lumMod val="40000"/>
                  <a:lumOff val="60000"/>
                </a:schemeClr>
              </a:bgClr>
            </a:patt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oneCellAnchor>
    <xdr:from>
      <xdr:col>1</xdr:col>
      <xdr:colOff>661745</xdr:colOff>
      <xdr:row>106</xdr:row>
      <xdr:rowOff>24204</xdr:rowOff>
    </xdr:from>
    <xdr:ext cx="184731" cy="937629"/>
    <xdr:sp macro="" textlink="">
      <xdr:nvSpPr>
        <xdr:cNvPr id="29" name="Rectángulo 21">
          <a:extLst>
            <a:ext uri="{FF2B5EF4-FFF2-40B4-BE49-F238E27FC236}">
              <a16:creationId xmlns:a16="http://schemas.microsoft.com/office/drawing/2014/main" id="{32D812C8-8CA9-4A4D-AB02-BFB0AAF151A5}"/>
            </a:ext>
            <a:ext uri="{147F2762-F138-4A5C-976F-8EAC2B608ADB}">
              <a16:predDERef xmlns:a16="http://schemas.microsoft.com/office/drawing/2014/main" pred="{2175500D-61EA-4417-820C-E8F06DB15709}"/>
            </a:ext>
          </a:extLst>
        </xdr:cNvPr>
        <xdr:cNvSpPr/>
      </xdr:nvSpPr>
      <xdr:spPr>
        <a:xfrm>
          <a:off x="1487245" y="21817404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5400" b="1" cap="none" spc="0"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pattFill prst="narHorz">
              <a:fgClr>
                <a:schemeClr val="accent3"/>
              </a:fgClr>
              <a:bgClr>
                <a:schemeClr val="accent3">
                  <a:lumMod val="40000"/>
                  <a:lumOff val="60000"/>
                </a:schemeClr>
              </a:bgClr>
            </a:patt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oneCellAnchor>
    <xdr:from>
      <xdr:col>4</xdr:col>
      <xdr:colOff>661745</xdr:colOff>
      <xdr:row>101</xdr:row>
      <xdr:rowOff>24204</xdr:rowOff>
    </xdr:from>
    <xdr:ext cx="184731" cy="937629"/>
    <xdr:sp macro="" textlink="">
      <xdr:nvSpPr>
        <xdr:cNvPr id="31" name="Rectángulo 21">
          <a:extLst>
            <a:ext uri="{FF2B5EF4-FFF2-40B4-BE49-F238E27FC236}">
              <a16:creationId xmlns:a16="http://schemas.microsoft.com/office/drawing/2014/main" id="{FDC4D388-225D-B540-A22B-6C2821D06598}"/>
            </a:ext>
            <a:ext uri="{147F2762-F138-4A5C-976F-8EAC2B608ADB}">
              <a16:predDERef xmlns:a16="http://schemas.microsoft.com/office/drawing/2014/main" pred="{2175500D-61EA-4417-820C-E8F06DB15709}"/>
            </a:ext>
          </a:extLst>
        </xdr:cNvPr>
        <xdr:cNvSpPr/>
      </xdr:nvSpPr>
      <xdr:spPr>
        <a:xfrm>
          <a:off x="2312745" y="22427004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5400" b="1" cap="none" spc="0"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pattFill prst="narHorz">
              <a:fgClr>
                <a:schemeClr val="accent3"/>
              </a:fgClr>
              <a:bgClr>
                <a:schemeClr val="accent3">
                  <a:lumMod val="40000"/>
                  <a:lumOff val="60000"/>
                </a:schemeClr>
              </a:bgClr>
            </a:patt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oneCellAnchor>
    <xdr:from>
      <xdr:col>5</xdr:col>
      <xdr:colOff>661745</xdr:colOff>
      <xdr:row>115</xdr:row>
      <xdr:rowOff>24204</xdr:rowOff>
    </xdr:from>
    <xdr:ext cx="184731" cy="937629"/>
    <xdr:sp macro="" textlink="">
      <xdr:nvSpPr>
        <xdr:cNvPr id="32" name="Rectángulo 21">
          <a:extLst>
            <a:ext uri="{FF2B5EF4-FFF2-40B4-BE49-F238E27FC236}">
              <a16:creationId xmlns:a16="http://schemas.microsoft.com/office/drawing/2014/main" id="{02B2CDB2-6E68-814F-9A7E-4FEF07DB35AF}"/>
            </a:ext>
            <a:ext uri="{147F2762-F138-4A5C-976F-8EAC2B608ADB}">
              <a16:predDERef xmlns:a16="http://schemas.microsoft.com/office/drawing/2014/main" pred="{2175500D-61EA-4417-820C-E8F06DB15709}"/>
            </a:ext>
          </a:extLst>
        </xdr:cNvPr>
        <xdr:cNvSpPr/>
      </xdr:nvSpPr>
      <xdr:spPr>
        <a:xfrm>
          <a:off x="3138245" y="25271804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5400" b="1" cap="none" spc="0"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pattFill prst="narHorz">
              <a:fgClr>
                <a:schemeClr val="accent3"/>
              </a:fgClr>
              <a:bgClr>
                <a:schemeClr val="accent3">
                  <a:lumMod val="40000"/>
                  <a:lumOff val="60000"/>
                </a:schemeClr>
              </a:bgClr>
            </a:patt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oneCellAnchor>
    <xdr:from>
      <xdr:col>3</xdr:col>
      <xdr:colOff>661745</xdr:colOff>
      <xdr:row>106</xdr:row>
      <xdr:rowOff>24204</xdr:rowOff>
    </xdr:from>
    <xdr:ext cx="184731" cy="937629"/>
    <xdr:sp macro="" textlink="">
      <xdr:nvSpPr>
        <xdr:cNvPr id="33" name="Rectángulo 21">
          <a:extLst>
            <a:ext uri="{FF2B5EF4-FFF2-40B4-BE49-F238E27FC236}">
              <a16:creationId xmlns:a16="http://schemas.microsoft.com/office/drawing/2014/main" id="{F96CC452-30C1-D248-A07A-3ED3449EDF13}"/>
            </a:ext>
            <a:ext uri="{147F2762-F138-4A5C-976F-8EAC2B608ADB}">
              <a16:predDERef xmlns:a16="http://schemas.microsoft.com/office/drawing/2014/main" pred="{2175500D-61EA-4417-820C-E8F06DB15709}"/>
            </a:ext>
          </a:extLst>
        </xdr:cNvPr>
        <xdr:cNvSpPr/>
      </xdr:nvSpPr>
      <xdr:spPr>
        <a:xfrm>
          <a:off x="1487245" y="23443004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5400" b="1" cap="none" spc="0"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pattFill prst="narHorz">
              <a:fgClr>
                <a:schemeClr val="accent3"/>
              </a:fgClr>
              <a:bgClr>
                <a:schemeClr val="accent3">
                  <a:lumMod val="40000"/>
                  <a:lumOff val="60000"/>
                </a:schemeClr>
              </a:bgClr>
            </a:patt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oneCellAnchor>
    <xdr:from>
      <xdr:col>1</xdr:col>
      <xdr:colOff>661745</xdr:colOff>
      <xdr:row>139</xdr:row>
      <xdr:rowOff>24204</xdr:rowOff>
    </xdr:from>
    <xdr:ext cx="184731" cy="937629"/>
    <xdr:sp macro="" textlink="">
      <xdr:nvSpPr>
        <xdr:cNvPr id="34" name="Rectángulo 21">
          <a:extLst>
            <a:ext uri="{FF2B5EF4-FFF2-40B4-BE49-F238E27FC236}">
              <a16:creationId xmlns:a16="http://schemas.microsoft.com/office/drawing/2014/main" id="{21980102-2ECA-4A48-A609-B3ABA752FC68}"/>
            </a:ext>
            <a:ext uri="{147F2762-F138-4A5C-976F-8EAC2B608ADB}">
              <a16:predDERef xmlns:a16="http://schemas.microsoft.com/office/drawing/2014/main" pred="{2175500D-61EA-4417-820C-E8F06DB15709}"/>
            </a:ext>
          </a:extLst>
        </xdr:cNvPr>
        <xdr:cNvSpPr/>
      </xdr:nvSpPr>
      <xdr:spPr>
        <a:xfrm>
          <a:off x="1487245" y="23443004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5400" b="1" cap="none" spc="0"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pattFill prst="narHorz">
              <a:fgClr>
                <a:schemeClr val="accent3"/>
              </a:fgClr>
              <a:bgClr>
                <a:schemeClr val="accent3">
                  <a:lumMod val="40000"/>
                  <a:lumOff val="60000"/>
                </a:schemeClr>
              </a:bgClr>
            </a:patt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twoCellAnchor>
    <xdr:from>
      <xdr:col>3</xdr:col>
      <xdr:colOff>39108</xdr:colOff>
      <xdr:row>202</xdr:row>
      <xdr:rowOff>46713</xdr:rowOff>
    </xdr:from>
    <xdr:to>
      <xdr:col>13</xdr:col>
      <xdr:colOff>115315</xdr:colOff>
      <xdr:row>231</xdr:row>
      <xdr:rowOff>65152</xdr:rowOff>
    </xdr:to>
    <xdr:graphicFrame macro="">
      <xdr:nvGraphicFramePr>
        <xdr:cNvPr id="37" name="Gráfico 29">
          <a:extLst>
            <a:ext uri="{FF2B5EF4-FFF2-40B4-BE49-F238E27FC236}">
              <a16:creationId xmlns:a16="http://schemas.microsoft.com/office/drawing/2014/main" id="{F6ECBC3B-1D5B-6245-AC08-1B4D524E94C2}"/>
            </a:ext>
            <a:ext uri="{147F2762-F138-4A5C-976F-8EAC2B608ADB}">
              <a16:predDERef xmlns:a16="http://schemas.microsoft.com/office/drawing/2014/main" pred="{770A08CC-9902-4509-9B16-0C33B3B10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36323</xdr:colOff>
      <xdr:row>171</xdr:row>
      <xdr:rowOff>168235</xdr:rowOff>
    </xdr:from>
    <xdr:to>
      <xdr:col>13</xdr:col>
      <xdr:colOff>123022</xdr:colOff>
      <xdr:row>201</xdr:row>
      <xdr:rowOff>37568</xdr:rowOff>
    </xdr:to>
    <xdr:graphicFrame macro="">
      <xdr:nvGraphicFramePr>
        <xdr:cNvPr id="38" name="Gráfico 29">
          <a:extLst>
            <a:ext uri="{FF2B5EF4-FFF2-40B4-BE49-F238E27FC236}">
              <a16:creationId xmlns:a16="http://schemas.microsoft.com/office/drawing/2014/main" id="{7A9B5DD4-7B77-4F43-A517-82FA60FC15E2}"/>
            </a:ext>
            <a:ext uri="{147F2762-F138-4A5C-976F-8EAC2B608ADB}">
              <a16:predDERef xmlns:a16="http://schemas.microsoft.com/office/drawing/2014/main" pred="{770A08CC-9902-4509-9B16-0C33B3B10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262282</xdr:colOff>
      <xdr:row>170</xdr:row>
      <xdr:rowOff>138044</xdr:rowOff>
    </xdr:from>
    <xdr:to>
      <xdr:col>23</xdr:col>
      <xdr:colOff>503318</xdr:colOff>
      <xdr:row>195</xdr:row>
      <xdr:rowOff>117544</xdr:rowOff>
    </xdr:to>
    <xdr:graphicFrame macro="">
      <xdr:nvGraphicFramePr>
        <xdr:cNvPr id="39" name="Gráfico 26">
          <a:extLst>
            <a:ext uri="{FF2B5EF4-FFF2-40B4-BE49-F238E27FC236}">
              <a16:creationId xmlns:a16="http://schemas.microsoft.com/office/drawing/2014/main" id="{51437339-223C-8844-BBDB-8FE97C106731}"/>
            </a:ext>
            <a:ext uri="{147F2762-F138-4A5C-976F-8EAC2B608ADB}">
              <a16:predDERef xmlns:a16="http://schemas.microsoft.com/office/drawing/2014/main" pred="{7E614B5B-41E3-4A6E-B6A0-5E6B236F8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371475</xdr:colOff>
      <xdr:row>3</xdr:row>
      <xdr:rowOff>142875</xdr:rowOff>
    </xdr:from>
    <xdr:to>
      <xdr:col>13</xdr:col>
      <xdr:colOff>114300</xdr:colOff>
      <xdr:row>8</xdr:row>
      <xdr:rowOff>76200</xdr:rowOff>
    </xdr:to>
    <xdr:sp macro="" textlink="">
      <xdr:nvSpPr>
        <xdr:cNvPr id="40" name="Rectángulo: esquinas redondeadas 5">
          <a:extLst>
            <a:ext uri="{FF2B5EF4-FFF2-40B4-BE49-F238E27FC236}">
              <a16:creationId xmlns:a16="http://schemas.microsoft.com/office/drawing/2014/main" id="{77400E84-50BF-E34D-959D-E97C7A12E7B0}"/>
            </a:ext>
          </a:extLst>
        </xdr:cNvPr>
        <xdr:cNvSpPr/>
      </xdr:nvSpPr>
      <xdr:spPr>
        <a:xfrm>
          <a:off x="8982075" y="752475"/>
          <a:ext cx="2219325" cy="974725"/>
        </a:xfrm>
        <a:prstGeom prst="roundRect">
          <a:avLst/>
        </a:prstGeom>
        <a:solidFill>
          <a:srgbClr val="6AC5FF"/>
        </a:solidFill>
        <a:ln>
          <a:solidFill>
            <a:srgbClr val="7FCAF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AR" sz="1100"/>
            <a:t>VARIACIÓN DE S</a:t>
          </a:r>
          <a:r>
            <a:rPr lang="es-AR" sz="1100" baseline="0"/>
            <a:t> TOTAL EN TODO EL VOLUMEN DEL REACTOR ENTRE EL DÍA X-Y</a:t>
          </a:r>
        </a:p>
      </xdr:txBody>
    </xdr:sp>
    <xdr:clientData/>
  </xdr:twoCellAnchor>
  <xdr:twoCellAnchor>
    <xdr:from>
      <xdr:col>9</xdr:col>
      <xdr:colOff>104656</xdr:colOff>
      <xdr:row>4</xdr:row>
      <xdr:rowOff>142779</xdr:rowOff>
    </xdr:from>
    <xdr:to>
      <xdr:col>10</xdr:col>
      <xdr:colOff>276106</xdr:colOff>
      <xdr:row>6</xdr:row>
      <xdr:rowOff>181380</xdr:rowOff>
    </xdr:to>
    <xdr:sp macro="" textlink="">
      <xdr:nvSpPr>
        <xdr:cNvPr id="41" name="Flecha: a la derecha 6">
          <a:extLst>
            <a:ext uri="{FF2B5EF4-FFF2-40B4-BE49-F238E27FC236}">
              <a16:creationId xmlns:a16="http://schemas.microsoft.com/office/drawing/2014/main" id="{9901A358-2949-6740-B6EA-9D36C9ED34F2}"/>
            </a:ext>
            <a:ext uri="{147F2762-F138-4A5C-976F-8EAC2B608ADB}">
              <a16:predDERef xmlns:a16="http://schemas.microsoft.com/office/drawing/2014/main" pred="{9EF9FC4A-3268-4721-8ED7-41143C8D8EDB}"/>
            </a:ext>
          </a:extLst>
        </xdr:cNvPr>
        <xdr:cNvSpPr/>
      </xdr:nvSpPr>
      <xdr:spPr>
        <a:xfrm>
          <a:off x="7889756" y="955579"/>
          <a:ext cx="996950" cy="457701"/>
        </a:xfrm>
        <a:prstGeom prst="right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13</xdr:col>
      <xdr:colOff>180831</xdr:colOff>
      <xdr:row>4</xdr:row>
      <xdr:rowOff>162212</xdr:rowOff>
    </xdr:from>
    <xdr:to>
      <xdr:col>14</xdr:col>
      <xdr:colOff>409431</xdr:colOff>
      <xdr:row>6</xdr:row>
      <xdr:rowOff>200335</xdr:rowOff>
    </xdr:to>
    <xdr:sp macro="" textlink="">
      <xdr:nvSpPr>
        <xdr:cNvPr id="42" name="Flecha: a la derecha 7">
          <a:extLst>
            <a:ext uri="{FF2B5EF4-FFF2-40B4-BE49-F238E27FC236}">
              <a16:creationId xmlns:a16="http://schemas.microsoft.com/office/drawing/2014/main" id="{3C4E9C79-B0AA-E34C-B07C-E76A84759816}"/>
            </a:ext>
            <a:ext uri="{147F2762-F138-4A5C-976F-8EAC2B608ADB}">
              <a16:predDERef xmlns:a16="http://schemas.microsoft.com/office/drawing/2014/main" pred="{8FB725D7-D53C-42B0-82A4-D883D96C1FBF}"/>
            </a:ext>
          </a:extLst>
        </xdr:cNvPr>
        <xdr:cNvSpPr/>
      </xdr:nvSpPr>
      <xdr:spPr>
        <a:xfrm>
          <a:off x="11267931" y="975012"/>
          <a:ext cx="1054100" cy="457223"/>
        </a:xfrm>
        <a:prstGeom prst="right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11</xdr:col>
      <xdr:colOff>581025</xdr:colOff>
      <xdr:row>8</xdr:row>
      <xdr:rowOff>123825</xdr:rowOff>
    </xdr:from>
    <xdr:to>
      <xdr:col>12</xdr:col>
      <xdr:colOff>381000</xdr:colOff>
      <xdr:row>11</xdr:row>
      <xdr:rowOff>114300</xdr:rowOff>
    </xdr:to>
    <xdr:sp macro="" textlink="">
      <xdr:nvSpPr>
        <xdr:cNvPr id="43" name="Flecha: doblada hacia arriba 8">
          <a:extLst>
            <a:ext uri="{FF2B5EF4-FFF2-40B4-BE49-F238E27FC236}">
              <a16:creationId xmlns:a16="http://schemas.microsoft.com/office/drawing/2014/main" id="{9F34AABC-FA7C-9E4A-8684-77AFFFD6F4BF}"/>
            </a:ext>
            <a:ext uri="{147F2762-F138-4A5C-976F-8EAC2B608ADB}">
              <a16:predDERef xmlns:a16="http://schemas.microsoft.com/office/drawing/2014/main" pred="{9343B05F-AD85-4D0A-BDDD-3F52AC6F33C8}"/>
            </a:ext>
          </a:extLst>
        </xdr:cNvPr>
        <xdr:cNvSpPr/>
      </xdr:nvSpPr>
      <xdr:spPr>
        <a:xfrm rot="5400000">
          <a:off x="10010775" y="1781175"/>
          <a:ext cx="638175" cy="625475"/>
        </a:xfrm>
        <a:prstGeom prst="bentUp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oneCellAnchor>
    <xdr:from>
      <xdr:col>7</xdr:col>
      <xdr:colOff>505279</xdr:colOff>
      <xdr:row>3</xdr:row>
      <xdr:rowOff>162258</xdr:rowOff>
    </xdr:from>
    <xdr:ext cx="1285875" cy="781240"/>
    <xdr:sp macro="" textlink="">
      <xdr:nvSpPr>
        <xdr:cNvPr id="44" name="CuadroTexto 9">
          <a:extLst>
            <a:ext uri="{FF2B5EF4-FFF2-40B4-BE49-F238E27FC236}">
              <a16:creationId xmlns:a16="http://schemas.microsoft.com/office/drawing/2014/main" id="{478B0EA9-499B-B94E-8C81-57641D3B4DBD}"/>
            </a:ext>
            <a:ext uri="{147F2762-F138-4A5C-976F-8EAC2B608ADB}">
              <a16:predDERef xmlns:a16="http://schemas.microsoft.com/office/drawing/2014/main" pred="{340D4A9D-0EC6-4791-AF1C-4AF611921F7D}"/>
            </a:ext>
          </a:extLst>
        </xdr:cNvPr>
        <xdr:cNvSpPr txBox="1"/>
      </xdr:nvSpPr>
      <xdr:spPr>
        <a:xfrm>
          <a:off x="6639379" y="771858"/>
          <a:ext cx="1285875" cy="781240"/>
        </a:xfrm>
        <a:prstGeom prst="rect">
          <a:avLst/>
        </a:prstGeom>
        <a:solidFill>
          <a:srgbClr val="ED8E11"/>
        </a:solidFill>
        <a:ln>
          <a:solidFill>
            <a:srgbClr val="ED8E1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AR" sz="1100">
              <a:solidFill>
                <a:schemeClr val="bg1"/>
              </a:solidFill>
            </a:rPr>
            <a:t>APORTE DE S</a:t>
          </a:r>
          <a:r>
            <a:rPr lang="es-AR" sz="1100" baseline="0">
              <a:solidFill>
                <a:schemeClr val="bg1"/>
              </a:solidFill>
            </a:rPr>
            <a:t> total A TRAVÉS DE SUSTRATOS ENTRE DÍA X-Y </a:t>
          </a:r>
        </a:p>
      </xdr:txBody>
    </xdr:sp>
    <xdr:clientData/>
  </xdr:oneCellAnchor>
  <xdr:oneCellAnchor>
    <xdr:from>
      <xdr:col>14</xdr:col>
      <xdr:colOff>476250</xdr:colOff>
      <xdr:row>4</xdr:row>
      <xdr:rowOff>57150</xdr:rowOff>
    </xdr:from>
    <xdr:ext cx="1285875" cy="781240"/>
    <xdr:sp macro="" textlink="">
      <xdr:nvSpPr>
        <xdr:cNvPr id="45" name="CuadroTexto 10">
          <a:extLst>
            <a:ext uri="{FF2B5EF4-FFF2-40B4-BE49-F238E27FC236}">
              <a16:creationId xmlns:a16="http://schemas.microsoft.com/office/drawing/2014/main" id="{918DFE18-2434-104A-8391-C7DA7C0F2D9D}"/>
            </a:ext>
            <a:ext uri="{147F2762-F138-4A5C-976F-8EAC2B608ADB}">
              <a16:predDERef xmlns:a16="http://schemas.microsoft.com/office/drawing/2014/main" pred="{3308EFC8-6B2F-4FA6-8C65-EC5AA83A8F20}"/>
            </a:ext>
          </a:extLst>
        </xdr:cNvPr>
        <xdr:cNvSpPr txBox="1"/>
      </xdr:nvSpPr>
      <xdr:spPr>
        <a:xfrm>
          <a:off x="12388850" y="869950"/>
          <a:ext cx="1285875" cy="781240"/>
        </a:xfrm>
        <a:prstGeom prst="rect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AR" sz="1100"/>
            <a:t>SALIDA</a:t>
          </a:r>
          <a:r>
            <a:rPr lang="es-AR" sz="1100" baseline="0"/>
            <a:t> DE </a:t>
          </a:r>
          <a:r>
            <a:rPr lang="es-AR" sz="1100"/>
            <a:t>S</a:t>
          </a:r>
          <a:r>
            <a:rPr lang="es-AR" sz="1100" baseline="0"/>
            <a:t> total A TRAVÉS DEL GAS COMO H2S ENTRE DÍA X-Y</a:t>
          </a:r>
        </a:p>
      </xdr:txBody>
    </xdr:sp>
    <xdr:clientData/>
  </xdr:oneCellAnchor>
  <xdr:oneCellAnchor>
    <xdr:from>
      <xdr:col>12</xdr:col>
      <xdr:colOff>428625</xdr:colOff>
      <xdr:row>9</xdr:row>
      <xdr:rowOff>76200</xdr:rowOff>
    </xdr:from>
    <xdr:ext cx="1876425" cy="609013"/>
    <xdr:sp macro="" textlink="">
      <xdr:nvSpPr>
        <xdr:cNvPr id="46" name="CuadroTexto 11">
          <a:extLst>
            <a:ext uri="{FF2B5EF4-FFF2-40B4-BE49-F238E27FC236}">
              <a16:creationId xmlns:a16="http://schemas.microsoft.com/office/drawing/2014/main" id="{607232EC-A697-4E44-A1CE-E6597EC7794F}"/>
            </a:ext>
            <a:ext uri="{147F2762-F138-4A5C-976F-8EAC2B608ADB}">
              <a16:predDERef xmlns:a16="http://schemas.microsoft.com/office/drawing/2014/main" pred="{D96E78C1-F07E-4338-B2C3-2451E065218C}"/>
            </a:ext>
          </a:extLst>
        </xdr:cNvPr>
        <xdr:cNvSpPr txBox="1"/>
      </xdr:nvSpPr>
      <xdr:spPr>
        <a:xfrm>
          <a:off x="10690225" y="1943100"/>
          <a:ext cx="1876425" cy="609013"/>
        </a:xfrm>
        <a:prstGeom prst="rect">
          <a:avLst/>
        </a:prstGeom>
        <a:solidFill>
          <a:srgbClr val="BBB92C"/>
        </a:solidFill>
        <a:ln>
          <a:solidFill>
            <a:srgbClr val="BBB92C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AR" sz="1100"/>
            <a:t>SALIDA</a:t>
          </a:r>
          <a:r>
            <a:rPr lang="es-AR" sz="1100" baseline="0"/>
            <a:t> DE </a:t>
          </a:r>
          <a:r>
            <a:rPr lang="es-AR" sz="1100"/>
            <a:t>S</a:t>
          </a:r>
          <a:r>
            <a:rPr lang="es-AR" sz="1100" baseline="0"/>
            <a:t> total A TRAVÉS DEL VOLUMEN DE DIGERIDO ENTRE DÍA X-Y</a:t>
          </a:r>
        </a:p>
      </xdr:txBody>
    </xdr:sp>
    <xdr:clientData/>
  </xdr:oneCellAnchor>
  <xdr:oneCellAnchor>
    <xdr:from>
      <xdr:col>16</xdr:col>
      <xdr:colOff>104641</xdr:colOff>
      <xdr:row>3</xdr:row>
      <xdr:rowOff>117260</xdr:rowOff>
    </xdr:from>
    <xdr:ext cx="535659" cy="937629"/>
    <xdr:sp macro="" textlink="">
      <xdr:nvSpPr>
        <xdr:cNvPr id="48" name="Rectángulo 14">
          <a:extLst>
            <a:ext uri="{FF2B5EF4-FFF2-40B4-BE49-F238E27FC236}">
              <a16:creationId xmlns:a16="http://schemas.microsoft.com/office/drawing/2014/main" id="{83D8E395-1144-4441-ABC5-37FCBBAE6207}"/>
            </a:ext>
            <a:ext uri="{147F2762-F138-4A5C-976F-8EAC2B608ADB}">
              <a16:predDERef xmlns:a16="http://schemas.microsoft.com/office/drawing/2014/main" pred="{F711E7B5-58F3-47D2-B730-E78AAE3DAF3D}"/>
            </a:ext>
          </a:extLst>
        </xdr:cNvPr>
        <xdr:cNvSpPr/>
      </xdr:nvSpPr>
      <xdr:spPr>
        <a:xfrm>
          <a:off x="13668241" y="726860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22225">
                <a:solidFill>
                  <a:schemeClr val="accent4"/>
                </a:solidFill>
                <a:prstDash val="solid"/>
              </a:ln>
              <a:solidFill>
                <a:schemeClr val="accent4">
                  <a:lumMod val="40000"/>
                  <a:lumOff val="60000"/>
                </a:schemeClr>
              </a:solidFill>
              <a:effectLst/>
            </a:rPr>
            <a:t>2</a:t>
          </a:r>
          <a:endParaRPr lang="es-ES" sz="5400" b="1" cap="none" spc="0">
            <a:ln w="22225">
              <a:solidFill>
                <a:schemeClr val="accent4"/>
              </a:solidFill>
              <a:prstDash val="solid"/>
            </a:ln>
            <a:solidFill>
              <a:schemeClr val="accent4">
                <a:lumMod val="40000"/>
                <a:lumOff val="60000"/>
              </a:schemeClr>
            </a:solid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oneCellAnchor>
    <xdr:from>
      <xdr:col>10</xdr:col>
      <xdr:colOff>27047</xdr:colOff>
      <xdr:row>7</xdr:row>
      <xdr:rowOff>38052</xdr:rowOff>
    </xdr:from>
    <xdr:ext cx="535659" cy="937629"/>
    <xdr:sp macro="" textlink="">
      <xdr:nvSpPr>
        <xdr:cNvPr id="49" name="Rectángulo 15">
          <a:extLst>
            <a:ext uri="{FF2B5EF4-FFF2-40B4-BE49-F238E27FC236}">
              <a16:creationId xmlns:a16="http://schemas.microsoft.com/office/drawing/2014/main" id="{2913784E-7C38-0A4D-BAF4-3A1043D8CE71}"/>
            </a:ext>
            <a:ext uri="{147F2762-F138-4A5C-976F-8EAC2B608ADB}">
              <a16:predDERef xmlns:a16="http://schemas.microsoft.com/office/drawing/2014/main" pred="{696F7FD6-B792-4213-8DD7-BEC9A513C127}"/>
            </a:ext>
          </a:extLst>
        </xdr:cNvPr>
        <xdr:cNvSpPr/>
      </xdr:nvSpPr>
      <xdr:spPr>
        <a:xfrm>
          <a:off x="8637647" y="1485852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22225">
                <a:solidFill>
                  <a:srgbClr val="6AC5FF"/>
                </a:solidFill>
                <a:prstDash val="solid"/>
              </a:ln>
              <a:solidFill>
                <a:srgbClr val="C1EDFF"/>
              </a:solidFill>
              <a:effectLst/>
            </a:rPr>
            <a:t>3</a:t>
          </a:r>
        </a:p>
      </xdr:txBody>
    </xdr:sp>
    <xdr:clientData/>
  </xdr:oneCellAnchor>
  <xdr:oneCellAnchor>
    <xdr:from>
      <xdr:col>14</xdr:col>
      <xdr:colOff>681075</xdr:colOff>
      <xdr:row>8</xdr:row>
      <xdr:rowOff>87037</xdr:rowOff>
    </xdr:from>
    <xdr:ext cx="535659" cy="937629"/>
    <xdr:sp macro="" textlink="">
      <xdr:nvSpPr>
        <xdr:cNvPr id="50" name="Rectángulo 16">
          <a:extLst>
            <a:ext uri="{FF2B5EF4-FFF2-40B4-BE49-F238E27FC236}">
              <a16:creationId xmlns:a16="http://schemas.microsoft.com/office/drawing/2014/main" id="{544934B0-E889-BB4C-99B1-E412D3809997}"/>
            </a:ext>
            <a:ext uri="{147F2762-F138-4A5C-976F-8EAC2B608ADB}">
              <a16:predDERef xmlns:a16="http://schemas.microsoft.com/office/drawing/2014/main" pred="{F7CE77AA-99B5-40AB-9A50-620F055372FE}"/>
            </a:ext>
          </a:extLst>
        </xdr:cNvPr>
        <xdr:cNvSpPr/>
      </xdr:nvSpPr>
      <xdr:spPr>
        <a:xfrm>
          <a:off x="12593675" y="1738037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22225">
                <a:solidFill>
                  <a:srgbClr val="BBB92C"/>
                </a:solidFill>
                <a:prstDash val="solid"/>
              </a:ln>
              <a:solidFill>
                <a:srgbClr val="ECF4C1"/>
              </a:solidFill>
              <a:effectLst/>
            </a:rPr>
            <a:t>4</a:t>
          </a:r>
        </a:p>
      </xdr:txBody>
    </xdr:sp>
    <xdr:clientData/>
  </xdr:oneCellAnchor>
  <xdr:oneCellAnchor>
    <xdr:from>
      <xdr:col>4</xdr:col>
      <xdr:colOff>234675</xdr:colOff>
      <xdr:row>157</xdr:row>
      <xdr:rowOff>55218</xdr:rowOff>
    </xdr:from>
    <xdr:ext cx="4714876" cy="581024"/>
    <xdr:sp macro="" textlink="">
      <xdr:nvSpPr>
        <xdr:cNvPr id="53" name="Rectángulo 20">
          <a:extLst>
            <a:ext uri="{FF2B5EF4-FFF2-40B4-BE49-F238E27FC236}">
              <a16:creationId xmlns:a16="http://schemas.microsoft.com/office/drawing/2014/main" id="{093CFC0C-975F-0648-8D9E-56583FFB25FD}"/>
            </a:ext>
            <a:ext uri="{147F2762-F138-4A5C-976F-8EAC2B608ADB}">
              <a16:predDERef xmlns:a16="http://schemas.microsoft.com/office/drawing/2014/main" pred="{E0481BC6-96B2-453E-BEC5-5615B7B04879}"/>
            </a:ext>
          </a:extLst>
        </xdr:cNvPr>
        <xdr:cNvSpPr/>
      </xdr:nvSpPr>
      <xdr:spPr>
        <a:xfrm>
          <a:off x="3547718" y="35463370"/>
          <a:ext cx="4714876" cy="581024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3200" b="1" cap="none" spc="0">
              <a:ln w="12700">
                <a:solidFill>
                  <a:schemeClr val="accent3">
                    <a:lumMod val="50000"/>
                  </a:schemeClr>
                </a:solidFill>
                <a:prstDash val="solid"/>
              </a:ln>
              <a:pattFill prst="narHorz">
                <a:fgClr>
                  <a:schemeClr val="accent3"/>
                </a:fgClr>
                <a:bgClr>
                  <a:schemeClr val="accent3">
                    <a:lumMod val="40000"/>
                    <a:lumOff val="60000"/>
                  </a:schemeClr>
                </a:bgClr>
              </a:pattFill>
              <a:effectLst>
                <a:innerShdw blurRad="177800">
                  <a:schemeClr val="accent3">
                    <a:lumMod val="50000"/>
                  </a:schemeClr>
                </a:innerShdw>
              </a:effectLst>
            </a:rPr>
            <a:t> </a:t>
          </a:r>
          <a:r>
            <a:rPr lang="es-ES" sz="3200" b="1" cap="none" spc="0">
              <a:ln w="22225">
                <a:solidFill>
                  <a:srgbClr val="ED8E11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1</a:t>
          </a:r>
          <a:r>
            <a:rPr lang="es-ES" sz="32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</a:t>
          </a:r>
          <a:r>
            <a:rPr lang="es-ES" sz="32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</a:t>
          </a:r>
          <a:r>
            <a:rPr lang="es-ES" sz="3200" b="1" cap="none" spc="0">
              <a:ln w="22225">
                <a:solidFill>
                  <a:schemeClr val="bg2">
                    <a:lumMod val="50000"/>
                  </a:schemeClr>
                </a:solidFill>
                <a:prstDash val="solid"/>
              </a:ln>
              <a:solidFill>
                <a:schemeClr val="bg2">
                  <a:lumMod val="75000"/>
                </a:schemeClr>
              </a:solidFill>
              <a:effectLst/>
            </a:rPr>
            <a:t>=</a:t>
          </a:r>
          <a:r>
            <a:rPr lang="es-ES" sz="32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</a:t>
          </a:r>
          <a:r>
            <a:rPr lang="es-ES" sz="3200" b="1" cap="none" spc="0">
              <a:ln w="22225">
                <a:solidFill>
                  <a:schemeClr val="accent4"/>
                </a:solidFill>
                <a:prstDash val="solid"/>
              </a:ln>
              <a:solidFill>
                <a:schemeClr val="accent4">
                  <a:lumMod val="60000"/>
                  <a:lumOff val="40000"/>
                </a:schemeClr>
              </a:solidFill>
              <a:effectLst/>
            </a:rPr>
            <a:t>2</a:t>
          </a:r>
          <a:r>
            <a:rPr lang="es-ES" sz="32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</a:t>
          </a:r>
          <a:r>
            <a:rPr lang="es-ES" sz="3200" b="1" cap="none" spc="0">
              <a:ln w="22225">
                <a:solidFill>
                  <a:schemeClr val="bg2">
                    <a:lumMod val="50000"/>
                  </a:schemeClr>
                </a:solidFill>
                <a:prstDash val="solid"/>
              </a:ln>
              <a:solidFill>
                <a:schemeClr val="bg2">
                  <a:lumMod val="75000"/>
                </a:schemeClr>
              </a:solidFill>
              <a:effectLst/>
            </a:rPr>
            <a:t>+ </a:t>
          </a:r>
          <a:r>
            <a:rPr lang="es-ES" sz="3200" b="1" cap="none" spc="0">
              <a:ln w="22225">
                <a:solidFill>
                  <a:srgbClr val="6AC5FF"/>
                </a:solidFill>
                <a:prstDash val="solid"/>
              </a:ln>
              <a:solidFill>
                <a:srgbClr val="C1EDFF"/>
              </a:solidFill>
              <a:effectLst/>
            </a:rPr>
            <a:t>3.1</a:t>
          </a:r>
          <a:r>
            <a:rPr lang="es-ES" sz="32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</a:t>
          </a:r>
          <a:r>
            <a:rPr lang="es-ES" sz="3200" b="1" cap="none" spc="0">
              <a:ln w="22225">
                <a:solidFill>
                  <a:schemeClr val="bg2">
                    <a:lumMod val="50000"/>
                  </a:schemeClr>
                </a:solidFill>
                <a:prstDash val="solid"/>
              </a:ln>
              <a:solidFill>
                <a:schemeClr val="bg2">
                  <a:lumMod val="75000"/>
                </a:schemeClr>
              </a:solidFill>
              <a:effectLst/>
            </a:rPr>
            <a:t>+</a:t>
          </a:r>
          <a:r>
            <a:rPr lang="es-ES" sz="32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</a:t>
          </a:r>
          <a:r>
            <a:rPr lang="es-ES" sz="3200" b="1" cap="none" spc="0">
              <a:ln w="22225">
                <a:solidFill>
                  <a:srgbClr val="6AC5FF"/>
                </a:solidFill>
                <a:prstDash val="solid"/>
              </a:ln>
              <a:solidFill>
                <a:srgbClr val="C1EDFF"/>
              </a:solidFill>
              <a:effectLst/>
            </a:rPr>
            <a:t>3.2</a:t>
          </a:r>
          <a:r>
            <a:rPr lang="es-ES" sz="32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</a:t>
          </a:r>
          <a:r>
            <a:rPr lang="es-ES" sz="3200" b="1" cap="none" spc="0">
              <a:ln w="22225">
                <a:solidFill>
                  <a:schemeClr val="bg2">
                    <a:lumMod val="50000"/>
                  </a:schemeClr>
                </a:solidFill>
                <a:prstDash val="solid"/>
              </a:ln>
              <a:solidFill>
                <a:schemeClr val="bg2">
                  <a:lumMod val="75000"/>
                </a:schemeClr>
              </a:solidFill>
              <a:effectLst/>
            </a:rPr>
            <a:t>+ </a:t>
          </a:r>
          <a:r>
            <a:rPr lang="es-ES" sz="3200" b="1" cap="none" spc="0">
              <a:ln w="22225">
                <a:solidFill>
                  <a:srgbClr val="BBB92C"/>
                </a:solidFill>
                <a:prstDash val="solid"/>
              </a:ln>
              <a:solidFill>
                <a:srgbClr val="ECF4C1"/>
              </a:solidFill>
              <a:effectLst/>
            </a:rPr>
            <a:t>4.1</a:t>
          </a:r>
          <a:r>
            <a:rPr lang="es-ES" sz="32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</a:t>
          </a:r>
          <a:r>
            <a:rPr lang="es-ES" sz="3200" b="1" cap="none" spc="0">
              <a:ln w="22225">
                <a:solidFill>
                  <a:schemeClr val="bg2">
                    <a:lumMod val="50000"/>
                  </a:schemeClr>
                </a:solidFill>
                <a:prstDash val="solid"/>
              </a:ln>
              <a:solidFill>
                <a:schemeClr val="bg2">
                  <a:lumMod val="75000"/>
                </a:schemeClr>
              </a:solidFill>
              <a:effectLst/>
            </a:rPr>
            <a:t>+ </a:t>
          </a:r>
          <a:r>
            <a:rPr lang="es-ES" sz="3200" b="1" cap="none" spc="0">
              <a:ln w="22225">
                <a:solidFill>
                  <a:srgbClr val="BBB92C"/>
                </a:solidFill>
                <a:prstDash val="solid"/>
              </a:ln>
              <a:solidFill>
                <a:srgbClr val="ECF4C1"/>
              </a:solidFill>
              <a:effectLst/>
            </a:rPr>
            <a:t>4.2</a:t>
          </a:r>
          <a:endParaRPr lang="es-ES" sz="3200" b="1" cap="none" spc="0">
            <a:ln w="22225">
              <a:solidFill>
                <a:srgbClr val="BBB92C"/>
              </a:solidFill>
              <a:prstDash val="solid"/>
            </a:ln>
            <a:solidFill>
              <a:srgbClr val="ECF4C1"/>
            </a:solid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oneCellAnchor>
    <xdr:from>
      <xdr:col>2</xdr:col>
      <xdr:colOff>759239</xdr:colOff>
      <xdr:row>11</xdr:row>
      <xdr:rowOff>69022</xdr:rowOff>
    </xdr:from>
    <xdr:ext cx="582155" cy="937629"/>
    <xdr:sp macro="" textlink="">
      <xdr:nvSpPr>
        <xdr:cNvPr id="54" name="Rectángulo 13">
          <a:extLst>
            <a:ext uri="{FF2B5EF4-FFF2-40B4-BE49-F238E27FC236}">
              <a16:creationId xmlns:a16="http://schemas.microsoft.com/office/drawing/2014/main" id="{78D903E7-53BA-8F4B-AA78-4826CFD5D815}"/>
            </a:ext>
            <a:ext uri="{147F2762-F138-4A5C-976F-8EAC2B608ADB}">
              <a16:predDERef xmlns:a16="http://schemas.microsoft.com/office/drawing/2014/main" pred="{A86F69D5-DF74-4391-8914-0490E9AFAA5E}"/>
            </a:ext>
          </a:extLst>
        </xdr:cNvPr>
        <xdr:cNvSpPr/>
      </xdr:nvSpPr>
      <xdr:spPr>
        <a:xfrm>
          <a:off x="2415761" y="2112065"/>
          <a:ext cx="582155" cy="937629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rgbClr val="FFC670"/>
              </a:solidFill>
              <a:effectLst/>
            </a:rPr>
            <a:t>1</a:t>
          </a:r>
          <a:endParaRPr lang="es-ES" sz="5400" b="1" cap="none" spc="0">
            <a:ln w="22225">
              <a:solidFill>
                <a:schemeClr val="accent2"/>
              </a:solidFill>
              <a:prstDash val="solid"/>
            </a:ln>
            <a:solidFill>
              <a:srgbClr val="FFC670"/>
            </a:solid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oneCellAnchor>
    <xdr:from>
      <xdr:col>8</xdr:col>
      <xdr:colOff>0</xdr:colOff>
      <xdr:row>7</xdr:row>
      <xdr:rowOff>110436</xdr:rowOff>
    </xdr:from>
    <xdr:ext cx="582155" cy="937629"/>
    <xdr:sp macro="" textlink="">
      <xdr:nvSpPr>
        <xdr:cNvPr id="2" name="Rectángulo 13">
          <a:extLst>
            <a:ext uri="{FF2B5EF4-FFF2-40B4-BE49-F238E27FC236}">
              <a16:creationId xmlns:a16="http://schemas.microsoft.com/office/drawing/2014/main" id="{6A5383BE-9C70-5640-B7A0-3F7C311430B2}"/>
            </a:ext>
            <a:ext uri="{147F2762-F138-4A5C-976F-8EAC2B608ADB}">
              <a16:predDERef xmlns:a16="http://schemas.microsoft.com/office/drawing/2014/main" pred="{A86F69D5-DF74-4391-8914-0490E9AFAA5E}"/>
            </a:ext>
          </a:extLst>
        </xdr:cNvPr>
        <xdr:cNvSpPr/>
      </xdr:nvSpPr>
      <xdr:spPr>
        <a:xfrm>
          <a:off x="6626087" y="1394240"/>
          <a:ext cx="582155" cy="937629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rgbClr val="FFC670"/>
              </a:solidFill>
              <a:effectLst/>
            </a:rPr>
            <a:t>1</a:t>
          </a:r>
          <a:endParaRPr lang="es-ES" sz="5400" b="1" cap="none" spc="0">
            <a:ln w="22225">
              <a:solidFill>
                <a:schemeClr val="accent2"/>
              </a:solidFill>
              <a:prstDash val="solid"/>
            </a:ln>
            <a:solidFill>
              <a:srgbClr val="FFC670"/>
            </a:solid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alentinagirardi/Downloads/PARA%20TRABAJO%20DE%20FORMACIO&#769;N.xlsx" TargetMode="External"/><Relationship Id="rId1" Type="http://schemas.openxmlformats.org/officeDocument/2006/relationships/externalLinkPath" Target="PARA%20TRABAJO%20DE%20FORMACIO&#769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tocolos y Curvas de Calibrac"/>
      <sheetName val="Caracterización efluente"/>
      <sheetName val="Resumen ORIG"/>
      <sheetName val="Resumen OLD"/>
      <sheetName val="Resumen OK!"/>
      <sheetName val="Hoja2"/>
      <sheetName val="Valen's analysis"/>
      <sheetName val="bal 1 235-264"/>
      <sheetName val="bal 2 267-291"/>
      <sheetName val="bal 3 291-312"/>
      <sheetName val="bal 4 322-336"/>
      <sheetName val="Biogás"/>
      <sheetName val="Sulfuros"/>
      <sheetName val="Sulfatos"/>
      <sheetName val="DQO"/>
      <sheetName val="Dosificación del hierro"/>
      <sheetName val="Dosificación del hierro (2)"/>
      <sheetName val="Dosificación del hierro (3)"/>
      <sheetName val="Dosificación del hierro (4)"/>
      <sheetName val="Dosificación del hierro (5)"/>
      <sheetName val="Prueba Fe R6 Falcon"/>
      <sheetName val="Dosificación del hierro R6"/>
      <sheetName val="balS 39-41"/>
      <sheetName val="balS 41-47"/>
      <sheetName val="balS 73-80"/>
      <sheetName val="balS 95-102"/>
      <sheetName val="balS 117-137"/>
      <sheetName val="balS181-235"/>
      <sheetName val="balS 235-249"/>
      <sheetName val="balS 249-264"/>
      <sheetName val="balS 235-277"/>
      <sheetName val="balS 277-291"/>
      <sheetName val="Hoja1"/>
    </sheetNames>
    <sheetDataSet>
      <sheetData sheetId="0"/>
      <sheetData sheetId="1"/>
      <sheetData sheetId="2">
        <row r="146">
          <cell r="AI146" t="str">
            <v>Fe3+ mg/d</v>
          </cell>
          <cell r="AS146" t="str">
            <v>S mg/d abatidos total</v>
          </cell>
        </row>
      </sheetData>
      <sheetData sheetId="3"/>
      <sheetData sheetId="4"/>
      <sheetData sheetId="5"/>
      <sheetData sheetId="6"/>
      <sheetData sheetId="7">
        <row r="195">
          <cell r="D195" t="str">
            <v xml:space="preserve">S total input ACUM </v>
          </cell>
          <cell r="E195" t="str">
            <v>H2S ACUM</v>
          </cell>
          <cell r="F195" t="str">
            <v xml:space="preserve">Bioreactor Cambio Stotal de SO4 </v>
          </cell>
          <cell r="G195" t="str">
            <v xml:space="preserve">Bioreactor Cambio Stotal de S= </v>
          </cell>
          <cell r="H195" t="str">
            <v xml:space="preserve">DIG ACUM Stotal de SO4 </v>
          </cell>
          <cell r="I195" t="str">
            <v xml:space="preserve">DIG ACUM Stotal de S= </v>
          </cell>
          <cell r="J195" t="str">
            <v xml:space="preserve">S total output ACUM 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Valentina Girardi" id="{3A0882AA-5596-8049-9A15-5C822FF4A5B8}" userId="S::Valentinagirardi@uca.edu.ar::7d5d8920-df30-4b4e-b4c3-5f9a67967b86" providerId="AD"/>
  <person displayName="Valentina Girardi" id="{29BA2D1E-3006-6047-8968-2652401A2645}" userId="S::valentinagirardi@uca.edu.ar::7d5d8920-df30-4b4e-b4c3-5f9a67967b86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2-01-31T18:48:39.58" personId="{29BA2D1E-3006-6047-8968-2652401A2645}" id="{5961EC5F-87D2-FA40-9350-CC2614323453}">
    <text>no tiene agitación</text>
  </threadedComment>
  <threadedComment ref="B15" dT="2022-10-21T18:02:24.72" personId="{3A0882AA-5596-8049-9A15-5C822FF4A5B8}" id="{647E6106-BED4-234F-B057-1C7F2B5391AB}">
    <text>0,18 g x día de FeCl3 al R5 = 3 ml de la sol. FeCl36H2O x día</text>
  </threadedComment>
  <threadedComment ref="B18" dT="2022-10-28T14:09:26.78" personId="{29BA2D1E-3006-6047-8968-2652401A2645}" id="{794C77E6-F41E-1449-9F2F-72ED413CEFCA}">
    <text>Midió Lau</text>
  </threadedComment>
  <threadedComment ref="B41" dT="2022-12-13T14:54:39.64" personId="{29BA2D1E-3006-6047-8968-2652401A2645}" id="{09D3D8AC-D39E-794B-9B8F-C255760EC373}">
    <text>Le empezamos a dosificar más hierro al 5, 4,5 ml de la sol. FeCl36h20</text>
  </threadedComment>
  <threadedComment ref="B42" dT="2022-12-13T14:54:58.19" personId="{29BA2D1E-3006-6047-8968-2652401A2645}" id="{25511349-3273-B845-9BA8-9BD22B41929D}">
    <text>Dos días estuvieron sin comer por corte de wifi</text>
  </threadedComment>
  <threadedComment ref="B53" dT="2022-12-30T17:55:12.07" personId="{29BA2D1E-3006-6047-8968-2652401A2645}" id="{E466F25D-04FE-A24B-8A74-380DB6B6FF04}">
    <text>le sacamos el hierro a R5. 
R6 nuevo efluente SOLAMB</text>
  </threadedComment>
  <threadedComment ref="B59" dT="2023-01-13T14:31:15.59" personId="{29BA2D1E-3006-6047-8968-2652401A2645}" id="{FBB99F45-9666-D54C-B833-15CC72971088}">
    <text>Me quedé sin efluente p R5, comencé a utilizar el efluente nuevo (el que ya tenía R6) en la misma proporción que R6 p/mantener constante la DQO, sulfatos y la relación entre ambos.
LE PUSE HIERRO AL REACTOR 6</text>
  </threadedComment>
  <threadedComment ref="B60" dT="2023-01-13T14:37:35.32" personId="{29BA2D1E-3006-6047-8968-2652401A2645}" id="{4EAB7965-838E-BE42-A341-742F2E7C0918}">
    <text>Medí más tarde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9166-395A-0A4D-9B7F-57E38909B685}">
  <sheetPr>
    <tabColor theme="2"/>
  </sheetPr>
  <dimension ref="B1:AP65"/>
  <sheetViews>
    <sheetView zoomScale="125" zoomScaleNormal="97" workbookViewId="0">
      <selection activeCell="H3" sqref="H3:H14"/>
    </sheetView>
  </sheetViews>
  <sheetFormatPr baseColWidth="10" defaultRowHeight="15" x14ac:dyDescent="0.2"/>
  <cols>
    <col min="1" max="16384" width="10.83203125" style="2"/>
  </cols>
  <sheetData>
    <row r="1" spans="2:40" ht="16" thickBot="1" x14ac:dyDescent="0.25">
      <c r="B1" s="72"/>
      <c r="C1" s="72"/>
      <c r="D1" s="208" t="s">
        <v>11</v>
      </c>
      <c r="E1" s="209"/>
      <c r="F1" s="209"/>
      <c r="G1" s="209"/>
      <c r="H1" s="209"/>
      <c r="I1" s="209"/>
      <c r="J1" s="209"/>
      <c r="K1" s="210"/>
      <c r="L1" s="211" t="s">
        <v>12</v>
      </c>
      <c r="M1" s="212"/>
      <c r="N1" s="212"/>
      <c r="O1" s="212"/>
      <c r="P1" s="212"/>
      <c r="Q1" s="212"/>
      <c r="R1" s="212"/>
      <c r="S1" s="213"/>
    </row>
    <row r="2" spans="2:40" ht="16" thickBot="1" x14ac:dyDescent="0.25">
      <c r="B2" s="72"/>
      <c r="C2" s="72"/>
      <c r="D2" s="45" t="s">
        <v>0</v>
      </c>
      <c r="E2" s="46" t="s">
        <v>1</v>
      </c>
      <c r="F2" s="46" t="s">
        <v>2</v>
      </c>
      <c r="G2" s="46" t="s">
        <v>3</v>
      </c>
      <c r="H2" s="46" t="s">
        <v>4</v>
      </c>
      <c r="I2" s="47" t="s">
        <v>5</v>
      </c>
      <c r="J2" s="46" t="s">
        <v>6</v>
      </c>
      <c r="K2" s="44" t="s">
        <v>7</v>
      </c>
      <c r="L2" s="53" t="s">
        <v>0</v>
      </c>
      <c r="M2" s="54" t="s">
        <v>1</v>
      </c>
      <c r="N2" s="54" t="s">
        <v>2</v>
      </c>
      <c r="O2" s="54" t="s">
        <v>3</v>
      </c>
      <c r="P2" s="54" t="s">
        <v>4</v>
      </c>
      <c r="Q2" s="55" t="s">
        <v>5</v>
      </c>
      <c r="R2" s="54" t="s">
        <v>6</v>
      </c>
      <c r="S2" s="52" t="s">
        <v>7</v>
      </c>
      <c r="V2" s="5" t="s">
        <v>8</v>
      </c>
      <c r="W2" s="4"/>
      <c r="X2" s="4"/>
      <c r="Y2" s="4"/>
      <c r="AA2" s="5" t="s">
        <v>14</v>
      </c>
      <c r="AB2" s="4"/>
      <c r="AC2" s="4"/>
      <c r="AD2" s="4"/>
      <c r="AF2" s="5" t="s">
        <v>15</v>
      </c>
      <c r="AG2" s="4"/>
      <c r="AH2" s="4"/>
      <c r="AI2" s="4"/>
      <c r="AK2" s="5" t="s">
        <v>16</v>
      </c>
      <c r="AL2" s="4"/>
      <c r="AM2" s="4"/>
      <c r="AN2" s="4"/>
    </row>
    <row r="3" spans="2:40" ht="16" thickBot="1" x14ac:dyDescent="0.25">
      <c r="B3" s="6">
        <v>44834</v>
      </c>
      <c r="C3" s="7">
        <v>0</v>
      </c>
      <c r="D3" s="73">
        <v>3.4</v>
      </c>
      <c r="E3" s="74">
        <v>71.3</v>
      </c>
      <c r="F3" s="74">
        <v>18.39</v>
      </c>
      <c r="G3" s="74">
        <v>3.9</v>
      </c>
      <c r="H3" s="75">
        <v>3623</v>
      </c>
      <c r="I3" s="75">
        <f t="shared" ref="I3" si="0">H3/E3</f>
        <v>50.813464235624124</v>
      </c>
      <c r="J3" s="74">
        <v>27.8</v>
      </c>
      <c r="K3" s="76">
        <v>31</v>
      </c>
      <c r="L3" s="77">
        <v>3.4</v>
      </c>
      <c r="M3" s="78">
        <v>71.3</v>
      </c>
      <c r="N3" s="78">
        <v>18.39</v>
      </c>
      <c r="O3" s="78">
        <v>3.9</v>
      </c>
      <c r="P3" s="78">
        <v>3323</v>
      </c>
      <c r="Q3" s="79">
        <f t="shared" ref="Q3" si="1">P3/M3</f>
        <v>46.605890603085555</v>
      </c>
      <c r="R3" s="78">
        <v>27.8</v>
      </c>
      <c r="S3" s="80">
        <v>31</v>
      </c>
      <c r="V3" s="9" t="s">
        <v>9</v>
      </c>
      <c r="W3" s="10" t="s">
        <v>10</v>
      </c>
      <c r="X3" s="60" t="s">
        <v>11</v>
      </c>
      <c r="Y3" s="62" t="s">
        <v>12</v>
      </c>
      <c r="AA3" s="11" t="s">
        <v>9</v>
      </c>
      <c r="AB3" s="12" t="s">
        <v>10</v>
      </c>
      <c r="AC3" s="61" t="s">
        <v>11</v>
      </c>
      <c r="AD3" s="63" t="s">
        <v>12</v>
      </c>
      <c r="AF3" s="9" t="s">
        <v>9</v>
      </c>
      <c r="AG3" s="13" t="s">
        <v>10</v>
      </c>
      <c r="AH3" s="60" t="s">
        <v>11</v>
      </c>
      <c r="AI3" s="62" t="s">
        <v>12</v>
      </c>
      <c r="AK3" s="11" t="s">
        <v>9</v>
      </c>
      <c r="AL3" s="14" t="s">
        <v>10</v>
      </c>
      <c r="AM3" s="60" t="s">
        <v>11</v>
      </c>
      <c r="AN3" s="62" t="s">
        <v>12</v>
      </c>
    </row>
    <row r="4" spans="2:40" x14ac:dyDescent="0.2">
      <c r="B4" s="6">
        <v>44833</v>
      </c>
      <c r="C4" s="7">
        <f>244-243</f>
        <v>1</v>
      </c>
      <c r="D4" s="73">
        <v>3.4</v>
      </c>
      <c r="E4" s="74">
        <v>71.34</v>
      </c>
      <c r="F4" s="74">
        <v>16.55</v>
      </c>
      <c r="G4" s="74">
        <v>4.2</v>
      </c>
      <c r="H4" s="75">
        <v>2937</v>
      </c>
      <c r="I4" s="75">
        <f t="shared" ref="I4:I63" si="2">H4/E4</f>
        <v>41.169049621530696</v>
      </c>
      <c r="J4" s="74">
        <v>24.9</v>
      </c>
      <c r="K4" s="76">
        <v>28.9</v>
      </c>
      <c r="L4" s="77">
        <v>3.4</v>
      </c>
      <c r="M4" s="78">
        <v>71.3</v>
      </c>
      <c r="N4" s="78">
        <v>18.39</v>
      </c>
      <c r="O4" s="78">
        <v>3.9</v>
      </c>
      <c r="P4" s="78">
        <v>3323</v>
      </c>
      <c r="Q4" s="79">
        <f t="shared" ref="Q4:Q43" si="3">P4/M4</f>
        <v>46.605890603085555</v>
      </c>
      <c r="R4" s="78">
        <v>27.8</v>
      </c>
      <c r="S4" s="80">
        <v>31</v>
      </c>
      <c r="V4" s="15">
        <v>44832</v>
      </c>
      <c r="W4" s="16">
        <v>0</v>
      </c>
      <c r="X4" s="17">
        <v>78.172133333333306</v>
      </c>
      <c r="Y4" s="64">
        <v>122.86613333333335</v>
      </c>
      <c r="AA4" s="18">
        <v>44824</v>
      </c>
      <c r="AB4" s="19">
        <v>0</v>
      </c>
      <c r="AC4" s="20">
        <v>188.32374999996901</v>
      </c>
      <c r="AD4" s="67">
        <v>190.83272727272566</v>
      </c>
      <c r="AF4" s="15">
        <v>44832</v>
      </c>
      <c r="AG4" s="21">
        <v>-5</v>
      </c>
      <c r="AH4" s="22">
        <v>2132.3780000000002</v>
      </c>
      <c r="AI4" s="69">
        <v>4060.6862500000002</v>
      </c>
      <c r="AK4" s="23">
        <v>44834</v>
      </c>
      <c r="AL4" s="24">
        <v>2</v>
      </c>
      <c r="AM4" s="25">
        <v>7.48</v>
      </c>
      <c r="AN4" s="70">
        <v>7.6</v>
      </c>
    </row>
    <row r="5" spans="2:40" x14ac:dyDescent="0.2">
      <c r="B5" s="6">
        <v>44834</v>
      </c>
      <c r="C5" s="7">
        <f>245-243</f>
        <v>2</v>
      </c>
      <c r="D5" s="73">
        <v>3.4</v>
      </c>
      <c r="E5" s="74">
        <v>71.650000000000006</v>
      </c>
      <c r="F5" s="74">
        <v>16.739999999999998</v>
      </c>
      <c r="G5" s="74">
        <v>4.4000000000000004</v>
      </c>
      <c r="H5" s="75">
        <v>2325</v>
      </c>
      <c r="I5" s="75">
        <f t="shared" si="2"/>
        <v>32.449406838799717</v>
      </c>
      <c r="J5" s="74">
        <v>25.4</v>
      </c>
      <c r="K5" s="76">
        <v>29.8</v>
      </c>
      <c r="L5" s="77">
        <v>3.2</v>
      </c>
      <c r="M5" s="78">
        <v>69.430000000000007</v>
      </c>
      <c r="N5" s="78">
        <v>18.71</v>
      </c>
      <c r="O5" s="78">
        <v>4.0999999999999996</v>
      </c>
      <c r="P5" s="78">
        <v>3337</v>
      </c>
      <c r="Q5" s="79">
        <f t="shared" si="3"/>
        <v>48.062797061788849</v>
      </c>
      <c r="R5" s="78">
        <v>26.7</v>
      </c>
      <c r="S5" s="80">
        <v>30.2</v>
      </c>
      <c r="V5" s="23">
        <v>44838</v>
      </c>
      <c r="W5" s="26">
        <f>249-243</f>
        <v>6</v>
      </c>
      <c r="X5" s="8">
        <v>77.732133333333394</v>
      </c>
      <c r="Y5" s="65">
        <v>130.20773333333335</v>
      </c>
      <c r="AA5" s="27">
        <v>44833</v>
      </c>
      <c r="AB5" s="28">
        <v>1</v>
      </c>
      <c r="AC5" s="29">
        <v>43.159999999992699</v>
      </c>
      <c r="AD5" s="66">
        <v>194.88777999999999</v>
      </c>
      <c r="AF5" s="23">
        <v>44838</v>
      </c>
      <c r="AG5" s="30">
        <v>2</v>
      </c>
      <c r="AH5" s="25">
        <v>1699.1457499999997</v>
      </c>
      <c r="AI5" s="70">
        <v>4026.7072500000004</v>
      </c>
      <c r="AK5" s="23">
        <v>44840</v>
      </c>
      <c r="AL5" s="31">
        <v>8</v>
      </c>
      <c r="AM5" s="25">
        <v>7.49</v>
      </c>
      <c r="AN5" s="70">
        <v>7.54</v>
      </c>
    </row>
    <row r="6" spans="2:40" x14ac:dyDescent="0.2">
      <c r="B6" s="6">
        <v>44838</v>
      </c>
      <c r="C6" s="7">
        <f>249-243</f>
        <v>6</v>
      </c>
      <c r="D6" s="73">
        <v>3.3</v>
      </c>
      <c r="E6" s="74">
        <v>71.42</v>
      </c>
      <c r="F6" s="74">
        <v>16.489999999999998</v>
      </c>
      <c r="G6" s="74">
        <v>4.5</v>
      </c>
      <c r="H6" s="75">
        <v>2215</v>
      </c>
      <c r="I6" s="75">
        <f t="shared" si="2"/>
        <v>31.013721646597592</v>
      </c>
      <c r="J6" s="74">
        <v>28.2</v>
      </c>
      <c r="K6" s="76">
        <v>31</v>
      </c>
      <c r="L6" s="77">
        <v>3.2</v>
      </c>
      <c r="M6" s="78">
        <v>71.42</v>
      </c>
      <c r="N6" s="78">
        <v>16.489999999999998</v>
      </c>
      <c r="O6" s="78">
        <v>4.5</v>
      </c>
      <c r="P6" s="78">
        <v>2610</v>
      </c>
      <c r="Q6" s="79">
        <f t="shared" si="3"/>
        <v>36.544385326239151</v>
      </c>
      <c r="R6" s="78">
        <v>28</v>
      </c>
      <c r="S6" s="80">
        <v>30.6</v>
      </c>
      <c r="V6" s="23">
        <v>44845</v>
      </c>
      <c r="W6" s="26">
        <f>256-243</f>
        <v>13</v>
      </c>
      <c r="X6" s="8">
        <v>81.803333333333342</v>
      </c>
      <c r="Y6" s="65">
        <v>143.68253333333334</v>
      </c>
      <c r="AA6" s="27">
        <v>44838</v>
      </c>
      <c r="AB6" s="28">
        <v>6</v>
      </c>
      <c r="AC6" s="29">
        <v>45.661875000007825</v>
      </c>
      <c r="AD6" s="66">
        <v>200.35235294116114</v>
      </c>
      <c r="AF6" s="23">
        <v>44845</v>
      </c>
      <c r="AG6" s="30">
        <v>8</v>
      </c>
      <c r="AH6" s="25">
        <v>1979.4725000000001</v>
      </c>
      <c r="AI6" s="70">
        <v>4391.9814999999999</v>
      </c>
      <c r="AK6" s="23">
        <v>44847</v>
      </c>
      <c r="AL6" s="31">
        <v>15</v>
      </c>
      <c r="AM6" s="25">
        <v>7.43</v>
      </c>
      <c r="AN6" s="70">
        <v>7.54</v>
      </c>
    </row>
    <row r="7" spans="2:40" x14ac:dyDescent="0.2">
      <c r="B7" s="6">
        <v>44839</v>
      </c>
      <c r="C7" s="7">
        <f>250-243</f>
        <v>7</v>
      </c>
      <c r="D7" s="73">
        <v>3.2</v>
      </c>
      <c r="E7" s="74">
        <v>70.92</v>
      </c>
      <c r="F7" s="74">
        <v>17.170000000000002</v>
      </c>
      <c r="G7" s="74">
        <v>4.4000000000000004</v>
      </c>
      <c r="H7" s="75">
        <v>1955</v>
      </c>
      <c r="I7" s="75">
        <f t="shared" si="2"/>
        <v>27.566271855611955</v>
      </c>
      <c r="J7" s="74">
        <v>27.8</v>
      </c>
      <c r="K7" s="76">
        <v>30.8</v>
      </c>
      <c r="L7" s="77">
        <v>3.1</v>
      </c>
      <c r="M7" s="78">
        <v>72.48</v>
      </c>
      <c r="N7" s="78">
        <v>16.13</v>
      </c>
      <c r="O7" s="78">
        <v>4.5</v>
      </c>
      <c r="P7" s="78">
        <v>2576</v>
      </c>
      <c r="Q7" s="79">
        <f t="shared" si="3"/>
        <v>35.540838852097131</v>
      </c>
      <c r="R7" s="78">
        <v>28.9</v>
      </c>
      <c r="S7" s="80">
        <v>31.5</v>
      </c>
      <c r="V7" s="23">
        <v>44853</v>
      </c>
      <c r="W7" s="26">
        <f>264-243</f>
        <v>21</v>
      </c>
      <c r="X7" s="8">
        <v>80.542933333333295</v>
      </c>
      <c r="Y7" s="65">
        <v>137.70893333333333</v>
      </c>
      <c r="AA7" s="27">
        <v>44853</v>
      </c>
      <c r="AB7" s="28">
        <v>21</v>
      </c>
      <c r="AC7" s="29">
        <v>48.706000000008345</v>
      </c>
      <c r="AD7" s="66">
        <v>201.25400000000101</v>
      </c>
      <c r="AF7" s="23">
        <v>44853</v>
      </c>
      <c r="AG7" s="30">
        <v>16</v>
      </c>
      <c r="AH7" s="25">
        <v>1936.9987500000002</v>
      </c>
      <c r="AI7" s="70">
        <v>4009.7177500000003</v>
      </c>
      <c r="AK7" s="23">
        <v>44855</v>
      </c>
      <c r="AL7" s="31">
        <v>23</v>
      </c>
      <c r="AM7" s="25">
        <v>7.4</v>
      </c>
      <c r="AN7" s="70">
        <v>7.58</v>
      </c>
    </row>
    <row r="8" spans="2:40" x14ac:dyDescent="0.2">
      <c r="B8" s="6">
        <v>44840</v>
      </c>
      <c r="C8" s="7">
        <f>251-243</f>
        <v>8</v>
      </c>
      <c r="D8" s="73">
        <v>3.3</v>
      </c>
      <c r="E8" s="74">
        <v>71.53</v>
      </c>
      <c r="F8" s="74">
        <v>16.649999999999999</v>
      </c>
      <c r="G8" s="74">
        <v>4.5</v>
      </c>
      <c r="H8" s="75">
        <v>1963</v>
      </c>
      <c r="I8" s="75">
        <f t="shared" si="2"/>
        <v>27.4430308961275</v>
      </c>
      <c r="J8" s="74">
        <v>28.2</v>
      </c>
      <c r="K8" s="76">
        <v>31.1</v>
      </c>
      <c r="L8" s="77">
        <v>3.2</v>
      </c>
      <c r="M8" s="78">
        <v>71.41</v>
      </c>
      <c r="N8" s="78">
        <v>17.559999999999999</v>
      </c>
      <c r="O8" s="78">
        <v>4.7</v>
      </c>
      <c r="P8" s="78">
        <v>2473</v>
      </c>
      <c r="Q8" s="79">
        <f t="shared" si="3"/>
        <v>34.631004061055876</v>
      </c>
      <c r="R8" s="78">
        <v>28.4</v>
      </c>
      <c r="S8" s="80">
        <v>31</v>
      </c>
      <c r="V8" s="23">
        <v>44859</v>
      </c>
      <c r="W8" s="26">
        <f>270-243</f>
        <v>27</v>
      </c>
      <c r="X8" s="8">
        <v>64.270133333333348</v>
      </c>
      <c r="Y8" s="65">
        <v>138.94013333333334</v>
      </c>
      <c r="AA8" s="27">
        <v>44866</v>
      </c>
      <c r="AB8" s="28">
        <v>34</v>
      </c>
      <c r="AC8" s="29">
        <v>56.507796610161726</v>
      </c>
      <c r="AD8" s="66">
        <v>195.03507692307232</v>
      </c>
      <c r="AF8" s="23">
        <v>44859</v>
      </c>
      <c r="AG8" s="30">
        <v>23</v>
      </c>
      <c r="AH8" s="25">
        <v>1775.5985000000001</v>
      </c>
      <c r="AI8" s="70">
        <v>3500.0327499999999</v>
      </c>
      <c r="AK8" s="23">
        <v>44859</v>
      </c>
      <c r="AL8" s="31">
        <v>27</v>
      </c>
      <c r="AM8" s="25">
        <v>7.38</v>
      </c>
      <c r="AN8" s="70">
        <v>7.53</v>
      </c>
    </row>
    <row r="9" spans="2:40" x14ac:dyDescent="0.2">
      <c r="B9" s="6">
        <v>44846</v>
      </c>
      <c r="C9" s="7">
        <f>257-243</f>
        <v>14</v>
      </c>
      <c r="D9" s="73">
        <v>3.4</v>
      </c>
      <c r="E9" s="74">
        <v>71.7</v>
      </c>
      <c r="F9" s="74">
        <v>17.45</v>
      </c>
      <c r="G9" s="74">
        <v>4.3</v>
      </c>
      <c r="H9" s="75">
        <v>1916</v>
      </c>
      <c r="I9" s="75">
        <f t="shared" si="2"/>
        <v>26.722454672245465</v>
      </c>
      <c r="J9" s="74">
        <v>28.2</v>
      </c>
      <c r="K9" s="76">
        <v>31.2</v>
      </c>
      <c r="L9" s="77">
        <v>3.3</v>
      </c>
      <c r="M9" s="78">
        <v>71.89</v>
      </c>
      <c r="N9" s="78">
        <v>19.38</v>
      </c>
      <c r="O9" s="78">
        <v>3.5</v>
      </c>
      <c r="P9" s="78">
        <v>3068</v>
      </c>
      <c r="Q9" s="79">
        <f t="shared" si="3"/>
        <v>42.67631103074141</v>
      </c>
      <c r="R9" s="78">
        <v>27.9</v>
      </c>
      <c r="S9" s="80">
        <v>31.3</v>
      </c>
      <c r="V9" s="23" t="s">
        <v>13</v>
      </c>
      <c r="W9" s="26">
        <f>277-243</f>
        <v>34</v>
      </c>
      <c r="X9" s="8">
        <v>64.976933333333335</v>
      </c>
      <c r="Y9" s="65">
        <v>137.36693333333335</v>
      </c>
      <c r="AA9" s="27">
        <v>44880</v>
      </c>
      <c r="AB9" s="28">
        <v>48</v>
      </c>
      <c r="AC9" s="29">
        <v>58.3199999999729</v>
      </c>
      <c r="AD9" s="66">
        <v>201.36738461541026</v>
      </c>
      <c r="AF9" s="23" t="s">
        <v>13</v>
      </c>
      <c r="AG9" s="30">
        <v>27</v>
      </c>
      <c r="AH9" s="25">
        <v>1775.5984999999998</v>
      </c>
      <c r="AI9" s="70">
        <v>3746.3805000000002</v>
      </c>
      <c r="AK9" s="23">
        <v>44869</v>
      </c>
      <c r="AL9" s="31">
        <v>37</v>
      </c>
      <c r="AM9" s="25">
        <v>7.41</v>
      </c>
      <c r="AN9" s="70">
        <v>7.57</v>
      </c>
    </row>
    <row r="10" spans="2:40" x14ac:dyDescent="0.2">
      <c r="B10" s="6">
        <v>44847</v>
      </c>
      <c r="C10" s="7">
        <f>258-243</f>
        <v>15</v>
      </c>
      <c r="D10" s="73">
        <v>3.5</v>
      </c>
      <c r="E10" s="74">
        <v>71.34</v>
      </c>
      <c r="F10" s="74">
        <v>17.37</v>
      </c>
      <c r="G10" s="74">
        <v>4.4000000000000004</v>
      </c>
      <c r="H10" s="75">
        <v>2079</v>
      </c>
      <c r="I10" s="75">
        <f t="shared" si="2"/>
        <v>29.142136248948695</v>
      </c>
      <c r="J10" s="74">
        <v>28</v>
      </c>
      <c r="K10" s="76">
        <v>31</v>
      </c>
      <c r="L10" s="77">
        <v>3.2</v>
      </c>
      <c r="M10" s="78">
        <v>72.12</v>
      </c>
      <c r="N10" s="78">
        <v>18.37</v>
      </c>
      <c r="O10" s="78">
        <v>3.8</v>
      </c>
      <c r="P10" s="78">
        <v>2725</v>
      </c>
      <c r="Q10" s="79">
        <f t="shared" si="3"/>
        <v>37.784248474764283</v>
      </c>
      <c r="R10" s="78">
        <v>28.2</v>
      </c>
      <c r="S10" s="80">
        <v>31.4</v>
      </c>
      <c r="V10" s="23">
        <v>44873</v>
      </c>
      <c r="W10" s="28">
        <f>284-243</f>
        <v>41</v>
      </c>
      <c r="X10" s="29">
        <v>64.908533333333338</v>
      </c>
      <c r="Y10" s="66">
        <v>132.32813333333337</v>
      </c>
      <c r="AA10" s="27">
        <v>44888</v>
      </c>
      <c r="AB10" s="28">
        <v>56</v>
      </c>
      <c r="AC10" s="29">
        <v>91.94181818179382</v>
      </c>
      <c r="AD10" s="66">
        <v>217.48054054056723</v>
      </c>
      <c r="AF10" s="23">
        <v>44873</v>
      </c>
      <c r="AG10" s="28">
        <v>37</v>
      </c>
      <c r="AH10" s="29">
        <v>1818.0722499999999</v>
      </c>
      <c r="AI10" s="66">
        <v>3788.8542500000003</v>
      </c>
      <c r="AK10" s="23">
        <v>44876</v>
      </c>
      <c r="AL10" s="30">
        <v>44</v>
      </c>
      <c r="AM10" s="25">
        <v>7.35</v>
      </c>
      <c r="AN10" s="70">
        <v>7.54</v>
      </c>
    </row>
    <row r="11" spans="2:40" x14ac:dyDescent="0.2">
      <c r="B11" s="32">
        <v>44848</v>
      </c>
      <c r="C11" s="33">
        <f>259-243</f>
        <v>16</v>
      </c>
      <c r="D11" s="48">
        <v>3.4</v>
      </c>
      <c r="E11" s="49">
        <v>69.569999999999993</v>
      </c>
      <c r="F11" s="49">
        <v>20.149999999999999</v>
      </c>
      <c r="G11" s="49">
        <v>3.7</v>
      </c>
      <c r="H11" s="50">
        <v>1847</v>
      </c>
      <c r="I11" s="50">
        <f t="shared" si="2"/>
        <v>26.548799770015815</v>
      </c>
      <c r="J11" s="49">
        <v>26.6</v>
      </c>
      <c r="K11" s="51">
        <v>30.2</v>
      </c>
      <c r="L11" s="56">
        <v>3.3</v>
      </c>
      <c r="M11" s="57">
        <v>72.02</v>
      </c>
      <c r="N11" s="57">
        <v>19.57</v>
      </c>
      <c r="O11" s="57">
        <v>3.3</v>
      </c>
      <c r="P11" s="57">
        <v>3267</v>
      </c>
      <c r="Q11" s="58">
        <f t="shared" si="3"/>
        <v>45.362399333518468</v>
      </c>
      <c r="R11" s="57">
        <v>28</v>
      </c>
      <c r="S11" s="59">
        <v>31.3</v>
      </c>
      <c r="V11" s="23">
        <v>44880</v>
      </c>
      <c r="W11" s="26">
        <f>291-243</f>
        <v>48</v>
      </c>
      <c r="X11" s="8">
        <v>65.068133333333336</v>
      </c>
      <c r="Y11" s="65">
        <v>134.17493333333334</v>
      </c>
      <c r="AA11" s="27">
        <v>44901</v>
      </c>
      <c r="AB11" s="28">
        <v>69</v>
      </c>
      <c r="AC11" s="29">
        <v>73.982339999999994</v>
      </c>
      <c r="AD11" s="66">
        <v>217.32480000000044</v>
      </c>
      <c r="AF11" s="23">
        <v>44880</v>
      </c>
      <c r="AG11" s="30">
        <v>44</v>
      </c>
      <c r="AH11" s="25">
        <v>2140.87275</v>
      </c>
      <c r="AI11" s="70">
        <v>3822.8332500000006</v>
      </c>
      <c r="AK11" s="23">
        <v>44883</v>
      </c>
      <c r="AL11" s="31">
        <v>51</v>
      </c>
      <c r="AM11" s="25">
        <v>7.3</v>
      </c>
      <c r="AN11" s="70">
        <v>7.55</v>
      </c>
    </row>
    <row r="12" spans="2:40" x14ac:dyDescent="0.2">
      <c r="B12" s="6">
        <v>44852</v>
      </c>
      <c r="C12" s="7">
        <f>263-243</f>
        <v>20</v>
      </c>
      <c r="D12" s="73">
        <v>3.3</v>
      </c>
      <c r="E12" s="74">
        <v>72.09</v>
      </c>
      <c r="F12" s="74">
        <v>17.7</v>
      </c>
      <c r="G12" s="74">
        <v>4</v>
      </c>
      <c r="H12" s="75">
        <v>1973</v>
      </c>
      <c r="I12" s="75">
        <f t="shared" si="2"/>
        <v>27.368567068941598</v>
      </c>
      <c r="J12" s="74">
        <v>28.3</v>
      </c>
      <c r="K12" s="76">
        <v>31.3</v>
      </c>
      <c r="L12" s="77">
        <v>3.3</v>
      </c>
      <c r="M12" s="78">
        <v>72.260000000000005</v>
      </c>
      <c r="N12" s="78">
        <v>18.05</v>
      </c>
      <c r="O12" s="78">
        <v>3.7</v>
      </c>
      <c r="P12" s="78">
        <v>2533</v>
      </c>
      <c r="Q12" s="79">
        <f t="shared" si="3"/>
        <v>35.053971768613337</v>
      </c>
      <c r="R12" s="78">
        <v>28.4</v>
      </c>
      <c r="S12" s="80">
        <v>31.4</v>
      </c>
      <c r="V12" s="23">
        <v>44883</v>
      </c>
      <c r="W12" s="26">
        <v>51</v>
      </c>
      <c r="X12" s="8">
        <v>38.164133333333339</v>
      </c>
      <c r="Y12" s="65">
        <v>139.55573333333336</v>
      </c>
      <c r="AA12" s="27">
        <v>44916</v>
      </c>
      <c r="AB12" s="28">
        <v>84</v>
      </c>
      <c r="AC12" s="29">
        <v>56.897647058819949</v>
      </c>
      <c r="AD12" s="66">
        <v>205.16676923074101</v>
      </c>
      <c r="AF12" s="23">
        <v>44883</v>
      </c>
      <c r="AG12" s="30">
        <v>58</v>
      </c>
      <c r="AH12" s="25">
        <v>1962.4829999999999</v>
      </c>
      <c r="AI12" s="70">
        <v>3423.5800000000004</v>
      </c>
      <c r="AK12" s="23">
        <v>44890</v>
      </c>
      <c r="AL12" s="31">
        <v>58</v>
      </c>
      <c r="AM12" s="25">
        <v>7.39</v>
      </c>
      <c r="AN12" s="70">
        <v>7.6</v>
      </c>
    </row>
    <row r="13" spans="2:40" ht="16" thickBot="1" x14ac:dyDescent="0.25">
      <c r="B13" s="6">
        <v>44853</v>
      </c>
      <c r="C13" s="7">
        <f>264-243</f>
        <v>21</v>
      </c>
      <c r="D13" s="73">
        <v>3.3</v>
      </c>
      <c r="E13" s="74">
        <v>71.27</v>
      </c>
      <c r="F13" s="74">
        <v>18.239999999999998</v>
      </c>
      <c r="G13" s="74">
        <v>3.9</v>
      </c>
      <c r="H13" s="75">
        <v>1944</v>
      </c>
      <c r="I13" s="75">
        <f t="shared" si="2"/>
        <v>27.276553949768488</v>
      </c>
      <c r="J13" s="74">
        <v>27.8</v>
      </c>
      <c r="K13" s="76">
        <v>31</v>
      </c>
      <c r="L13" s="77">
        <v>3.2</v>
      </c>
      <c r="M13" s="78">
        <v>71.42</v>
      </c>
      <c r="N13" s="78">
        <v>18.93</v>
      </c>
      <c r="O13" s="78">
        <v>3.5</v>
      </c>
      <c r="P13" s="78">
        <v>3076</v>
      </c>
      <c r="Q13" s="79">
        <f t="shared" si="3"/>
        <v>43.069168300196026</v>
      </c>
      <c r="R13" s="78">
        <v>27.8</v>
      </c>
      <c r="S13" s="80">
        <v>31.1</v>
      </c>
      <c r="V13" s="23">
        <v>44888</v>
      </c>
      <c r="W13" s="26">
        <v>56</v>
      </c>
      <c r="X13" s="8">
        <v>29.887733333333337</v>
      </c>
      <c r="Y13" s="65">
        <v>135.61133333333333</v>
      </c>
      <c r="AA13" s="34">
        <v>44929</v>
      </c>
      <c r="AB13" s="35">
        <v>97</v>
      </c>
      <c r="AC13" s="36">
        <v>50.897647058819899</v>
      </c>
      <c r="AD13" s="68">
        <v>207.67090909089038</v>
      </c>
      <c r="AF13" s="23">
        <v>44888</v>
      </c>
      <c r="AG13" s="30">
        <v>65</v>
      </c>
      <c r="AH13" s="25">
        <v>1622.6929999999998</v>
      </c>
      <c r="AI13" s="70">
        <v>3202.7165</v>
      </c>
      <c r="AK13" s="23">
        <v>44897</v>
      </c>
      <c r="AL13" s="31">
        <v>65</v>
      </c>
      <c r="AM13" s="25">
        <v>7.4</v>
      </c>
      <c r="AN13" s="70">
        <v>7.64</v>
      </c>
    </row>
    <row r="14" spans="2:40" x14ac:dyDescent="0.2">
      <c r="B14" s="6">
        <v>44854</v>
      </c>
      <c r="C14" s="7">
        <f>265-243</f>
        <v>22</v>
      </c>
      <c r="D14" s="73">
        <v>3.3</v>
      </c>
      <c r="E14" s="74">
        <v>71.349999999999994</v>
      </c>
      <c r="F14" s="74">
        <v>17.03</v>
      </c>
      <c r="G14" s="74">
        <v>4.4000000000000004</v>
      </c>
      <c r="H14" s="75">
        <v>1910</v>
      </c>
      <c r="I14" s="75">
        <f t="shared" si="2"/>
        <v>26.769446391030137</v>
      </c>
      <c r="J14" s="74">
        <v>28.1</v>
      </c>
      <c r="K14" s="76">
        <v>31</v>
      </c>
      <c r="L14" s="77">
        <v>3</v>
      </c>
      <c r="M14" s="78">
        <v>73.03</v>
      </c>
      <c r="N14" s="78">
        <v>16.43</v>
      </c>
      <c r="O14" s="78">
        <v>4.0999999999999996</v>
      </c>
      <c r="P14" s="78">
        <v>2375</v>
      </c>
      <c r="Q14" s="79">
        <f t="shared" si="3"/>
        <v>32.520881829385182</v>
      </c>
      <c r="R14" s="78">
        <v>29.1</v>
      </c>
      <c r="S14" s="80">
        <v>31.7</v>
      </c>
      <c r="V14" s="23">
        <v>44894</v>
      </c>
      <c r="W14" s="26">
        <v>62</v>
      </c>
      <c r="X14" s="8">
        <v>26.741333333333337</v>
      </c>
      <c r="Y14" s="65">
        <v>132.30533333333335</v>
      </c>
      <c r="AC14" s="2">
        <f>AVERAGE(AC5:AC13)</f>
        <v>58.452791545508575</v>
      </c>
      <c r="AD14" s="2">
        <f>AVERAGE(AD5:AD13)</f>
        <v>204.50440148242711</v>
      </c>
      <c r="AF14" s="23">
        <v>44894</v>
      </c>
      <c r="AG14" s="30">
        <v>78</v>
      </c>
      <c r="AH14" s="25">
        <v>1495.2717500000003</v>
      </c>
      <c r="AI14" s="70">
        <v>3049.8110000000001</v>
      </c>
      <c r="AK14" s="23">
        <v>44902</v>
      </c>
      <c r="AL14" s="31">
        <v>70</v>
      </c>
      <c r="AM14" s="25">
        <v>7.41</v>
      </c>
      <c r="AN14" s="70">
        <v>7.62</v>
      </c>
    </row>
    <row r="15" spans="2:40" x14ac:dyDescent="0.2">
      <c r="B15" s="6">
        <v>44855</v>
      </c>
      <c r="C15" s="7">
        <f>266-243</f>
        <v>23</v>
      </c>
      <c r="D15" s="73">
        <v>3.4</v>
      </c>
      <c r="E15" s="74">
        <v>70.760000000000005</v>
      </c>
      <c r="F15" s="74">
        <v>18.260000000000002</v>
      </c>
      <c r="G15" s="74">
        <v>4</v>
      </c>
      <c r="H15" s="75">
        <v>1637</v>
      </c>
      <c r="I15" s="75">
        <f t="shared" si="2"/>
        <v>23.13453928773318</v>
      </c>
      <c r="J15" s="74">
        <v>27.5</v>
      </c>
      <c r="K15" s="76">
        <v>30.8</v>
      </c>
      <c r="L15" s="77">
        <v>3</v>
      </c>
      <c r="M15" s="78">
        <v>72.150000000000006</v>
      </c>
      <c r="N15" s="78">
        <v>16.89</v>
      </c>
      <c r="O15" s="78">
        <v>4.0999999999999996</v>
      </c>
      <c r="P15" s="78">
        <v>2545</v>
      </c>
      <c r="Q15" s="79">
        <f t="shared" si="3"/>
        <v>35.273735273735269</v>
      </c>
      <c r="R15" s="78">
        <v>28.5</v>
      </c>
      <c r="S15" s="80">
        <v>31.4</v>
      </c>
      <c r="V15" s="23">
        <v>44901</v>
      </c>
      <c r="W15" s="26">
        <v>69</v>
      </c>
      <c r="X15" s="8">
        <v>31.027733333333337</v>
      </c>
      <c r="Y15" s="65">
        <v>130.20773333333335</v>
      </c>
      <c r="AC15" s="2">
        <f>_xlfn.STDEV.S(AC5:AC13)</f>
        <v>15.485711424118223</v>
      </c>
      <c r="AD15" s="2">
        <f>_xlfn.STDEV.S(AD5:AD13)</f>
        <v>8.3889906464563833</v>
      </c>
      <c r="AF15" s="23">
        <v>44901</v>
      </c>
      <c r="AG15" s="30">
        <v>85</v>
      </c>
      <c r="AH15" s="25">
        <v>1631.1877499999998</v>
      </c>
      <c r="AI15" s="70">
        <v>3304.6535000000003</v>
      </c>
      <c r="AK15" s="23">
        <v>44910</v>
      </c>
      <c r="AL15" s="31">
        <v>85</v>
      </c>
      <c r="AM15" s="25">
        <v>7.47</v>
      </c>
      <c r="AN15" s="70">
        <v>7.69</v>
      </c>
    </row>
    <row r="16" spans="2:40" x14ac:dyDescent="0.2">
      <c r="B16" s="6">
        <v>44859</v>
      </c>
      <c r="C16" s="7">
        <f>270-243</f>
        <v>27</v>
      </c>
      <c r="D16" s="73">
        <v>3.2</v>
      </c>
      <c r="E16" s="74">
        <v>70.709999999999994</v>
      </c>
      <c r="F16" s="74">
        <v>17.04</v>
      </c>
      <c r="G16" s="74">
        <v>4.4000000000000004</v>
      </c>
      <c r="H16" s="75">
        <v>1104</v>
      </c>
      <c r="I16" s="75">
        <f t="shared" si="2"/>
        <v>15.613067458633857</v>
      </c>
      <c r="J16" s="74">
        <v>27.7</v>
      </c>
      <c r="K16" s="76">
        <v>30.7</v>
      </c>
      <c r="L16" s="77">
        <v>2.9</v>
      </c>
      <c r="M16" s="78">
        <v>70.989999999999995</v>
      </c>
      <c r="N16" s="78">
        <v>17.95</v>
      </c>
      <c r="O16" s="78">
        <v>4</v>
      </c>
      <c r="P16" s="78">
        <v>2629</v>
      </c>
      <c r="Q16" s="79">
        <f t="shared" si="3"/>
        <v>37.033384983800538</v>
      </c>
      <c r="R16" s="78">
        <v>27.7</v>
      </c>
      <c r="S16" s="80">
        <v>30.9</v>
      </c>
      <c r="V16" s="23">
        <v>44908</v>
      </c>
      <c r="W16" s="26">
        <v>76</v>
      </c>
      <c r="X16" s="8">
        <v>15.820133333333334</v>
      </c>
      <c r="Y16" s="65">
        <v>136.47773333333336</v>
      </c>
      <c r="AF16" s="23">
        <v>44908</v>
      </c>
      <c r="AG16" s="30">
        <v>93</v>
      </c>
      <c r="AH16" s="25">
        <v>1495.2717499999999</v>
      </c>
      <c r="AI16" s="70">
        <v>3007.3372500000005</v>
      </c>
      <c r="AK16" s="23">
        <v>44917</v>
      </c>
      <c r="AL16" s="31">
        <v>88</v>
      </c>
      <c r="AM16" s="25">
        <v>7.43</v>
      </c>
      <c r="AN16" s="70">
        <v>7.65</v>
      </c>
    </row>
    <row r="17" spans="2:42" ht="16" thickBot="1" x14ac:dyDescent="0.25">
      <c r="B17" s="6">
        <v>44860</v>
      </c>
      <c r="C17" s="7">
        <f>271-243</f>
        <v>28</v>
      </c>
      <c r="D17" s="73">
        <v>2.8</v>
      </c>
      <c r="E17" s="74">
        <v>70.540000000000006</v>
      </c>
      <c r="F17" s="74">
        <v>16.739999999999998</v>
      </c>
      <c r="G17" s="74">
        <v>4.5999999999999996</v>
      </c>
      <c r="H17" s="75">
        <v>924</v>
      </c>
      <c r="I17" s="75">
        <f t="shared" si="2"/>
        <v>13.098950949815706</v>
      </c>
      <c r="J17" s="74">
        <v>27.7</v>
      </c>
      <c r="K17" s="76">
        <v>30.7</v>
      </c>
      <c r="L17" s="77">
        <v>2.9</v>
      </c>
      <c r="M17" s="78">
        <v>70.72</v>
      </c>
      <c r="N17" s="78">
        <v>17.809999999999999</v>
      </c>
      <c r="O17" s="78">
        <v>4.0999999999999996</v>
      </c>
      <c r="P17" s="78">
        <v>2578</v>
      </c>
      <c r="Q17" s="79">
        <f t="shared" si="3"/>
        <v>36.453619909502265</v>
      </c>
      <c r="R17" s="78">
        <v>27.6</v>
      </c>
      <c r="S17" s="80">
        <v>30.7</v>
      </c>
      <c r="V17" s="23">
        <v>44910</v>
      </c>
      <c r="W17" s="26">
        <v>78</v>
      </c>
      <c r="X17" s="8">
        <v>8.7749333333333333</v>
      </c>
      <c r="Y17" s="65">
        <v>138.07373333333337</v>
      </c>
      <c r="AF17" s="37">
        <v>44910</v>
      </c>
      <c r="AG17" s="38">
        <v>100</v>
      </c>
      <c r="AH17" s="39">
        <v>1529.2507499999999</v>
      </c>
      <c r="AI17" s="71">
        <v>3296.1587500000005</v>
      </c>
      <c r="AK17" s="23">
        <v>44925</v>
      </c>
      <c r="AL17" s="31">
        <v>93</v>
      </c>
      <c r="AM17" s="25">
        <v>7.45</v>
      </c>
      <c r="AN17" s="70">
        <v>7.64</v>
      </c>
    </row>
    <row r="18" spans="2:42" x14ac:dyDescent="0.2">
      <c r="B18" s="6">
        <v>44861</v>
      </c>
      <c r="C18" s="7">
        <f>272-243</f>
        <v>29</v>
      </c>
      <c r="D18" s="73">
        <v>2.7</v>
      </c>
      <c r="E18" s="74">
        <v>70.13</v>
      </c>
      <c r="F18" s="74">
        <v>20.14</v>
      </c>
      <c r="G18" s="74">
        <v>3.7</v>
      </c>
      <c r="H18" s="74">
        <v>1276</v>
      </c>
      <c r="I18" s="75">
        <f t="shared" si="2"/>
        <v>18.194781120775705</v>
      </c>
      <c r="J18" s="74">
        <v>26.8</v>
      </c>
      <c r="K18" s="76">
        <v>30.5</v>
      </c>
      <c r="L18" s="77">
        <v>2.7</v>
      </c>
      <c r="M18" s="78"/>
      <c r="N18" s="78"/>
      <c r="O18" s="78"/>
      <c r="P18" s="78">
        <v>2645</v>
      </c>
      <c r="Q18" s="79"/>
      <c r="R18" s="78"/>
      <c r="S18" s="80"/>
      <c r="V18" s="23">
        <v>44916</v>
      </c>
      <c r="W18" s="26">
        <v>84</v>
      </c>
      <c r="X18" s="8">
        <v>8.4101333333333343</v>
      </c>
      <c r="Y18" s="65">
        <v>135.97613333333334</v>
      </c>
      <c r="AF18" s="40"/>
      <c r="AH18" s="4"/>
      <c r="AI18" s="4"/>
      <c r="AK18" s="23">
        <v>44932</v>
      </c>
      <c r="AL18" s="31">
        <v>100</v>
      </c>
      <c r="AM18" s="25">
        <v>7.47</v>
      </c>
      <c r="AN18" s="70">
        <v>7.62</v>
      </c>
    </row>
    <row r="19" spans="2:42" ht="16" thickBot="1" x14ac:dyDescent="0.25">
      <c r="B19" s="6">
        <v>44862</v>
      </c>
      <c r="C19" s="7">
        <f>273-243</f>
        <v>30</v>
      </c>
      <c r="D19" s="73">
        <v>2.8</v>
      </c>
      <c r="E19" s="74">
        <v>69.510000000000005</v>
      </c>
      <c r="F19" s="74">
        <v>16.440000000000001</v>
      </c>
      <c r="G19" s="74">
        <v>4.8</v>
      </c>
      <c r="H19" s="74">
        <v>857</v>
      </c>
      <c r="I19" s="75">
        <f t="shared" si="2"/>
        <v>12.329161271759459</v>
      </c>
      <c r="J19" s="74">
        <v>27.2</v>
      </c>
      <c r="K19" s="76">
        <v>30.2</v>
      </c>
      <c r="L19" s="77">
        <v>2.6</v>
      </c>
      <c r="M19" s="78">
        <v>71.510000000000005</v>
      </c>
      <c r="N19" s="78">
        <v>18</v>
      </c>
      <c r="O19" s="78">
        <v>3.9</v>
      </c>
      <c r="P19" s="78">
        <v>2650</v>
      </c>
      <c r="Q19" s="79">
        <f t="shared" si="3"/>
        <v>37.057754160257304</v>
      </c>
      <c r="R19" s="78">
        <v>28</v>
      </c>
      <c r="S19" s="80">
        <v>31.1</v>
      </c>
      <c r="V19" s="23">
        <v>44924</v>
      </c>
      <c r="W19" s="26">
        <v>92</v>
      </c>
      <c r="X19" s="8">
        <v>6.1529333333333343</v>
      </c>
      <c r="Y19" s="65">
        <v>139.51013333333333</v>
      </c>
      <c r="AF19" s="40"/>
      <c r="AH19" s="4"/>
      <c r="AI19" s="4"/>
      <c r="AK19" s="37">
        <v>44946</v>
      </c>
      <c r="AL19" s="41">
        <v>114</v>
      </c>
      <c r="AM19" s="25">
        <v>7.56</v>
      </c>
      <c r="AN19" s="70">
        <v>7.47</v>
      </c>
    </row>
    <row r="20" spans="2:42" x14ac:dyDescent="0.2">
      <c r="B20" s="6">
        <v>44866</v>
      </c>
      <c r="C20" s="7">
        <f>277-243</f>
        <v>34</v>
      </c>
      <c r="D20" s="73">
        <v>2.8</v>
      </c>
      <c r="E20" s="74">
        <v>73.13</v>
      </c>
      <c r="F20" s="74">
        <v>15.63</v>
      </c>
      <c r="G20" s="74">
        <v>4.5999999999999996</v>
      </c>
      <c r="H20" s="74">
        <v>716</v>
      </c>
      <c r="I20" s="75">
        <f t="shared" si="2"/>
        <v>9.7907835361684672</v>
      </c>
      <c r="J20" s="74">
        <v>29.9</v>
      </c>
      <c r="K20" s="76">
        <v>31.8</v>
      </c>
      <c r="L20" s="77">
        <v>2.6</v>
      </c>
      <c r="M20" s="78">
        <v>72.72</v>
      </c>
      <c r="N20" s="78">
        <v>15.46</v>
      </c>
      <c r="O20" s="78">
        <v>4.8</v>
      </c>
      <c r="P20" s="78">
        <v>2627</v>
      </c>
      <c r="Q20" s="79">
        <f t="shared" si="3"/>
        <v>36.124862486248624</v>
      </c>
      <c r="R20" s="78">
        <v>28.1</v>
      </c>
      <c r="S20" s="80">
        <v>31.5</v>
      </c>
      <c r="V20" s="23">
        <v>44929</v>
      </c>
      <c r="W20" s="26">
        <v>97</v>
      </c>
      <c r="X20" s="8">
        <v>48.059333333333335</v>
      </c>
      <c r="Y20" s="65">
        <v>156.08573333333334</v>
      </c>
      <c r="AF20" s="40"/>
      <c r="AH20" s="4"/>
      <c r="AI20" s="4"/>
      <c r="AM20" s="4">
        <f>AVERAGE(AM4:AM19)</f>
        <v>7.4262500000000005</v>
      </c>
      <c r="AN20" s="4">
        <f>AVERAGE(AN4:AN19)</f>
        <v>7.5862500000000006</v>
      </c>
    </row>
    <row r="21" spans="2:42" x14ac:dyDescent="0.2">
      <c r="B21" s="6">
        <v>44867</v>
      </c>
      <c r="C21" s="7">
        <f>278-243</f>
        <v>35</v>
      </c>
      <c r="D21" s="73">
        <v>2.7</v>
      </c>
      <c r="E21" s="74">
        <v>70.64</v>
      </c>
      <c r="F21" s="74">
        <v>18.579999999999998</v>
      </c>
      <c r="G21" s="74">
        <v>4.0999999999999996</v>
      </c>
      <c r="H21" s="74">
        <v>1199</v>
      </c>
      <c r="I21" s="75">
        <f t="shared" si="2"/>
        <v>16.973386183465458</v>
      </c>
      <c r="J21" s="74">
        <v>27.4</v>
      </c>
      <c r="K21" s="76">
        <v>30.7</v>
      </c>
      <c r="L21" s="77">
        <v>2.7</v>
      </c>
      <c r="M21" s="78">
        <v>70.17</v>
      </c>
      <c r="N21" s="78">
        <v>20.21</v>
      </c>
      <c r="O21" s="78">
        <v>3.5</v>
      </c>
      <c r="P21" s="78">
        <v>3545</v>
      </c>
      <c r="Q21" s="79">
        <f t="shared" si="3"/>
        <v>50.520165312811741</v>
      </c>
      <c r="R21" s="78">
        <v>26.9</v>
      </c>
      <c r="S21" s="80">
        <v>30.5</v>
      </c>
      <c r="V21" s="23">
        <v>44932</v>
      </c>
      <c r="W21" s="26">
        <v>100</v>
      </c>
      <c r="X21" s="8">
        <v>84.174533333333343</v>
      </c>
      <c r="Y21" s="65">
        <v>134.06093333333334</v>
      </c>
      <c r="AF21" s="40"/>
      <c r="AH21" s="4"/>
      <c r="AI21" s="4"/>
      <c r="AM21" s="2">
        <f>_xlfn.STDEV.S(AM4:AM19)</f>
        <v>6.1305247192498413E-2</v>
      </c>
      <c r="AN21" s="2">
        <f>_xlfn.STDEV.S(AN4:AN19)</f>
        <v>5.655380918499954E-2</v>
      </c>
    </row>
    <row r="22" spans="2:42" x14ac:dyDescent="0.2">
      <c r="B22" s="6">
        <v>44868</v>
      </c>
      <c r="C22" s="7">
        <f>279-243</f>
        <v>36</v>
      </c>
      <c r="D22" s="73">
        <v>2.9</v>
      </c>
      <c r="E22" s="74">
        <v>70.97</v>
      </c>
      <c r="F22" s="74">
        <v>16.57</v>
      </c>
      <c r="G22" s="74">
        <v>4.7</v>
      </c>
      <c r="H22" s="74">
        <v>865</v>
      </c>
      <c r="I22" s="75">
        <f t="shared" si="2"/>
        <v>12.188248555727773</v>
      </c>
      <c r="J22" s="74">
        <v>27.9</v>
      </c>
      <c r="K22" s="76">
        <v>30.9</v>
      </c>
      <c r="L22" s="77">
        <v>2.6</v>
      </c>
      <c r="M22" s="78">
        <v>72.13</v>
      </c>
      <c r="N22" s="78">
        <v>15.88</v>
      </c>
      <c r="O22" s="78">
        <v>4.5999999999999996</v>
      </c>
      <c r="P22" s="78">
        <v>2406</v>
      </c>
      <c r="Q22" s="79">
        <f t="shared" si="3"/>
        <v>33.356439761541665</v>
      </c>
      <c r="R22" s="78">
        <v>28.7</v>
      </c>
      <c r="S22" s="80">
        <v>31.4</v>
      </c>
      <c r="V22" s="23">
        <v>44936</v>
      </c>
      <c r="W22" s="26">
        <v>104</v>
      </c>
      <c r="X22" s="8">
        <v>92.308133333333004</v>
      </c>
      <c r="Y22" s="65">
        <v>142.72493333333335</v>
      </c>
      <c r="AF22" s="40"/>
      <c r="AH22" s="4"/>
      <c r="AI22" s="4"/>
    </row>
    <row r="23" spans="2:42" x14ac:dyDescent="0.2">
      <c r="B23" s="6">
        <v>44869</v>
      </c>
      <c r="C23" s="7">
        <f>280-243</f>
        <v>37</v>
      </c>
      <c r="D23" s="73">
        <v>2.8</v>
      </c>
      <c r="E23" s="74">
        <v>70.88</v>
      </c>
      <c r="F23" s="74">
        <v>16.41</v>
      </c>
      <c r="G23" s="74">
        <v>4.7</v>
      </c>
      <c r="H23" s="74">
        <v>862</v>
      </c>
      <c r="I23" s="75">
        <f t="shared" si="2"/>
        <v>12.161399548532732</v>
      </c>
      <c r="J23" s="74">
        <v>27.9</v>
      </c>
      <c r="K23" s="76">
        <v>30.8</v>
      </c>
      <c r="L23" s="77">
        <v>2.5</v>
      </c>
      <c r="M23" s="78">
        <v>70.739999999999995</v>
      </c>
      <c r="N23" s="78">
        <v>16</v>
      </c>
      <c r="O23" s="78">
        <v>4.7</v>
      </c>
      <c r="P23" s="78">
        <v>2476</v>
      </c>
      <c r="Q23" s="79">
        <f t="shared" si="3"/>
        <v>35.001413627367832</v>
      </c>
      <c r="R23" s="78">
        <v>27.9</v>
      </c>
      <c r="S23" s="80">
        <v>30.8</v>
      </c>
      <c r="V23" s="23">
        <v>44938</v>
      </c>
      <c r="W23" s="26">
        <v>106</v>
      </c>
      <c r="X23" s="8">
        <v>100.53253333333301</v>
      </c>
      <c r="Y23" s="65">
        <v>139.51013333333333</v>
      </c>
      <c r="AF23" s="40"/>
      <c r="AH23" s="4"/>
      <c r="AI23" s="4"/>
    </row>
    <row r="24" spans="2:42" ht="16" thickBot="1" x14ac:dyDescent="0.25">
      <c r="B24" s="6">
        <v>44873</v>
      </c>
      <c r="C24" s="7">
        <f>284-243</f>
        <v>41</v>
      </c>
      <c r="D24" s="73">
        <v>2.8</v>
      </c>
      <c r="E24" s="74">
        <v>71.77</v>
      </c>
      <c r="F24" s="74">
        <v>15.61</v>
      </c>
      <c r="G24" s="74">
        <v>4.9000000000000004</v>
      </c>
      <c r="H24" s="74">
        <v>1190</v>
      </c>
      <c r="I24" s="75">
        <f t="shared" si="2"/>
        <v>16.580744043472205</v>
      </c>
      <c r="J24" s="74">
        <v>28.6</v>
      </c>
      <c r="K24" s="76">
        <v>31.2</v>
      </c>
      <c r="L24" s="77">
        <v>2.6</v>
      </c>
      <c r="M24" s="78">
        <v>71.099999999999994</v>
      </c>
      <c r="N24" s="78">
        <v>15.68</v>
      </c>
      <c r="O24" s="78">
        <v>5.0999999999999996</v>
      </c>
      <c r="P24" s="78">
        <v>2868</v>
      </c>
      <c r="Q24" s="79">
        <f t="shared" si="3"/>
        <v>40.33755274261604</v>
      </c>
      <c r="R24" s="78">
        <v>28.2</v>
      </c>
      <c r="S24" s="80">
        <v>30.9</v>
      </c>
      <c r="V24" s="37">
        <v>44944</v>
      </c>
      <c r="W24" s="42">
        <v>112</v>
      </c>
      <c r="X24" s="43">
        <v>134.35733333333337</v>
      </c>
      <c r="Y24" s="65">
        <v>156.08573333333334</v>
      </c>
      <c r="AF24" s="40"/>
      <c r="AH24" s="4"/>
      <c r="AI24" s="4"/>
    </row>
    <row r="25" spans="2:42" x14ac:dyDescent="0.2">
      <c r="B25" s="6">
        <v>44874</v>
      </c>
      <c r="C25" s="7">
        <f>285-243</f>
        <v>42</v>
      </c>
      <c r="D25" s="73">
        <v>2.6</v>
      </c>
      <c r="E25" s="74">
        <v>71.22</v>
      </c>
      <c r="F25" s="74">
        <v>15.38</v>
      </c>
      <c r="G25" s="74">
        <v>4.9000000000000004</v>
      </c>
      <c r="H25" s="74">
        <v>1149</v>
      </c>
      <c r="I25" s="75">
        <f t="shared" si="2"/>
        <v>16.133108677337827</v>
      </c>
      <c r="J25" s="74">
        <v>28.3</v>
      </c>
      <c r="K25" s="76">
        <v>31</v>
      </c>
      <c r="L25" s="77">
        <v>2.7</v>
      </c>
      <c r="M25" s="78">
        <v>71.81</v>
      </c>
      <c r="N25" s="78">
        <v>16.39</v>
      </c>
      <c r="O25" s="78">
        <v>4.5</v>
      </c>
      <c r="P25" s="78">
        <v>2925</v>
      </c>
      <c r="Q25" s="79">
        <f t="shared" si="3"/>
        <v>40.732488511349395</v>
      </c>
      <c r="R25" s="78">
        <v>28.4</v>
      </c>
      <c r="S25" s="80">
        <v>31.2</v>
      </c>
      <c r="V25" s="40"/>
      <c r="W25" s="3"/>
      <c r="Y25" s="2">
        <f>AVERAGE(Y4:Y24)</f>
        <v>137.78384761904761</v>
      </c>
    </row>
    <row r="26" spans="2:42" x14ac:dyDescent="0.2">
      <c r="B26" s="6">
        <v>44875</v>
      </c>
      <c r="C26" s="7">
        <f>286-243</f>
        <v>43</v>
      </c>
      <c r="D26" s="73">
        <v>2.8</v>
      </c>
      <c r="E26" s="74">
        <v>71.88</v>
      </c>
      <c r="F26" s="74">
        <v>15.16</v>
      </c>
      <c r="G26" s="74">
        <v>4.9000000000000004</v>
      </c>
      <c r="H26" s="74">
        <v>840</v>
      </c>
      <c r="I26" s="75">
        <f t="shared" si="2"/>
        <v>11.686143572621036</v>
      </c>
      <c r="J26" s="74">
        <v>28.7</v>
      </c>
      <c r="K26" s="76">
        <v>31.2</v>
      </c>
      <c r="L26" s="77">
        <v>2.8</v>
      </c>
      <c r="M26" s="78">
        <v>71</v>
      </c>
      <c r="N26" s="78">
        <v>16.28</v>
      </c>
      <c r="O26" s="78">
        <v>4.4000000000000004</v>
      </c>
      <c r="P26" s="78">
        <v>2853</v>
      </c>
      <c r="Q26" s="79">
        <f t="shared" si="3"/>
        <v>40.183098591549296</v>
      </c>
      <c r="R26" s="78">
        <v>28</v>
      </c>
      <c r="S26" s="80">
        <v>30.9</v>
      </c>
      <c r="V26" s="40"/>
      <c r="W26" s="3"/>
      <c r="Y26" s="2">
        <f>_xlfn.STDEV.S(Y4:Y24)</f>
        <v>7.6600166946479726</v>
      </c>
    </row>
    <row r="27" spans="2:42" x14ac:dyDescent="0.2">
      <c r="B27" s="6">
        <v>44876</v>
      </c>
      <c r="C27" s="7">
        <f>287-243</f>
        <v>44</v>
      </c>
      <c r="D27" s="73">
        <v>2.5</v>
      </c>
      <c r="E27" s="74">
        <v>70.7</v>
      </c>
      <c r="F27" s="74">
        <v>14.89</v>
      </c>
      <c r="G27" s="74">
        <v>5.0999999999999996</v>
      </c>
      <c r="H27" s="74">
        <v>771</v>
      </c>
      <c r="I27" s="75">
        <f t="shared" si="2"/>
        <v>10.905233380480905</v>
      </c>
      <c r="J27" s="74">
        <v>28.1</v>
      </c>
      <c r="K27" s="76">
        <v>30.7</v>
      </c>
      <c r="L27" s="77">
        <v>2.6</v>
      </c>
      <c r="M27" s="78">
        <v>72.05</v>
      </c>
      <c r="N27" s="78">
        <v>14.54</v>
      </c>
      <c r="O27" s="78">
        <v>4.9000000000000004</v>
      </c>
      <c r="P27" s="78">
        <v>2462</v>
      </c>
      <c r="Q27" s="79">
        <f t="shared" si="3"/>
        <v>34.170714781401806</v>
      </c>
      <c r="R27" s="78">
        <v>28.9</v>
      </c>
      <c r="S27" s="80">
        <v>31.3</v>
      </c>
      <c r="W27" s="205" t="s">
        <v>74</v>
      </c>
      <c r="X27" s="2">
        <f>AVERAGE(X4:X7)</f>
        <v>79.562633333333338</v>
      </c>
      <c r="Y27" s="40"/>
      <c r="Z27" s="3"/>
      <c r="AM27" s="40"/>
      <c r="AO27" s="4"/>
      <c r="AP27" s="4"/>
    </row>
    <row r="28" spans="2:42" x14ac:dyDescent="0.2">
      <c r="B28" s="6">
        <v>44879</v>
      </c>
      <c r="C28" s="7">
        <f>290-243</f>
        <v>47</v>
      </c>
      <c r="D28" s="73">
        <v>2.6</v>
      </c>
      <c r="E28" s="74">
        <v>71.72</v>
      </c>
      <c r="F28" s="74">
        <v>16.02</v>
      </c>
      <c r="G28" s="74">
        <v>4.7</v>
      </c>
      <c r="H28" s="74">
        <v>994</v>
      </c>
      <c r="I28" s="75">
        <f t="shared" si="2"/>
        <v>13.859453430005578</v>
      </c>
      <c r="J28" s="74">
        <v>28.5</v>
      </c>
      <c r="K28" s="76">
        <v>31.2</v>
      </c>
      <c r="L28" s="77">
        <v>2.6</v>
      </c>
      <c r="M28" s="78">
        <v>70.739999999999995</v>
      </c>
      <c r="N28" s="78">
        <v>17.059999999999999</v>
      </c>
      <c r="O28" s="78">
        <v>4.5</v>
      </c>
      <c r="P28" s="78">
        <v>2838</v>
      </c>
      <c r="Q28" s="79">
        <f t="shared" si="3"/>
        <v>40.118744698897373</v>
      </c>
      <c r="R28" s="78">
        <v>27.7</v>
      </c>
      <c r="S28" s="80">
        <v>30.8</v>
      </c>
      <c r="X28" s="2">
        <f>_xlfn.STDEV.S(X4:X7)</f>
        <v>1.9378635211661848</v>
      </c>
      <c r="Y28" s="40"/>
      <c r="Z28" s="3"/>
      <c r="AM28" s="40"/>
      <c r="AO28" s="4"/>
      <c r="AP28" s="4"/>
    </row>
    <row r="29" spans="2:42" x14ac:dyDescent="0.2">
      <c r="B29" s="6">
        <v>44880</v>
      </c>
      <c r="C29" s="7">
        <f>291-243</f>
        <v>48</v>
      </c>
      <c r="D29" s="73">
        <v>2.6</v>
      </c>
      <c r="E29" s="74">
        <v>70.37</v>
      </c>
      <c r="F29" s="74">
        <v>16.41</v>
      </c>
      <c r="G29" s="74">
        <v>4.7</v>
      </c>
      <c r="H29" s="74">
        <v>959</v>
      </c>
      <c r="I29" s="75">
        <f t="shared" si="2"/>
        <v>13.627966462981384</v>
      </c>
      <c r="J29" s="74">
        <v>27.6</v>
      </c>
      <c r="K29" s="76">
        <v>30.6</v>
      </c>
      <c r="L29" s="77">
        <v>2.8</v>
      </c>
      <c r="M29" s="78">
        <v>69.61</v>
      </c>
      <c r="N29" s="78">
        <v>17.47</v>
      </c>
      <c r="O29" s="78">
        <v>4.9000000000000004</v>
      </c>
      <c r="P29" s="78">
        <v>2939</v>
      </c>
      <c r="Q29" s="79">
        <f t="shared" si="3"/>
        <v>42.220945266484698</v>
      </c>
      <c r="R29" s="78">
        <v>28</v>
      </c>
      <c r="S29" s="80">
        <v>30.9</v>
      </c>
      <c r="W29" s="2" t="s">
        <v>75</v>
      </c>
      <c r="X29" s="2">
        <f>AVERAGE(X8:X11)</f>
        <v>64.805933333333343</v>
      </c>
      <c r="Y29" s="40"/>
      <c r="Z29" s="3"/>
      <c r="AM29" s="40"/>
      <c r="AO29" s="4"/>
      <c r="AP29" s="4"/>
    </row>
    <row r="30" spans="2:42" x14ac:dyDescent="0.2">
      <c r="B30" s="6">
        <v>44881</v>
      </c>
      <c r="C30" s="7">
        <f>292-243</f>
        <v>49</v>
      </c>
      <c r="D30" s="73">
        <v>2.8</v>
      </c>
      <c r="E30" s="74">
        <v>71.64</v>
      </c>
      <c r="F30" s="74">
        <v>16.2</v>
      </c>
      <c r="G30" s="74">
        <v>4.9000000000000004</v>
      </c>
      <c r="H30" s="74">
        <v>894</v>
      </c>
      <c r="I30" s="75">
        <f t="shared" si="2"/>
        <v>12.479061976549414</v>
      </c>
      <c r="J30" s="74">
        <v>28.3</v>
      </c>
      <c r="K30" s="76">
        <v>31</v>
      </c>
      <c r="L30" s="77">
        <v>2.8</v>
      </c>
      <c r="M30" s="78">
        <v>70.97</v>
      </c>
      <c r="N30" s="78">
        <v>17.190000000000001</v>
      </c>
      <c r="O30" s="78">
        <v>4.3</v>
      </c>
      <c r="P30" s="78">
        <v>2800</v>
      </c>
      <c r="Q30" s="79">
        <f t="shared" si="3"/>
        <v>39.453290122587006</v>
      </c>
      <c r="R30" s="78">
        <v>27.8</v>
      </c>
      <c r="S30" s="80">
        <v>30.9</v>
      </c>
      <c r="X30" s="2">
        <f>_xlfn.STDEV.S(X8:X11)</f>
        <v>0.36313369438816284</v>
      </c>
      <c r="Y30" s="40"/>
      <c r="Z30" s="3"/>
      <c r="AM30" s="40"/>
      <c r="AO30" s="4"/>
      <c r="AP30" s="4"/>
    </row>
    <row r="31" spans="2:42" x14ac:dyDescent="0.2">
      <c r="B31" s="6">
        <v>44882</v>
      </c>
      <c r="C31" s="7">
        <f>293-243</f>
        <v>50</v>
      </c>
      <c r="D31" s="73">
        <v>2.6</v>
      </c>
      <c r="E31" s="74">
        <v>71.180000000000007</v>
      </c>
      <c r="F31" s="74">
        <v>15.29</v>
      </c>
      <c r="G31" s="74">
        <v>4.9000000000000004</v>
      </c>
      <c r="H31" s="74">
        <v>811</v>
      </c>
      <c r="I31" s="75">
        <f t="shared" si="2"/>
        <v>11.393649901657769</v>
      </c>
      <c r="J31" s="74">
        <v>28.3</v>
      </c>
      <c r="K31" s="76">
        <v>30.9</v>
      </c>
      <c r="L31" s="77">
        <v>2.7</v>
      </c>
      <c r="M31" s="78">
        <v>72.52</v>
      </c>
      <c r="N31" s="78">
        <v>16.690000000000001</v>
      </c>
      <c r="O31" s="78">
        <v>4.8</v>
      </c>
      <c r="P31" s="78">
        <v>2765</v>
      </c>
      <c r="Q31" s="79">
        <f t="shared" si="3"/>
        <v>38.127413127413128</v>
      </c>
      <c r="R31" s="78">
        <v>28</v>
      </c>
      <c r="S31" s="80">
        <v>30.8</v>
      </c>
      <c r="W31" s="2" t="s">
        <v>76</v>
      </c>
      <c r="X31" s="2">
        <f>AVERAGE(X12:X15)</f>
        <v>31.455233333333339</v>
      </c>
      <c r="Y31" s="40"/>
      <c r="Z31" s="3"/>
      <c r="AM31" s="40"/>
      <c r="AO31" s="4"/>
      <c r="AP31" s="4"/>
    </row>
    <row r="32" spans="2:42" x14ac:dyDescent="0.2">
      <c r="B32" s="6">
        <v>44883</v>
      </c>
      <c r="C32" s="7">
        <f>294-243</f>
        <v>51</v>
      </c>
      <c r="D32" s="73">
        <v>2.8</v>
      </c>
      <c r="E32" s="74">
        <v>71.209999999999994</v>
      </c>
      <c r="F32" s="74">
        <v>18</v>
      </c>
      <c r="G32" s="74">
        <v>3.8</v>
      </c>
      <c r="H32" s="74">
        <v>855</v>
      </c>
      <c r="I32" s="75">
        <f t="shared" si="2"/>
        <v>12.00674062631653</v>
      </c>
      <c r="J32" s="74">
        <v>27.8</v>
      </c>
      <c r="K32" s="76">
        <v>31</v>
      </c>
      <c r="L32" s="77">
        <v>3.3</v>
      </c>
      <c r="M32" s="78">
        <v>72.78</v>
      </c>
      <c r="N32" s="78">
        <v>18.13</v>
      </c>
      <c r="O32" s="78">
        <v>3.1</v>
      </c>
      <c r="P32" s="78">
        <v>3285</v>
      </c>
      <c r="Q32" s="79">
        <f t="shared" si="3"/>
        <v>45.136026380873865</v>
      </c>
      <c r="R32" s="78">
        <v>28.7</v>
      </c>
      <c r="S32" s="80">
        <v>31.6</v>
      </c>
      <c r="X32" s="2">
        <f>_xlfn.STDEV.S(X12:X15)</f>
        <v>4.8259715747194267</v>
      </c>
      <c r="Y32" s="40"/>
      <c r="Z32" s="3"/>
      <c r="AM32" s="40"/>
      <c r="AO32" s="4"/>
      <c r="AP32" s="4"/>
    </row>
    <row r="33" spans="2:42" x14ac:dyDescent="0.2">
      <c r="B33" s="6">
        <v>44888</v>
      </c>
      <c r="C33" s="7">
        <f>299-243</f>
        <v>56</v>
      </c>
      <c r="D33" s="73">
        <v>3</v>
      </c>
      <c r="E33" s="74">
        <v>75.08</v>
      </c>
      <c r="F33" s="74">
        <v>14.71</v>
      </c>
      <c r="G33" s="74">
        <v>3.8</v>
      </c>
      <c r="H33" s="74">
        <v>481</v>
      </c>
      <c r="I33" s="75">
        <f t="shared" si="2"/>
        <v>6.4064997336174745</v>
      </c>
      <c r="J33" s="74">
        <v>30.7</v>
      </c>
      <c r="K33" s="76">
        <v>32.6</v>
      </c>
      <c r="L33" s="77">
        <v>3.1</v>
      </c>
      <c r="M33" s="78">
        <v>75.14</v>
      </c>
      <c r="N33" s="78">
        <v>14.89</v>
      </c>
      <c r="O33" s="78">
        <v>3.6</v>
      </c>
      <c r="P33" s="78">
        <v>2790</v>
      </c>
      <c r="Q33" s="79">
        <f t="shared" si="3"/>
        <v>37.130689379824325</v>
      </c>
      <c r="R33" s="78">
        <v>30.7</v>
      </c>
      <c r="S33" s="80">
        <v>32.700000000000003</v>
      </c>
      <c r="W33" s="2" t="s">
        <v>77</v>
      </c>
      <c r="X33" s="2">
        <f>AVERAGE(X16:X19)</f>
        <v>9.7895333333333348</v>
      </c>
      <c r="Y33" s="40"/>
      <c r="Z33" s="3"/>
      <c r="AM33" s="40"/>
      <c r="AO33" s="4"/>
      <c r="AP33" s="4"/>
    </row>
    <row r="34" spans="2:42" x14ac:dyDescent="0.2">
      <c r="B34" s="6">
        <v>44889</v>
      </c>
      <c r="C34" s="7">
        <f>300-243</f>
        <v>57</v>
      </c>
      <c r="D34" s="73">
        <v>3</v>
      </c>
      <c r="E34" s="74">
        <v>73.83</v>
      </c>
      <c r="F34" s="74">
        <v>15.52</v>
      </c>
      <c r="G34" s="74">
        <v>3.8</v>
      </c>
      <c r="H34" s="74">
        <v>384</v>
      </c>
      <c r="I34" s="75">
        <f t="shared" si="2"/>
        <v>5.2011377488825685</v>
      </c>
      <c r="J34" s="74">
        <v>29.8</v>
      </c>
      <c r="K34" s="76">
        <v>32.1</v>
      </c>
      <c r="L34" s="77">
        <v>3.1</v>
      </c>
      <c r="M34" s="78">
        <v>75.38</v>
      </c>
      <c r="N34" s="78">
        <v>14.63</v>
      </c>
      <c r="O34" s="78">
        <v>3.5</v>
      </c>
      <c r="P34" s="78">
        <v>2624</v>
      </c>
      <c r="Q34" s="79">
        <f t="shared" si="3"/>
        <v>34.81029450782701</v>
      </c>
      <c r="R34" s="78">
        <v>30.9</v>
      </c>
      <c r="S34" s="80">
        <v>32.799999999999997</v>
      </c>
      <c r="X34" s="2">
        <f>_xlfn.STDEV.S(X16:X19)</f>
        <v>4.1843021497019048</v>
      </c>
      <c r="Y34" s="40"/>
      <c r="Z34" s="3"/>
      <c r="AM34" s="40"/>
      <c r="AO34" s="4"/>
      <c r="AP34" s="4"/>
    </row>
    <row r="35" spans="2:42" x14ac:dyDescent="0.2">
      <c r="B35" s="6">
        <v>44890</v>
      </c>
      <c r="C35" s="7">
        <f>301-243</f>
        <v>58</v>
      </c>
      <c r="D35" s="73">
        <v>3</v>
      </c>
      <c r="E35" s="74">
        <v>73.849999999999994</v>
      </c>
      <c r="F35" s="74">
        <v>15.42</v>
      </c>
      <c r="G35" s="74">
        <v>4</v>
      </c>
      <c r="H35" s="74">
        <v>353</v>
      </c>
      <c r="I35" s="75">
        <f t="shared" si="2"/>
        <v>4.7799593771157758</v>
      </c>
      <c r="J35" s="74">
        <v>29.8</v>
      </c>
      <c r="K35" s="76">
        <v>32.1</v>
      </c>
      <c r="L35" s="77">
        <v>3</v>
      </c>
      <c r="M35" s="78">
        <v>76.099999999999994</v>
      </c>
      <c r="N35" s="78">
        <v>14.66</v>
      </c>
      <c r="O35" s="78">
        <v>3.9</v>
      </c>
      <c r="P35" s="78">
        <v>2677</v>
      </c>
      <c r="Q35" s="79">
        <f t="shared" si="3"/>
        <v>35.177398160315377</v>
      </c>
      <c r="R35" s="78">
        <v>30.4</v>
      </c>
      <c r="S35" s="80">
        <v>32.6</v>
      </c>
      <c r="W35" s="40"/>
      <c r="X35" s="3"/>
      <c r="Y35" s="40"/>
      <c r="Z35" s="3"/>
    </row>
    <row r="36" spans="2:42" x14ac:dyDescent="0.2">
      <c r="B36" s="6">
        <v>44894</v>
      </c>
      <c r="C36" s="7">
        <f>305-243</f>
        <v>62</v>
      </c>
      <c r="D36" s="73">
        <v>3</v>
      </c>
      <c r="E36" s="74">
        <v>71.959999999999994</v>
      </c>
      <c r="F36" s="74">
        <v>13.46</v>
      </c>
      <c r="G36" s="74">
        <v>5</v>
      </c>
      <c r="H36" s="74">
        <v>374</v>
      </c>
      <c r="I36" s="75">
        <f t="shared" si="2"/>
        <v>5.1973318510283493</v>
      </c>
      <c r="J36" s="74">
        <v>29.1</v>
      </c>
      <c r="K36" s="76">
        <v>31.3</v>
      </c>
      <c r="L36" s="77">
        <v>2.8</v>
      </c>
      <c r="M36" s="78">
        <v>73.88</v>
      </c>
      <c r="N36" s="78">
        <v>13.21</v>
      </c>
      <c r="O36" s="78">
        <v>4.5</v>
      </c>
      <c r="P36" s="78">
        <v>2721</v>
      </c>
      <c r="Q36" s="79">
        <f t="shared" si="3"/>
        <v>36.829994585814838</v>
      </c>
      <c r="R36" s="78">
        <v>30.3</v>
      </c>
      <c r="S36" s="80">
        <v>32.1</v>
      </c>
      <c r="W36" s="40"/>
      <c r="X36" s="3"/>
      <c r="Y36" s="40"/>
      <c r="Z36" s="3"/>
    </row>
    <row r="37" spans="2:42" x14ac:dyDescent="0.2">
      <c r="B37" s="6">
        <v>44895</v>
      </c>
      <c r="C37" s="7">
        <f>306-243</f>
        <v>63</v>
      </c>
      <c r="D37" s="73">
        <v>2.9</v>
      </c>
      <c r="E37" s="74">
        <v>72.010000000000005</v>
      </c>
      <c r="F37" s="74">
        <v>14.47</v>
      </c>
      <c r="G37" s="74">
        <v>4.5999999999999996</v>
      </c>
      <c r="H37" s="74">
        <v>383</v>
      </c>
      <c r="I37" s="75">
        <f t="shared" si="2"/>
        <v>5.3187057353145395</v>
      </c>
      <c r="J37" s="74">
        <v>29</v>
      </c>
      <c r="K37" s="76">
        <v>31.3</v>
      </c>
      <c r="L37" s="77">
        <v>3</v>
      </c>
      <c r="M37" s="78">
        <v>74.45</v>
      </c>
      <c r="N37" s="78">
        <v>13.16</v>
      </c>
      <c r="O37" s="78">
        <v>4.3</v>
      </c>
      <c r="P37" s="78">
        <v>2664</v>
      </c>
      <c r="Q37" s="79">
        <f t="shared" si="3"/>
        <v>35.782404298186698</v>
      </c>
      <c r="R37" s="78">
        <v>30.6</v>
      </c>
      <c r="S37" s="80">
        <v>32.4</v>
      </c>
      <c r="Y37" s="40"/>
      <c r="Z37" s="3"/>
    </row>
    <row r="38" spans="2:42" x14ac:dyDescent="0.2">
      <c r="B38" s="6">
        <v>44896</v>
      </c>
      <c r="C38" s="7">
        <f>307-243</f>
        <v>64</v>
      </c>
      <c r="D38" s="73">
        <v>3</v>
      </c>
      <c r="E38" s="74">
        <v>72.36</v>
      </c>
      <c r="F38" s="74">
        <v>14.04</v>
      </c>
      <c r="G38" s="74">
        <v>4.7</v>
      </c>
      <c r="H38" s="74">
        <v>295</v>
      </c>
      <c r="I38" s="75">
        <f t="shared" si="2"/>
        <v>4.0768380320619126</v>
      </c>
      <c r="J38" s="74">
        <v>29.2</v>
      </c>
      <c r="K38" s="76">
        <v>31.5</v>
      </c>
      <c r="L38" s="77">
        <v>3</v>
      </c>
      <c r="M38" s="78">
        <v>74.239999999999995</v>
      </c>
      <c r="N38" s="78">
        <v>13.05</v>
      </c>
      <c r="O38" s="78">
        <v>4.4000000000000004</v>
      </c>
      <c r="P38" s="78">
        <v>2489</v>
      </c>
      <c r="Q38" s="79">
        <f t="shared" si="3"/>
        <v>33.526400862068968</v>
      </c>
      <c r="R38" s="78">
        <v>30.5</v>
      </c>
      <c r="S38" s="80">
        <v>32.299999999999997</v>
      </c>
      <c r="Y38" s="40"/>
      <c r="Z38" s="3"/>
    </row>
    <row r="39" spans="2:42" x14ac:dyDescent="0.2">
      <c r="B39" s="6">
        <v>44897</v>
      </c>
      <c r="C39" s="7">
        <f>308-243</f>
        <v>65</v>
      </c>
      <c r="D39" s="73">
        <v>2.8</v>
      </c>
      <c r="E39" s="74">
        <v>71.31</v>
      </c>
      <c r="F39" s="74">
        <v>13.17</v>
      </c>
      <c r="G39" s="74">
        <v>5.3</v>
      </c>
      <c r="H39" s="74">
        <v>265</v>
      </c>
      <c r="I39" s="75">
        <f t="shared" si="2"/>
        <v>3.7161688402748561</v>
      </c>
      <c r="J39" s="74">
        <v>28.8</v>
      </c>
      <c r="K39" s="76">
        <v>31</v>
      </c>
      <c r="L39" s="77">
        <v>2.6</v>
      </c>
      <c r="M39" s="78">
        <v>72.95</v>
      </c>
      <c r="N39" s="78">
        <v>13.85</v>
      </c>
      <c r="O39" s="78">
        <v>4.7</v>
      </c>
      <c r="P39" s="78">
        <v>2843</v>
      </c>
      <c r="Q39" s="79">
        <f t="shared" si="3"/>
        <v>38.971898560657984</v>
      </c>
      <c r="R39" s="78">
        <v>31</v>
      </c>
      <c r="S39" s="80">
        <v>32.5</v>
      </c>
      <c r="Y39" s="40"/>
      <c r="Z39" s="3"/>
    </row>
    <row r="40" spans="2:42" x14ac:dyDescent="0.2">
      <c r="B40" s="6">
        <v>44901</v>
      </c>
      <c r="C40" s="7">
        <f>312-243</f>
        <v>69</v>
      </c>
      <c r="D40" s="73">
        <v>2.5</v>
      </c>
      <c r="E40" s="74">
        <v>71.959999999999994</v>
      </c>
      <c r="F40" s="74">
        <v>14.45</v>
      </c>
      <c r="G40" s="74">
        <v>5.2</v>
      </c>
      <c r="H40" s="74">
        <v>338</v>
      </c>
      <c r="I40" s="75">
        <f t="shared" si="2"/>
        <v>4.6970539188438023</v>
      </c>
      <c r="J40" s="74">
        <v>28.9</v>
      </c>
      <c r="K40" s="76">
        <v>31.3</v>
      </c>
      <c r="L40" s="77">
        <v>2.6</v>
      </c>
      <c r="M40" s="78">
        <v>70.31</v>
      </c>
      <c r="N40" s="78">
        <v>14.39</v>
      </c>
      <c r="O40" s="78">
        <v>5.0999999999999996</v>
      </c>
      <c r="P40" s="78">
        <v>2908</v>
      </c>
      <c r="Q40" s="79">
        <f t="shared" si="3"/>
        <v>41.359692789076945</v>
      </c>
      <c r="R40" s="78">
        <v>28.6</v>
      </c>
      <c r="S40" s="80">
        <v>30.6</v>
      </c>
      <c r="Y40" s="40"/>
      <c r="Z40" s="3"/>
    </row>
    <row r="41" spans="2:42" x14ac:dyDescent="0.2">
      <c r="B41" s="6">
        <v>44902</v>
      </c>
      <c r="C41" s="7">
        <f>313-243</f>
        <v>70</v>
      </c>
      <c r="D41" s="73">
        <v>2.9</v>
      </c>
      <c r="E41" s="74">
        <v>72.91</v>
      </c>
      <c r="F41" s="74">
        <v>14.73</v>
      </c>
      <c r="G41" s="74">
        <v>4.3</v>
      </c>
      <c r="H41" s="74">
        <v>291</v>
      </c>
      <c r="I41" s="75">
        <f t="shared" si="2"/>
        <v>3.9912220545878481</v>
      </c>
      <c r="J41" s="74">
        <v>29.4</v>
      </c>
      <c r="K41" s="76">
        <v>31.3</v>
      </c>
      <c r="L41" s="77">
        <v>2.6</v>
      </c>
      <c r="M41" s="78">
        <v>70.510000000000005</v>
      </c>
      <c r="N41" s="78">
        <v>13.49</v>
      </c>
      <c r="O41" s="78">
        <v>5</v>
      </c>
      <c r="P41" s="78">
        <v>2660</v>
      </c>
      <c r="Q41" s="79">
        <f t="shared" si="3"/>
        <v>37.725145369451141</v>
      </c>
      <c r="R41" s="78">
        <v>28.3</v>
      </c>
      <c r="S41" s="80">
        <v>30.7</v>
      </c>
      <c r="Y41" s="40"/>
      <c r="Z41" s="3"/>
    </row>
    <row r="42" spans="2:42" x14ac:dyDescent="0.2">
      <c r="B42" s="6">
        <v>44908</v>
      </c>
      <c r="C42" s="7">
        <f>319-243</f>
        <v>76</v>
      </c>
      <c r="D42" s="73">
        <v>2.6</v>
      </c>
      <c r="E42" s="74">
        <v>74.010000000000005</v>
      </c>
      <c r="F42" s="74">
        <v>12.2</v>
      </c>
      <c r="G42" s="74">
        <v>5.0999999999999996</v>
      </c>
      <c r="H42" s="74">
        <v>202</v>
      </c>
      <c r="I42" s="75">
        <f t="shared" si="2"/>
        <v>2.7293608971760572</v>
      </c>
      <c r="J42" s="74">
        <v>30.6</v>
      </c>
      <c r="K42" s="76">
        <v>32.200000000000003</v>
      </c>
      <c r="L42" s="77">
        <v>2.7</v>
      </c>
      <c r="M42" s="78">
        <v>68.540000000000006</v>
      </c>
      <c r="N42" s="78">
        <v>11.71</v>
      </c>
      <c r="O42" s="78">
        <v>6</v>
      </c>
      <c r="P42" s="78">
        <v>2076</v>
      </c>
      <c r="Q42" s="79">
        <f t="shared" si="3"/>
        <v>30.288882404435363</v>
      </c>
      <c r="R42" s="78">
        <v>27.5</v>
      </c>
      <c r="S42" s="80">
        <v>29.8</v>
      </c>
      <c r="Y42" s="40"/>
      <c r="Z42" s="3"/>
    </row>
    <row r="43" spans="2:42" x14ac:dyDescent="0.2">
      <c r="B43" s="6">
        <v>44909</v>
      </c>
      <c r="C43" s="7">
        <f>320-243</f>
        <v>77</v>
      </c>
      <c r="D43" s="73">
        <v>2.6</v>
      </c>
      <c r="E43" s="74">
        <v>73.33</v>
      </c>
      <c r="F43" s="74">
        <v>12.72</v>
      </c>
      <c r="G43" s="74">
        <v>5</v>
      </c>
      <c r="H43" s="74">
        <v>213</v>
      </c>
      <c r="I43" s="75">
        <f t="shared" si="2"/>
        <v>2.9046774853402426</v>
      </c>
      <c r="J43" s="74">
        <v>30.1</v>
      </c>
      <c r="K43" s="76">
        <v>31.9</v>
      </c>
      <c r="L43" s="77">
        <v>3.1</v>
      </c>
      <c r="M43" s="78">
        <v>69.849999999999994</v>
      </c>
      <c r="N43" s="78">
        <v>13.34</v>
      </c>
      <c r="O43" s="78">
        <v>5.0999999999999996</v>
      </c>
      <c r="P43" s="78">
        <v>2337</v>
      </c>
      <c r="Q43" s="79">
        <f t="shared" si="3"/>
        <v>33.457408732999284</v>
      </c>
      <c r="R43" s="78">
        <v>28</v>
      </c>
      <c r="S43" s="80">
        <v>30.4</v>
      </c>
      <c r="Y43" s="40"/>
      <c r="Z43" s="3"/>
    </row>
    <row r="44" spans="2:42" x14ac:dyDescent="0.2">
      <c r="B44" s="6">
        <v>44910</v>
      </c>
      <c r="C44" s="7">
        <f>321-243</f>
        <v>78</v>
      </c>
      <c r="D44" s="73">
        <v>3.1</v>
      </c>
      <c r="E44" s="74">
        <v>73.53</v>
      </c>
      <c r="F44" s="74">
        <v>14.75</v>
      </c>
      <c r="G44" s="74">
        <v>4.2</v>
      </c>
      <c r="H44" s="74">
        <v>142</v>
      </c>
      <c r="I44" s="75">
        <f t="shared" si="2"/>
        <v>1.9311845505235958</v>
      </c>
      <c r="J44" s="74">
        <v>29.8</v>
      </c>
      <c r="K44" s="76">
        <v>32</v>
      </c>
      <c r="L44" s="77">
        <v>3</v>
      </c>
      <c r="M44" s="78">
        <v>69.64</v>
      </c>
      <c r="N44" s="78">
        <v>12.42</v>
      </c>
      <c r="O44" s="78">
        <v>5.4</v>
      </c>
      <c r="P44" s="78">
        <v>2756</v>
      </c>
      <c r="Q44" s="79">
        <f>P44/M44</f>
        <v>39.574956921309592</v>
      </c>
      <c r="R44" s="78">
        <v>28</v>
      </c>
      <c r="S44" s="80">
        <v>30.3</v>
      </c>
      <c r="Y44" s="40"/>
      <c r="Z44" s="3"/>
    </row>
    <row r="45" spans="2:42" x14ac:dyDescent="0.2">
      <c r="B45" s="6">
        <v>44911</v>
      </c>
      <c r="C45" s="7">
        <f>322-243</f>
        <v>79</v>
      </c>
      <c r="D45" s="73">
        <v>3.1</v>
      </c>
      <c r="E45" s="74">
        <v>73.95</v>
      </c>
      <c r="F45" s="74">
        <v>13.86</v>
      </c>
      <c r="G45" s="74">
        <v>4.4000000000000004</v>
      </c>
      <c r="H45" s="74">
        <v>57</v>
      </c>
      <c r="I45" s="75">
        <f t="shared" si="2"/>
        <v>0.77079107505070987</v>
      </c>
      <c r="J45" s="74">
        <v>30.2</v>
      </c>
      <c r="K45" s="76">
        <v>32.1</v>
      </c>
      <c r="L45" s="77">
        <v>2.8</v>
      </c>
      <c r="M45" s="78">
        <v>70.81</v>
      </c>
      <c r="N45" s="78">
        <v>11.86</v>
      </c>
      <c r="O45" s="78">
        <v>5.4</v>
      </c>
      <c r="P45" s="78">
        <v>2619</v>
      </c>
      <c r="Q45" s="79">
        <f>P45/M45</f>
        <v>36.986301369863014</v>
      </c>
      <c r="R45" s="78">
        <v>28.8</v>
      </c>
      <c r="S45" s="80">
        <v>30.8</v>
      </c>
    </row>
    <row r="46" spans="2:42" x14ac:dyDescent="0.2">
      <c r="B46" s="6">
        <v>44915</v>
      </c>
      <c r="C46" s="7">
        <f>326-243</f>
        <v>83</v>
      </c>
      <c r="D46" s="73">
        <v>2.9</v>
      </c>
      <c r="E46" s="74">
        <v>74.760000000000005</v>
      </c>
      <c r="F46" s="74">
        <v>11.62</v>
      </c>
      <c r="G46" s="74">
        <v>5</v>
      </c>
      <c r="H46" s="74">
        <v>28</v>
      </c>
      <c r="I46" s="75">
        <f t="shared" si="2"/>
        <v>0.37453183520599248</v>
      </c>
      <c r="J46" s="74">
        <v>31.1</v>
      </c>
      <c r="K46" s="76">
        <v>32.5</v>
      </c>
      <c r="L46" s="77">
        <v>2.7</v>
      </c>
      <c r="M46" s="78">
        <v>71.52</v>
      </c>
      <c r="N46" s="78">
        <v>11.65</v>
      </c>
      <c r="O46" s="78">
        <v>5.5</v>
      </c>
      <c r="P46" s="78">
        <v>2719</v>
      </c>
      <c r="Q46" s="79">
        <f>P46/M46</f>
        <v>38.017337807606268</v>
      </c>
      <c r="R46" s="78">
        <v>29.2</v>
      </c>
      <c r="S46" s="80">
        <v>31.1</v>
      </c>
    </row>
    <row r="47" spans="2:42" x14ac:dyDescent="0.2">
      <c r="B47" s="6">
        <v>44916</v>
      </c>
      <c r="C47" s="7">
        <f>327-243</f>
        <v>84</v>
      </c>
      <c r="D47" s="73">
        <v>2.7</v>
      </c>
      <c r="E47" s="74">
        <v>74.53</v>
      </c>
      <c r="F47" s="74">
        <v>11.57</v>
      </c>
      <c r="G47" s="74">
        <v>5.2</v>
      </c>
      <c r="H47" s="74">
        <v>19</v>
      </c>
      <c r="I47" s="75">
        <f t="shared" si="2"/>
        <v>0.25493090030860055</v>
      </c>
      <c r="J47" s="74">
        <v>31</v>
      </c>
      <c r="K47" s="76">
        <v>32.4</v>
      </c>
      <c r="L47" s="77">
        <v>2.8</v>
      </c>
      <c r="M47" s="78">
        <v>67.209999999999994</v>
      </c>
      <c r="N47" s="78">
        <v>11.78</v>
      </c>
      <c r="O47" s="78">
        <v>5.6</v>
      </c>
      <c r="P47" s="78">
        <v>2854</v>
      </c>
      <c r="Q47" s="79">
        <f>P47/M47</f>
        <v>42.463919059663745</v>
      </c>
      <c r="R47" s="78">
        <v>28</v>
      </c>
      <c r="S47" s="80">
        <v>30.3</v>
      </c>
    </row>
    <row r="48" spans="2:42" x14ac:dyDescent="0.2">
      <c r="B48" s="6">
        <v>44917</v>
      </c>
      <c r="C48" s="7">
        <f>328-243</f>
        <v>85</v>
      </c>
      <c r="D48" s="73">
        <v>2.7</v>
      </c>
      <c r="E48" s="74">
        <v>75.36</v>
      </c>
      <c r="F48" s="74">
        <v>12.66</v>
      </c>
      <c r="G48" s="74">
        <v>4.5999999999999996</v>
      </c>
      <c r="H48" s="74">
        <v>23</v>
      </c>
      <c r="I48" s="75">
        <f t="shared" si="2"/>
        <v>0.30520169851380041</v>
      </c>
      <c r="J48" s="74">
        <v>31.3</v>
      </c>
      <c r="K48" s="76">
        <v>32.799999999999997</v>
      </c>
      <c r="L48" s="77">
        <v>2.9</v>
      </c>
      <c r="M48" s="78">
        <v>68.349999999999994</v>
      </c>
      <c r="N48" s="78">
        <v>12.84</v>
      </c>
      <c r="O48" s="78">
        <v>5.8</v>
      </c>
      <c r="P48" s="78">
        <v>2505</v>
      </c>
      <c r="Q48" s="79">
        <f t="shared" ref="Q48:Q63" si="4">P48/M48</f>
        <v>36.649597659107535</v>
      </c>
      <c r="R48" s="78">
        <v>28.4</v>
      </c>
      <c r="S48" s="80">
        <v>30.5</v>
      </c>
    </row>
    <row r="49" spans="2:19" x14ac:dyDescent="0.2">
      <c r="B49" s="6">
        <v>44918</v>
      </c>
      <c r="C49" s="7">
        <f>329-243</f>
        <v>86</v>
      </c>
      <c r="D49" s="73">
        <v>2.5</v>
      </c>
      <c r="E49" s="74">
        <v>75.63</v>
      </c>
      <c r="F49" s="74">
        <v>10.79</v>
      </c>
      <c r="G49" s="74">
        <v>5.3</v>
      </c>
      <c r="H49" s="74">
        <v>23</v>
      </c>
      <c r="I49" s="75">
        <f t="shared" si="2"/>
        <v>0.30411212481819383</v>
      </c>
      <c r="J49" s="74">
        <v>31.9</v>
      </c>
      <c r="K49" s="76">
        <v>32.9</v>
      </c>
      <c r="L49" s="77">
        <v>2.7</v>
      </c>
      <c r="M49" s="78">
        <v>68.81</v>
      </c>
      <c r="N49" s="78">
        <v>12.59</v>
      </c>
      <c r="O49" s="78">
        <v>5.5</v>
      </c>
      <c r="P49" s="78">
        <v>2556</v>
      </c>
      <c r="Q49" s="79">
        <f t="shared" si="4"/>
        <v>37.145763697137042</v>
      </c>
      <c r="R49" s="78">
        <v>27.5</v>
      </c>
      <c r="S49" s="80">
        <v>29.9</v>
      </c>
    </row>
    <row r="50" spans="2:19" x14ac:dyDescent="0.2">
      <c r="B50" s="6">
        <v>44922</v>
      </c>
      <c r="C50" s="7">
        <f>333-243</f>
        <v>90</v>
      </c>
      <c r="D50" s="73">
        <v>2.4</v>
      </c>
      <c r="E50" s="74">
        <v>74.16</v>
      </c>
      <c r="F50" s="74">
        <v>10.029999999999999</v>
      </c>
      <c r="G50" s="74">
        <v>6.3</v>
      </c>
      <c r="H50" s="74">
        <v>56</v>
      </c>
      <c r="I50" s="75">
        <f t="shared" si="2"/>
        <v>0.75512405609492994</v>
      </c>
      <c r="J50" s="74">
        <v>31.3</v>
      </c>
      <c r="K50" s="76">
        <v>32.200000000000003</v>
      </c>
      <c r="L50" s="77">
        <v>2.6</v>
      </c>
      <c r="M50" s="78">
        <v>70.44</v>
      </c>
      <c r="N50" s="78">
        <v>12.59</v>
      </c>
      <c r="O50" s="78">
        <v>5.7</v>
      </c>
      <c r="P50" s="78">
        <v>2726</v>
      </c>
      <c r="Q50" s="79">
        <f t="shared" si="4"/>
        <v>38.699602498580354</v>
      </c>
      <c r="R50" s="78">
        <v>29</v>
      </c>
      <c r="S50" s="80">
        <v>30.6</v>
      </c>
    </row>
    <row r="51" spans="2:19" x14ac:dyDescent="0.2">
      <c r="B51" s="6">
        <v>44923</v>
      </c>
      <c r="C51" s="7">
        <f>334-243</f>
        <v>91</v>
      </c>
      <c r="D51" s="73">
        <v>2.4</v>
      </c>
      <c r="E51" s="74">
        <v>74.349999999999994</v>
      </c>
      <c r="F51" s="74">
        <v>11.79</v>
      </c>
      <c r="G51" s="74">
        <v>5.2</v>
      </c>
      <c r="H51" s="74">
        <v>28</v>
      </c>
      <c r="I51" s="75">
        <f t="shared" si="2"/>
        <v>0.3765971755211836</v>
      </c>
      <c r="J51" s="74">
        <v>30.9</v>
      </c>
      <c r="K51" s="76">
        <v>32.299999999999997</v>
      </c>
      <c r="L51" s="77">
        <v>2.5</v>
      </c>
      <c r="M51" s="78">
        <v>68.08</v>
      </c>
      <c r="N51" s="78">
        <v>12.47</v>
      </c>
      <c r="O51" s="78">
        <v>5.8</v>
      </c>
      <c r="P51" s="78">
        <v>2696</v>
      </c>
      <c r="Q51" s="79">
        <f t="shared" si="4"/>
        <v>39.600470035252648</v>
      </c>
      <c r="R51" s="78">
        <v>27.6</v>
      </c>
      <c r="S51" s="80">
        <v>30</v>
      </c>
    </row>
    <row r="52" spans="2:19" x14ac:dyDescent="0.2">
      <c r="B52" s="6">
        <v>44924</v>
      </c>
      <c r="C52" s="7">
        <f>335-243</f>
        <v>92</v>
      </c>
      <c r="D52" s="73">
        <v>2.5</v>
      </c>
      <c r="E52" s="74">
        <v>73.91</v>
      </c>
      <c r="F52" s="74">
        <v>12.12</v>
      </c>
      <c r="G52" s="74">
        <v>5.0999999999999996</v>
      </c>
      <c r="H52" s="74">
        <v>32</v>
      </c>
      <c r="I52" s="75">
        <f t="shared" si="2"/>
        <v>0.4329590041942904</v>
      </c>
      <c r="J52" s="74">
        <v>30.3</v>
      </c>
      <c r="K52" s="76">
        <v>32</v>
      </c>
      <c r="L52" s="77">
        <v>2.6</v>
      </c>
      <c r="M52" s="78">
        <v>68.55</v>
      </c>
      <c r="N52" s="78">
        <v>13.42</v>
      </c>
      <c r="O52" s="78">
        <v>6</v>
      </c>
      <c r="P52" s="78">
        <v>2851</v>
      </c>
      <c r="Q52" s="79">
        <f t="shared" si="4"/>
        <v>41.590080233406276</v>
      </c>
      <c r="R52" s="78">
        <v>27.5</v>
      </c>
      <c r="S52" s="80">
        <v>29.8</v>
      </c>
    </row>
    <row r="53" spans="2:19" x14ac:dyDescent="0.2">
      <c r="B53" s="6">
        <v>44925</v>
      </c>
      <c r="C53" s="7">
        <f>336-243</f>
        <v>93</v>
      </c>
      <c r="D53" s="73">
        <v>2.6</v>
      </c>
      <c r="E53" s="74">
        <v>73.459999999999994</v>
      </c>
      <c r="F53" s="74">
        <v>13.02</v>
      </c>
      <c r="G53" s="74">
        <v>4.8</v>
      </c>
      <c r="H53" s="74">
        <v>34</v>
      </c>
      <c r="I53" s="75">
        <f t="shared" si="2"/>
        <v>0.46283691805063987</v>
      </c>
      <c r="J53" s="74">
        <v>30.1</v>
      </c>
      <c r="K53" s="76">
        <v>31.9</v>
      </c>
      <c r="L53" s="77">
        <v>2.5</v>
      </c>
      <c r="M53" s="78">
        <v>68.36</v>
      </c>
      <c r="N53" s="78">
        <v>14.13</v>
      </c>
      <c r="O53" s="78">
        <v>5.9</v>
      </c>
      <c r="P53" s="78">
        <v>2961</v>
      </c>
      <c r="Q53" s="79">
        <f t="shared" si="4"/>
        <v>43.314803978935053</v>
      </c>
      <c r="R53" s="78">
        <v>27.4</v>
      </c>
      <c r="S53" s="80">
        <v>29.6</v>
      </c>
    </row>
    <row r="54" spans="2:19" x14ac:dyDescent="0.2">
      <c r="B54" s="6">
        <v>44929</v>
      </c>
      <c r="C54" s="7">
        <f>340-243</f>
        <v>97</v>
      </c>
      <c r="D54" s="73">
        <v>3</v>
      </c>
      <c r="E54" s="74">
        <v>71.98</v>
      </c>
      <c r="F54" s="74">
        <v>14.65</v>
      </c>
      <c r="G54" s="74">
        <v>4.5999999999999996</v>
      </c>
      <c r="H54" s="74">
        <v>751</v>
      </c>
      <c r="I54" s="75">
        <f t="shared" si="2"/>
        <v>10.433453737149208</v>
      </c>
      <c r="J54" s="74">
        <v>28.9</v>
      </c>
      <c r="K54" s="76">
        <v>31.3</v>
      </c>
      <c r="L54" s="77">
        <v>3.2</v>
      </c>
      <c r="M54" s="78">
        <v>67.64</v>
      </c>
      <c r="N54" s="78">
        <v>18.309999999999999</v>
      </c>
      <c r="O54" s="78">
        <v>4.5999999999999996</v>
      </c>
      <c r="P54" s="78">
        <v>3280</v>
      </c>
      <c r="Q54" s="79">
        <f t="shared" si="4"/>
        <v>48.492016558249553</v>
      </c>
      <c r="R54" s="78">
        <v>25.8</v>
      </c>
      <c r="S54" s="80">
        <v>29.4</v>
      </c>
    </row>
    <row r="55" spans="2:19" x14ac:dyDescent="0.2">
      <c r="B55" s="6">
        <v>44930</v>
      </c>
      <c r="C55" s="7">
        <f>341-243</f>
        <v>98</v>
      </c>
      <c r="D55" s="73">
        <v>2.6</v>
      </c>
      <c r="E55" s="74">
        <v>72.78</v>
      </c>
      <c r="F55" s="74">
        <v>12.78</v>
      </c>
      <c r="G55" s="74">
        <v>4.9000000000000004</v>
      </c>
      <c r="H55" s="74">
        <v>929</v>
      </c>
      <c r="I55" s="75">
        <f t="shared" si="2"/>
        <v>12.764495740588073</v>
      </c>
      <c r="J55" s="74">
        <v>29.7</v>
      </c>
      <c r="K55" s="76">
        <v>31.6</v>
      </c>
      <c r="L55" s="77">
        <v>3.1</v>
      </c>
      <c r="M55" s="78">
        <v>69.98</v>
      </c>
      <c r="N55" s="78">
        <v>18.100000000000001</v>
      </c>
      <c r="O55" s="78">
        <v>5.9</v>
      </c>
      <c r="P55" s="78">
        <v>3320</v>
      </c>
      <c r="Q55" s="79">
        <f t="shared" si="4"/>
        <v>47.442126321806228</v>
      </c>
      <c r="R55" s="78">
        <v>25.8</v>
      </c>
      <c r="S55" s="80">
        <v>29.4</v>
      </c>
    </row>
    <row r="56" spans="2:19" x14ac:dyDescent="0.2">
      <c r="B56" s="6">
        <v>44931</v>
      </c>
      <c r="C56" s="7">
        <f>342-243</f>
        <v>99</v>
      </c>
      <c r="D56" s="73">
        <v>2.5</v>
      </c>
      <c r="E56" s="74">
        <v>71.72</v>
      </c>
      <c r="F56" s="74">
        <v>11.96</v>
      </c>
      <c r="G56" s="74">
        <v>5.4</v>
      </c>
      <c r="H56" s="74">
        <v>1180</v>
      </c>
      <c r="I56" s="75">
        <f t="shared" si="2"/>
        <v>16.452872281093139</v>
      </c>
      <c r="J56" s="74">
        <v>29.3</v>
      </c>
      <c r="K56" s="76">
        <v>31.2</v>
      </c>
      <c r="L56" s="77">
        <v>3.3</v>
      </c>
      <c r="M56" s="78">
        <v>72.78</v>
      </c>
      <c r="N56" s="78">
        <v>18.13</v>
      </c>
      <c r="O56" s="78">
        <v>3.1</v>
      </c>
      <c r="P56" s="78">
        <v>3285</v>
      </c>
      <c r="Q56" s="79">
        <f t="shared" si="4"/>
        <v>45.136026380873865</v>
      </c>
      <c r="R56" s="78">
        <v>28.7</v>
      </c>
      <c r="S56" s="80">
        <v>31.6</v>
      </c>
    </row>
    <row r="57" spans="2:19" x14ac:dyDescent="0.2">
      <c r="B57" s="6">
        <v>44932</v>
      </c>
      <c r="C57" s="7">
        <f>343-243</f>
        <v>100</v>
      </c>
      <c r="D57" s="73">
        <v>2.4</v>
      </c>
      <c r="E57" s="74">
        <v>73.150000000000006</v>
      </c>
      <c r="F57" s="74">
        <v>10.01</v>
      </c>
      <c r="G57" s="74">
        <v>6.4</v>
      </c>
      <c r="H57" s="74">
        <v>1535</v>
      </c>
      <c r="I57" s="75">
        <f t="shared" si="2"/>
        <v>20.984278879015719</v>
      </c>
      <c r="J57" s="74">
        <v>30.7</v>
      </c>
      <c r="K57" s="76">
        <v>31.8</v>
      </c>
      <c r="L57" s="77">
        <v>3.1</v>
      </c>
      <c r="M57" s="78">
        <v>75.14</v>
      </c>
      <c r="N57" s="78">
        <v>14.89</v>
      </c>
      <c r="O57" s="78">
        <v>3.6</v>
      </c>
      <c r="P57" s="78">
        <v>2790</v>
      </c>
      <c r="Q57" s="79">
        <f t="shared" si="4"/>
        <v>37.130689379824325</v>
      </c>
      <c r="R57" s="78">
        <v>30.7</v>
      </c>
      <c r="S57" s="80">
        <v>32.700000000000003</v>
      </c>
    </row>
    <row r="58" spans="2:19" x14ac:dyDescent="0.2">
      <c r="B58" s="6">
        <v>44936</v>
      </c>
      <c r="C58" s="7">
        <f>347-243</f>
        <v>104</v>
      </c>
      <c r="D58" s="73">
        <v>2.8</v>
      </c>
      <c r="E58" s="74">
        <v>70.09</v>
      </c>
      <c r="F58" s="74">
        <v>12.75</v>
      </c>
      <c r="G58" s="74">
        <v>6.3</v>
      </c>
      <c r="H58" s="74">
        <v>2454</v>
      </c>
      <c r="I58" s="75">
        <f t="shared" si="2"/>
        <v>35.012127264945072</v>
      </c>
      <c r="J58" s="74">
        <v>27.6</v>
      </c>
      <c r="K58" s="76">
        <v>30.6</v>
      </c>
      <c r="L58" s="77">
        <v>3.1</v>
      </c>
      <c r="M58" s="78">
        <v>75.38</v>
      </c>
      <c r="N58" s="78">
        <v>14.63</v>
      </c>
      <c r="O58" s="78">
        <v>3.5</v>
      </c>
      <c r="P58" s="78">
        <v>2624</v>
      </c>
      <c r="Q58" s="79">
        <f t="shared" si="4"/>
        <v>34.81029450782701</v>
      </c>
      <c r="R58" s="78">
        <v>30.9</v>
      </c>
      <c r="S58" s="80">
        <v>32.799999999999997</v>
      </c>
    </row>
    <row r="59" spans="2:19" x14ac:dyDescent="0.2">
      <c r="B59" s="6">
        <v>44937</v>
      </c>
      <c r="C59" s="7">
        <f>348-243</f>
        <v>105</v>
      </c>
      <c r="D59" s="73">
        <v>3</v>
      </c>
      <c r="E59" s="74">
        <v>65.97</v>
      </c>
      <c r="F59" s="74">
        <v>12.99</v>
      </c>
      <c r="G59" s="74">
        <v>6</v>
      </c>
      <c r="H59" s="74">
        <v>2588</v>
      </c>
      <c r="I59" s="75">
        <f t="shared" si="2"/>
        <v>39.229953008943461</v>
      </c>
      <c r="J59" s="74">
        <v>27.9</v>
      </c>
      <c r="K59" s="76">
        <v>28.8</v>
      </c>
      <c r="L59" s="77">
        <v>3</v>
      </c>
      <c r="M59" s="78">
        <v>76.099999999999994</v>
      </c>
      <c r="N59" s="78">
        <v>14.66</v>
      </c>
      <c r="O59" s="78">
        <v>3.9</v>
      </c>
      <c r="P59" s="78">
        <v>2677</v>
      </c>
      <c r="Q59" s="79">
        <f t="shared" si="4"/>
        <v>35.177398160315377</v>
      </c>
      <c r="R59" s="78">
        <v>30.4</v>
      </c>
      <c r="S59" s="80">
        <v>32.6</v>
      </c>
    </row>
    <row r="60" spans="2:19" x14ac:dyDescent="0.2">
      <c r="B60" s="6">
        <v>44938</v>
      </c>
      <c r="C60" s="7">
        <f>349-243</f>
        <v>106</v>
      </c>
      <c r="D60" s="73">
        <v>3.2</v>
      </c>
      <c r="E60" s="74">
        <v>68.239999999999995</v>
      </c>
      <c r="F60" s="74">
        <v>11.5</v>
      </c>
      <c r="G60" s="74">
        <v>6.1</v>
      </c>
      <c r="H60" s="74">
        <v>2523</v>
      </c>
      <c r="I60" s="75">
        <f t="shared" si="2"/>
        <v>36.972450175849943</v>
      </c>
      <c r="J60" s="74">
        <v>27.4</v>
      </c>
      <c r="K60" s="76">
        <v>29.7</v>
      </c>
      <c r="L60" s="77">
        <v>2.8</v>
      </c>
      <c r="M60" s="78">
        <v>73.88</v>
      </c>
      <c r="N60" s="78">
        <v>13.21</v>
      </c>
      <c r="O60" s="78">
        <v>4.5</v>
      </c>
      <c r="P60" s="78">
        <v>2721</v>
      </c>
      <c r="Q60" s="79">
        <f t="shared" si="4"/>
        <v>36.829994585814838</v>
      </c>
      <c r="R60" s="78">
        <v>30.3</v>
      </c>
      <c r="S60" s="80">
        <v>32.1</v>
      </c>
    </row>
    <row r="61" spans="2:19" x14ac:dyDescent="0.2">
      <c r="B61" s="6">
        <v>44943</v>
      </c>
      <c r="C61" s="7">
        <f>354-243</f>
        <v>111</v>
      </c>
      <c r="D61" s="73">
        <v>3.2</v>
      </c>
      <c r="E61" s="74">
        <v>69.819999999999993</v>
      </c>
      <c r="F61" s="74">
        <v>13.73</v>
      </c>
      <c r="G61" s="74">
        <v>6.2</v>
      </c>
      <c r="H61" s="74">
        <v>2643</v>
      </c>
      <c r="I61" s="75">
        <f t="shared" si="2"/>
        <v>37.854482956173023</v>
      </c>
      <c r="J61" s="74">
        <v>27</v>
      </c>
      <c r="K61" s="76">
        <v>28.6</v>
      </c>
      <c r="L61" s="77">
        <v>3</v>
      </c>
      <c r="M61" s="78">
        <v>74.45</v>
      </c>
      <c r="N61" s="78">
        <v>13.16</v>
      </c>
      <c r="O61" s="78">
        <v>4.3</v>
      </c>
      <c r="P61" s="78">
        <v>2664</v>
      </c>
      <c r="Q61" s="79">
        <f t="shared" si="4"/>
        <v>35.782404298186698</v>
      </c>
      <c r="R61" s="78">
        <v>30.6</v>
      </c>
      <c r="S61" s="80">
        <v>32.4</v>
      </c>
    </row>
    <row r="62" spans="2:19" x14ac:dyDescent="0.2">
      <c r="B62" s="6">
        <v>44944</v>
      </c>
      <c r="C62" s="7">
        <f>355-243</f>
        <v>112</v>
      </c>
      <c r="D62" s="73">
        <v>3.2</v>
      </c>
      <c r="E62" s="74">
        <v>66.489999999999995</v>
      </c>
      <c r="F62" s="74">
        <v>17.309999999999999</v>
      </c>
      <c r="G62" s="74">
        <v>5</v>
      </c>
      <c r="H62" s="74">
        <v>2605</v>
      </c>
      <c r="I62" s="75">
        <f t="shared" si="2"/>
        <v>39.178823883290725</v>
      </c>
      <c r="J62" s="74">
        <v>25.4</v>
      </c>
      <c r="K62" s="76">
        <v>28.9</v>
      </c>
      <c r="L62" s="77">
        <v>3</v>
      </c>
      <c r="M62" s="78">
        <v>74.239999999999995</v>
      </c>
      <c r="N62" s="78">
        <v>13.05</v>
      </c>
      <c r="O62" s="78">
        <v>4.4000000000000004</v>
      </c>
      <c r="P62" s="78">
        <v>2489</v>
      </c>
      <c r="Q62" s="79">
        <f t="shared" si="4"/>
        <v>33.526400862068968</v>
      </c>
      <c r="R62" s="78">
        <v>30.5</v>
      </c>
      <c r="S62" s="80">
        <v>32.299999999999997</v>
      </c>
    </row>
    <row r="63" spans="2:19" x14ac:dyDescent="0.2">
      <c r="B63" s="6">
        <v>44945</v>
      </c>
      <c r="C63" s="7">
        <f>356-243</f>
        <v>113</v>
      </c>
      <c r="D63" s="73">
        <v>3.1</v>
      </c>
      <c r="E63" s="74">
        <v>65.349999999999994</v>
      </c>
      <c r="F63" s="74">
        <v>17.739999999999998</v>
      </c>
      <c r="G63" s="74">
        <v>5</v>
      </c>
      <c r="H63" s="74">
        <v>2643</v>
      </c>
      <c r="I63" s="75">
        <f t="shared" si="2"/>
        <v>40.443764345830147</v>
      </c>
      <c r="J63" s="74">
        <v>24.8</v>
      </c>
      <c r="K63" s="76">
        <v>28.4</v>
      </c>
      <c r="L63" s="77">
        <v>2.6</v>
      </c>
      <c r="M63" s="78">
        <v>72.95</v>
      </c>
      <c r="N63" s="78">
        <v>13.85</v>
      </c>
      <c r="O63" s="78">
        <v>4.7</v>
      </c>
      <c r="P63" s="78">
        <v>2843</v>
      </c>
      <c r="Q63" s="79">
        <f t="shared" si="4"/>
        <v>38.971898560657984</v>
      </c>
      <c r="R63" s="78">
        <v>31</v>
      </c>
      <c r="S63" s="80">
        <v>32.5</v>
      </c>
    </row>
    <row r="64" spans="2:19" x14ac:dyDescent="0.2">
      <c r="D64" s="2">
        <f>AVERAGE(D3:D63)</f>
        <v>2.9114754098360636</v>
      </c>
      <c r="E64" s="2">
        <f>AVERAGE(E3:E63)</f>
        <v>71.742295081967228</v>
      </c>
      <c r="F64" s="2">
        <f>AVERAGE(F3:F63)</f>
        <v>15.101967213114753</v>
      </c>
      <c r="L64" s="2">
        <f>AVERAGE(L3:L63)</f>
        <v>2.9032786885245891</v>
      </c>
      <c r="M64" s="2">
        <f>AVERAGE(M3:M63)</f>
        <v>71.657499999999985</v>
      </c>
      <c r="N64" s="2">
        <f>AVERAGE(N3:N63)</f>
        <v>15.535833333333331</v>
      </c>
      <c r="P64" s="2">
        <f>AVERAGE(P3:P63)</f>
        <v>2774.5409836065573</v>
      </c>
    </row>
    <row r="65" spans="4:16" x14ac:dyDescent="0.2">
      <c r="D65" s="2">
        <f>_xlfn.STDEV.S(D3:D63)</f>
        <v>0.31150086177289532</v>
      </c>
      <c r="E65" s="2">
        <f>_xlfn.STDEV.S(E3:E63)</f>
        <v>2.0522559891029055</v>
      </c>
      <c r="F65" s="2">
        <f>_xlfn.STDEV.S(F3:F63)</f>
        <v>2.4321230915067775</v>
      </c>
      <c r="L65" s="2">
        <f>_xlfn.STDEV.S(L3:L63)</f>
        <v>0.26202239924273263</v>
      </c>
      <c r="M65" s="2">
        <f>_xlfn.STDEV.S(M3:M63)</f>
        <v>2.1452182734346552</v>
      </c>
      <c r="N65" s="2">
        <f>_xlfn.STDEV.S(N3:N63)</f>
        <v>2.3747458680568925</v>
      </c>
      <c r="P65" s="2">
        <f>_xlfn.STDEV.S(P3:P63)</f>
        <v>292.20104801149574</v>
      </c>
    </row>
  </sheetData>
  <mergeCells count="2">
    <mergeCell ref="D1:K1"/>
    <mergeCell ref="L1:S1"/>
  </mergeCells>
  <pageMargins left="0.7" right="0.7" top="0.75" bottom="0.75" header="0.3" footer="0.3"/>
  <pageSetup paperSize="9" orientation="portrait" horizontalDpi="0" vertic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A393-D71A-4641-9286-FC53DF521794}">
  <sheetPr>
    <tabColor rgb="FFED8E11"/>
  </sheetPr>
  <dimension ref="B2:S57"/>
  <sheetViews>
    <sheetView topLeftCell="A16" zoomScale="90" zoomScaleNormal="90" workbookViewId="0">
      <selection activeCell="H55" sqref="H55"/>
    </sheetView>
  </sheetViews>
  <sheetFormatPr baseColWidth="10" defaultColWidth="25.6640625" defaultRowHeight="14" x14ac:dyDescent="0.2"/>
  <cols>
    <col min="1" max="1" width="25.6640625" style="72"/>
    <col min="2" max="2" width="17.83203125" style="72" customWidth="1"/>
    <col min="3" max="3" width="12.33203125" style="72" customWidth="1"/>
    <col min="4" max="4" width="21.83203125" style="72" customWidth="1"/>
    <col min="5" max="5" width="24.83203125" style="72" customWidth="1"/>
    <col min="6" max="6" width="23.6640625" style="72" customWidth="1"/>
    <col min="7" max="7" width="23.1640625" style="72" customWidth="1"/>
    <col min="8" max="9" width="25.6640625" style="72"/>
    <col min="10" max="10" width="6.1640625" style="81" customWidth="1"/>
    <col min="11" max="11" width="19.33203125" style="72" customWidth="1"/>
    <col min="12" max="12" width="8.83203125" style="72" bestFit="1" customWidth="1"/>
    <col min="13" max="13" width="5.6640625" style="72" bestFit="1" customWidth="1"/>
    <col min="14" max="14" width="12.1640625" style="72" customWidth="1"/>
    <col min="15" max="15" width="6.6640625" style="72" bestFit="1" customWidth="1"/>
    <col min="16" max="16" width="5.6640625" style="72" bestFit="1" customWidth="1"/>
    <col min="17" max="17" width="9.83203125" style="72" customWidth="1"/>
    <col min="18" max="18" width="7.6640625" style="72" bestFit="1" customWidth="1"/>
    <col min="19" max="19" width="5.6640625" style="72" bestFit="1" customWidth="1"/>
    <col min="20" max="16384" width="25.6640625" style="72"/>
  </cols>
  <sheetData>
    <row r="2" spans="2:19" ht="15" thickBot="1" x14ac:dyDescent="0.25"/>
    <row r="3" spans="2:19" ht="16" thickBot="1" x14ac:dyDescent="0.25">
      <c r="B3" s="83" t="s">
        <v>69</v>
      </c>
      <c r="C3" s="84" t="s">
        <v>10</v>
      </c>
      <c r="D3" s="217" t="s">
        <v>86</v>
      </c>
      <c r="E3" s="218"/>
      <c r="F3" s="85" t="s">
        <v>85</v>
      </c>
      <c r="H3" s="96" t="s">
        <v>78</v>
      </c>
      <c r="I3" s="97"/>
      <c r="J3" s="98"/>
      <c r="K3" s="98" t="s">
        <v>79</v>
      </c>
      <c r="L3" s="82">
        <v>270.29599999999999</v>
      </c>
      <c r="M3" s="72" t="s">
        <v>80</v>
      </c>
      <c r="N3" s="81" t="s">
        <v>81</v>
      </c>
      <c r="O3" s="72">
        <v>162.19999999999999</v>
      </c>
      <c r="P3" s="72" t="s">
        <v>80</v>
      </c>
      <c r="Q3" s="81" t="s">
        <v>83</v>
      </c>
      <c r="R3" s="72">
        <v>55.844999999999999</v>
      </c>
      <c r="S3" s="72" t="s">
        <v>80</v>
      </c>
    </row>
    <row r="4" spans="2:19" x14ac:dyDescent="0.2">
      <c r="B4" s="101" t="s">
        <v>74</v>
      </c>
      <c r="C4" s="103">
        <v>11</v>
      </c>
      <c r="D4" s="219">
        <v>2</v>
      </c>
      <c r="E4" s="220"/>
      <c r="F4" s="87">
        <f>(D4*$J$7/100)*1000</f>
        <v>41.321366205937196</v>
      </c>
      <c r="H4" s="96"/>
      <c r="I4" s="97"/>
      <c r="J4" s="98"/>
      <c r="K4" s="98"/>
      <c r="L4" s="97"/>
      <c r="M4" s="97"/>
      <c r="N4" s="216"/>
      <c r="O4" s="216"/>
    </row>
    <row r="5" spans="2:19" x14ac:dyDescent="0.2">
      <c r="B5" s="102" t="s">
        <v>75</v>
      </c>
      <c r="C5" s="86">
        <v>35</v>
      </c>
      <c r="D5" s="221">
        <v>3</v>
      </c>
      <c r="E5" s="222"/>
      <c r="F5" s="88">
        <f t="shared" ref="F5:F7" si="0">(D5*$J$7/100)*1000</f>
        <v>61.982049308905793</v>
      </c>
      <c r="H5" s="96" t="s">
        <v>82</v>
      </c>
      <c r="I5" s="97"/>
      <c r="J5" s="104">
        <f>10*O3/L3</f>
        <v>6.0008287211057505</v>
      </c>
      <c r="K5" s="98"/>
      <c r="L5" s="97"/>
      <c r="M5" s="97"/>
      <c r="N5" s="97"/>
    </row>
    <row r="6" spans="2:19" x14ac:dyDescent="0.2">
      <c r="B6" s="102" t="s">
        <v>76</v>
      </c>
      <c r="C6" s="86">
        <v>59</v>
      </c>
      <c r="D6" s="221">
        <v>4</v>
      </c>
      <c r="E6" s="222"/>
      <c r="F6" s="88">
        <f t="shared" si="0"/>
        <v>82.642732411874391</v>
      </c>
    </row>
    <row r="7" spans="2:19" x14ac:dyDescent="0.2">
      <c r="B7" s="102" t="s">
        <v>77</v>
      </c>
      <c r="C7" s="86">
        <v>82</v>
      </c>
      <c r="D7" s="214">
        <v>4.5</v>
      </c>
      <c r="E7" s="215"/>
      <c r="F7" s="88">
        <f t="shared" si="0"/>
        <v>92.973073963358686</v>
      </c>
      <c r="H7" s="96" t="s">
        <v>84</v>
      </c>
      <c r="I7" s="1"/>
      <c r="J7" s="105">
        <f>J5*R3/O3</f>
        <v>2.0660683102968598</v>
      </c>
    </row>
    <row r="11" spans="2:19" ht="15" thickBot="1" x14ac:dyDescent="0.25"/>
    <row r="12" spans="2:19" ht="16" thickBot="1" x14ac:dyDescent="0.25">
      <c r="B12" s="83" t="s">
        <v>69</v>
      </c>
      <c r="C12" s="84" t="s">
        <v>10</v>
      </c>
      <c r="D12" s="89" t="s">
        <v>70</v>
      </c>
      <c r="E12" s="90" t="s">
        <v>71</v>
      </c>
      <c r="F12" s="91" t="s">
        <v>72</v>
      </c>
      <c r="G12" s="90" t="s">
        <v>73</v>
      </c>
    </row>
    <row r="13" spans="2:19" x14ac:dyDescent="0.2">
      <c r="B13" s="101" t="s">
        <v>74</v>
      </c>
      <c r="C13" s="99">
        <v>11</v>
      </c>
      <c r="D13" s="229">
        <f>F4</f>
        <v>41.321366205937196</v>
      </c>
      <c r="E13" s="230">
        <f>'Bal S 1-23'!M166</f>
        <v>15.905267486559037</v>
      </c>
      <c r="F13" s="237">
        <f>D13/55.845</f>
        <v>0.73992955870601118</v>
      </c>
      <c r="G13" s="238">
        <f>E13/32.06</f>
        <v>0.49610940382280211</v>
      </c>
    </row>
    <row r="14" spans="2:19" x14ac:dyDescent="0.2">
      <c r="B14" s="102" t="s">
        <v>75</v>
      </c>
      <c r="C14" s="100">
        <v>35</v>
      </c>
      <c r="D14" s="231">
        <f>F5</f>
        <v>61.982049308905793</v>
      </c>
      <c r="E14" s="232">
        <f>'Bal S 24-47'!$M$172</f>
        <v>20.122960266753655</v>
      </c>
      <c r="F14" s="237">
        <f t="shared" ref="F14:F16" si="1">D14/55.845</f>
        <v>1.1098943380590167</v>
      </c>
      <c r="G14" s="239">
        <f t="shared" ref="G14:G16" si="2">E14/32.06</f>
        <v>0.62766563526992059</v>
      </c>
    </row>
    <row r="15" spans="2:19" x14ac:dyDescent="0.2">
      <c r="B15" s="102" t="s">
        <v>76</v>
      </c>
      <c r="C15" s="100">
        <v>59</v>
      </c>
      <c r="D15" s="231">
        <f>F6</f>
        <v>82.642732411874391</v>
      </c>
      <c r="E15" s="232">
        <f>'Bal S 48-70'!M167</f>
        <v>27.01036488243853</v>
      </c>
      <c r="F15" s="237">
        <f t="shared" si="1"/>
        <v>1.4798591174120224</v>
      </c>
      <c r="G15" s="239">
        <f t="shared" si="2"/>
        <v>0.84249422590263656</v>
      </c>
    </row>
    <row r="16" spans="2:19" x14ac:dyDescent="0.2">
      <c r="B16" s="102" t="s">
        <v>77</v>
      </c>
      <c r="C16" s="100">
        <v>82</v>
      </c>
      <c r="D16" s="231">
        <f>F7</f>
        <v>92.973073963358686</v>
      </c>
      <c r="E16" s="232">
        <f>'Bal S 71-92'!$M$162</f>
        <v>29.692083543576434</v>
      </c>
      <c r="F16" s="237">
        <f t="shared" si="1"/>
        <v>1.6648415070885252</v>
      </c>
      <c r="G16" s="239">
        <f t="shared" si="2"/>
        <v>0.92614109618142337</v>
      </c>
    </row>
    <row r="51" spans="2:7" ht="15" thickBot="1" x14ac:dyDescent="0.25"/>
    <row r="52" spans="2:7" ht="16" thickBot="1" x14ac:dyDescent="0.25">
      <c r="B52" s="83" t="s">
        <v>69</v>
      </c>
      <c r="C52" s="84" t="s">
        <v>10</v>
      </c>
      <c r="D52" s="89" t="s">
        <v>70</v>
      </c>
      <c r="E52" s="90" t="s">
        <v>71</v>
      </c>
      <c r="F52" s="91" t="s">
        <v>72</v>
      </c>
      <c r="G52" s="90" t="s">
        <v>73</v>
      </c>
    </row>
    <row r="53" spans="2:7" ht="15" thickBot="1" x14ac:dyDescent="0.25">
      <c r="B53" s="206"/>
      <c r="C53" s="207">
        <v>0</v>
      </c>
      <c r="D53" s="240">
        <v>0</v>
      </c>
      <c r="E53" s="241">
        <v>0</v>
      </c>
      <c r="F53" s="240">
        <v>0</v>
      </c>
      <c r="G53" s="241">
        <v>0</v>
      </c>
    </row>
    <row r="54" spans="2:7" x14ac:dyDescent="0.2">
      <c r="B54" s="101" t="s">
        <v>74</v>
      </c>
      <c r="C54" s="99">
        <v>11</v>
      </c>
      <c r="D54" s="92">
        <v>41.321366205937196</v>
      </c>
      <c r="E54" s="93">
        <v>15.905267486559037</v>
      </c>
      <c r="F54" s="233">
        <v>0.73992955870601118</v>
      </c>
      <c r="G54" s="234">
        <v>0.49610940382280211</v>
      </c>
    </row>
    <row r="55" spans="2:7" x14ac:dyDescent="0.2">
      <c r="B55" s="102" t="s">
        <v>75</v>
      </c>
      <c r="C55" s="100">
        <v>35</v>
      </c>
      <c r="D55" s="94">
        <v>61.9820493089058</v>
      </c>
      <c r="E55" s="95">
        <v>20.122960266753655</v>
      </c>
      <c r="F55" s="235">
        <v>1.1098943380590167</v>
      </c>
      <c r="G55" s="236">
        <v>0.62766563526992059</v>
      </c>
    </row>
    <row r="56" spans="2:7" x14ac:dyDescent="0.2">
      <c r="B56" s="102" t="s">
        <v>76</v>
      </c>
      <c r="C56" s="100">
        <v>59</v>
      </c>
      <c r="D56" s="94">
        <v>82.642732411874391</v>
      </c>
      <c r="E56" s="95">
        <v>27.01036488243853</v>
      </c>
      <c r="F56" s="235">
        <v>1.4798591174120224</v>
      </c>
      <c r="G56" s="236">
        <v>0.84249422590263656</v>
      </c>
    </row>
    <row r="57" spans="2:7" x14ac:dyDescent="0.2">
      <c r="B57" s="102" t="s">
        <v>77</v>
      </c>
      <c r="C57" s="100">
        <v>82</v>
      </c>
      <c r="D57" s="94">
        <v>92.973073963358686</v>
      </c>
      <c r="E57" s="95">
        <v>29.692083543576398</v>
      </c>
      <c r="F57" s="235">
        <v>1.6648415070885252</v>
      </c>
      <c r="G57" s="236">
        <v>0.92614109618142337</v>
      </c>
    </row>
  </sheetData>
  <mergeCells count="6">
    <mergeCell ref="D7:E7"/>
    <mergeCell ref="N4:O4"/>
    <mergeCell ref="D3:E3"/>
    <mergeCell ref="D4:E4"/>
    <mergeCell ref="D6:E6"/>
    <mergeCell ref="D5:E5"/>
  </mergeCells>
  <phoneticPr fontId="13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BBAD2-319F-2046-A215-3C1C137DD105}">
  <sheetPr>
    <tabColor rgb="FFFF598C"/>
  </sheetPr>
  <dimension ref="B2:AE171"/>
  <sheetViews>
    <sheetView topLeftCell="A155" zoomScale="131" zoomScaleNormal="110" workbookViewId="0">
      <selection activeCell="K167" sqref="F167:K167"/>
    </sheetView>
  </sheetViews>
  <sheetFormatPr baseColWidth="10" defaultRowHeight="14" x14ac:dyDescent="0.2"/>
  <cols>
    <col min="1" max="3" width="10.83203125" style="72"/>
    <col min="4" max="4" width="13.83203125" style="72" customWidth="1"/>
    <col min="5" max="5" width="10.5" style="72" bestFit="1" customWidth="1"/>
    <col min="6" max="6" width="12.83203125" style="72" customWidth="1"/>
    <col min="7" max="16384" width="10.83203125" style="72"/>
  </cols>
  <sheetData>
    <row r="2" spans="2:31" x14ac:dyDescent="0.2">
      <c r="B2" s="1"/>
      <c r="C2" s="1"/>
    </row>
    <row r="3" spans="2:31" x14ac:dyDescent="0.2">
      <c r="B3" s="1"/>
      <c r="C3" s="1"/>
      <c r="F3" s="1"/>
    </row>
    <row r="4" spans="2:31" x14ac:dyDescent="0.2">
      <c r="F4" s="1" t="s">
        <v>17</v>
      </c>
    </row>
    <row r="5" spans="2:31" x14ac:dyDescent="0.2">
      <c r="B5" s="1"/>
      <c r="C5" s="1"/>
      <c r="F5" s="1"/>
    </row>
    <row r="6" spans="2:31" ht="15" thickBot="1" x14ac:dyDescent="0.25">
      <c r="B6" s="1"/>
      <c r="C6" s="1"/>
    </row>
    <row r="7" spans="2:31" ht="15" thickBot="1" x14ac:dyDescent="0.25">
      <c r="C7" s="106"/>
      <c r="F7" s="107" t="s">
        <v>18</v>
      </c>
    </row>
    <row r="8" spans="2:31" x14ac:dyDescent="0.2">
      <c r="D8" s="143"/>
      <c r="F8" s="72" t="s">
        <v>19</v>
      </c>
      <c r="G8" s="143">
        <f>G10/G9</f>
        <v>1094.6341463414635</v>
      </c>
    </row>
    <row r="9" spans="2:31" ht="15" thickBot="1" x14ac:dyDescent="0.25">
      <c r="F9" s="72" t="s">
        <v>20</v>
      </c>
      <c r="G9" s="72">
        <v>8.2000000000000003E-2</v>
      </c>
    </row>
    <row r="10" spans="2:31" ht="15" thickBot="1" x14ac:dyDescent="0.25">
      <c r="C10" s="106"/>
      <c r="D10" s="108"/>
      <c r="F10" s="109" t="s">
        <v>89</v>
      </c>
      <c r="G10" s="110">
        <v>89.76</v>
      </c>
    </row>
    <row r="11" spans="2:31" ht="15" thickBot="1" x14ac:dyDescent="0.25">
      <c r="C11" s="106"/>
      <c r="D11" s="111"/>
      <c r="F11" s="109" t="s">
        <v>21</v>
      </c>
      <c r="G11" s="112">
        <f>G10*32.1/96.1</f>
        <v>29.982268470343396</v>
      </c>
    </row>
    <row r="14" spans="2:31" ht="32" x14ac:dyDescent="0.4">
      <c r="B14" s="223" t="s">
        <v>22</v>
      </c>
      <c r="C14" s="223"/>
      <c r="D14" s="223"/>
      <c r="E14" s="223"/>
      <c r="F14" s="223"/>
      <c r="G14" s="223"/>
      <c r="H14" s="223"/>
      <c r="I14" s="223"/>
      <c r="J14" s="223"/>
      <c r="K14" s="223"/>
      <c r="L14" s="223"/>
      <c r="M14" s="223"/>
      <c r="N14" s="223"/>
      <c r="O14" s="223"/>
      <c r="P14" s="223"/>
      <c r="Q14" s="223"/>
      <c r="X14" s="113"/>
      <c r="Y14" s="113"/>
      <c r="Z14" s="113"/>
      <c r="AA14" s="113"/>
      <c r="AB14" s="113"/>
      <c r="AC14" s="113"/>
      <c r="AD14" s="114"/>
      <c r="AE14" s="114"/>
    </row>
    <row r="15" spans="2:31" x14ac:dyDescent="0.2">
      <c r="X15" s="224"/>
      <c r="Y15" s="224"/>
      <c r="Z15" s="224"/>
      <c r="AA15" s="224"/>
      <c r="AB15" s="224"/>
      <c r="AC15" s="224"/>
      <c r="AD15" s="224"/>
      <c r="AE15" s="224"/>
    </row>
    <row r="16" spans="2:31" ht="30" x14ac:dyDescent="0.2">
      <c r="B16" s="144" t="s">
        <v>10</v>
      </c>
      <c r="C16" s="115" t="s">
        <v>44</v>
      </c>
      <c r="D16" s="115" t="s">
        <v>45</v>
      </c>
      <c r="E16" s="116" t="s">
        <v>46</v>
      </c>
      <c r="F16" s="116" t="s">
        <v>47</v>
      </c>
    </row>
    <row r="17" spans="2:31" x14ac:dyDescent="0.2">
      <c r="B17" s="144">
        <v>0</v>
      </c>
      <c r="C17" s="145">
        <f>$G$11</f>
        <v>29.982268470343396</v>
      </c>
      <c r="D17" s="145">
        <f>C17</f>
        <v>29.982268470343396</v>
      </c>
      <c r="E17" s="146">
        <f>$G$11</f>
        <v>29.982268470343396</v>
      </c>
      <c r="F17" s="146">
        <f>E17</f>
        <v>29.982268470343396</v>
      </c>
      <c r="X17" s="147"/>
      <c r="Y17" s="225"/>
      <c r="Z17" s="225"/>
      <c r="AA17" s="225"/>
      <c r="AB17" s="148"/>
    </row>
    <row r="18" spans="2:31" x14ac:dyDescent="0.2">
      <c r="B18" s="149">
        <v>1</v>
      </c>
      <c r="C18" s="145">
        <f>$G$11</f>
        <v>29.982268470343396</v>
      </c>
      <c r="D18" s="145">
        <f>D17+C18</f>
        <v>59.964536940686791</v>
      </c>
      <c r="E18" s="146">
        <f>$G$11</f>
        <v>29.982268470343396</v>
      </c>
      <c r="F18" s="146">
        <f>F17+E18</f>
        <v>59.964536940686791</v>
      </c>
      <c r="X18" s="147"/>
      <c r="Y18" s="225"/>
      <c r="Z18" s="225"/>
      <c r="AA18" s="225"/>
      <c r="AB18" s="148"/>
    </row>
    <row r="19" spans="2:31" x14ac:dyDescent="0.2">
      <c r="B19" s="149">
        <v>2</v>
      </c>
      <c r="C19" s="145">
        <f t="shared" ref="C19:C39" si="0">$G$11</f>
        <v>29.982268470343396</v>
      </c>
      <c r="D19" s="145">
        <f t="shared" ref="D19:F39" si="1">D18+C19</f>
        <v>89.946805411030184</v>
      </c>
      <c r="E19" s="146">
        <f t="shared" ref="E19:E39" si="2">$G$11</f>
        <v>29.982268470343396</v>
      </c>
      <c r="F19" s="146">
        <f t="shared" si="1"/>
        <v>89.946805411030184</v>
      </c>
      <c r="X19" s="147"/>
      <c r="Y19" s="225"/>
      <c r="Z19" s="225"/>
      <c r="AA19" s="225"/>
      <c r="AB19" s="148"/>
    </row>
    <row r="20" spans="2:31" x14ac:dyDescent="0.2">
      <c r="B20" s="149">
        <v>3</v>
      </c>
      <c r="C20" s="145">
        <f t="shared" si="0"/>
        <v>29.982268470343396</v>
      </c>
      <c r="D20" s="145">
        <f t="shared" si="1"/>
        <v>119.92907388137358</v>
      </c>
      <c r="E20" s="146">
        <f t="shared" si="2"/>
        <v>29.982268470343396</v>
      </c>
      <c r="F20" s="146">
        <f t="shared" si="1"/>
        <v>119.92907388137358</v>
      </c>
      <c r="X20" s="150"/>
      <c r="Y20" s="150"/>
      <c r="Z20" s="150"/>
      <c r="AA20" s="150"/>
      <c r="AC20" s="81"/>
      <c r="AD20" s="81"/>
      <c r="AE20" s="81"/>
    </row>
    <row r="21" spans="2:31" x14ac:dyDescent="0.2">
      <c r="B21" s="149">
        <v>4</v>
      </c>
      <c r="C21" s="145">
        <f t="shared" si="0"/>
        <v>29.982268470343396</v>
      </c>
      <c r="D21" s="145">
        <f t="shared" si="1"/>
        <v>149.91134235171697</v>
      </c>
      <c r="E21" s="146">
        <f t="shared" si="2"/>
        <v>29.982268470343396</v>
      </c>
      <c r="F21" s="146">
        <f t="shared" si="1"/>
        <v>149.91134235171697</v>
      </c>
    </row>
    <row r="22" spans="2:31" x14ac:dyDescent="0.2">
      <c r="B22" s="149">
        <v>5</v>
      </c>
      <c r="C22" s="145">
        <f t="shared" si="0"/>
        <v>29.982268470343396</v>
      </c>
      <c r="D22" s="145">
        <f t="shared" si="1"/>
        <v>179.89361082206037</v>
      </c>
      <c r="E22" s="146">
        <f t="shared" si="2"/>
        <v>29.982268470343396</v>
      </c>
      <c r="F22" s="146">
        <f t="shared" si="1"/>
        <v>179.89361082206037</v>
      </c>
    </row>
    <row r="23" spans="2:31" x14ac:dyDescent="0.2">
      <c r="B23" s="149">
        <v>6</v>
      </c>
      <c r="C23" s="145">
        <f t="shared" si="0"/>
        <v>29.982268470343396</v>
      </c>
      <c r="D23" s="145">
        <f t="shared" si="1"/>
        <v>209.87587929240377</v>
      </c>
      <c r="E23" s="146">
        <f t="shared" si="2"/>
        <v>29.982268470343396</v>
      </c>
      <c r="F23" s="146">
        <f t="shared" si="1"/>
        <v>209.87587929240377</v>
      </c>
    </row>
    <row r="24" spans="2:31" x14ac:dyDescent="0.2">
      <c r="B24" s="149">
        <v>7</v>
      </c>
      <c r="C24" s="145">
        <f t="shared" si="0"/>
        <v>29.982268470343396</v>
      </c>
      <c r="D24" s="145">
        <f t="shared" si="1"/>
        <v>239.85814776274717</v>
      </c>
      <c r="E24" s="146">
        <f t="shared" si="2"/>
        <v>29.982268470343396</v>
      </c>
      <c r="F24" s="146">
        <f t="shared" si="1"/>
        <v>239.85814776274717</v>
      </c>
    </row>
    <row r="25" spans="2:31" x14ac:dyDescent="0.2">
      <c r="B25" s="149">
        <v>8</v>
      </c>
      <c r="C25" s="145">
        <f t="shared" si="0"/>
        <v>29.982268470343396</v>
      </c>
      <c r="D25" s="145">
        <f t="shared" si="1"/>
        <v>269.84041623309054</v>
      </c>
      <c r="E25" s="146">
        <f t="shared" si="2"/>
        <v>29.982268470343396</v>
      </c>
      <c r="F25" s="146">
        <f t="shared" si="1"/>
        <v>269.84041623309054</v>
      </c>
    </row>
    <row r="26" spans="2:31" x14ac:dyDescent="0.2">
      <c r="B26" s="149">
        <v>9</v>
      </c>
      <c r="C26" s="145">
        <f t="shared" si="0"/>
        <v>29.982268470343396</v>
      </c>
      <c r="D26" s="145">
        <f t="shared" si="1"/>
        <v>299.82268470343394</v>
      </c>
      <c r="E26" s="146">
        <f t="shared" si="2"/>
        <v>29.982268470343396</v>
      </c>
      <c r="F26" s="146">
        <f t="shared" si="1"/>
        <v>299.82268470343394</v>
      </c>
    </row>
    <row r="27" spans="2:31" x14ac:dyDescent="0.2">
      <c r="B27" s="149">
        <v>10</v>
      </c>
      <c r="C27" s="145">
        <f t="shared" si="0"/>
        <v>29.982268470343396</v>
      </c>
      <c r="D27" s="145">
        <f t="shared" si="1"/>
        <v>329.80495317377733</v>
      </c>
      <c r="E27" s="146">
        <f t="shared" si="2"/>
        <v>29.982268470343396</v>
      </c>
      <c r="F27" s="146">
        <f t="shared" si="1"/>
        <v>329.80495317377733</v>
      </c>
    </row>
    <row r="28" spans="2:31" x14ac:dyDescent="0.2">
      <c r="B28" s="149">
        <v>11</v>
      </c>
      <c r="C28" s="145">
        <f t="shared" si="0"/>
        <v>29.982268470343396</v>
      </c>
      <c r="D28" s="145">
        <f t="shared" si="1"/>
        <v>359.78722164412073</v>
      </c>
      <c r="E28" s="146">
        <f t="shared" si="2"/>
        <v>29.982268470343396</v>
      </c>
      <c r="F28" s="146">
        <f t="shared" si="1"/>
        <v>359.78722164412073</v>
      </c>
    </row>
    <row r="29" spans="2:31" x14ac:dyDescent="0.2">
      <c r="B29" s="149">
        <v>12</v>
      </c>
      <c r="C29" s="145">
        <f t="shared" si="0"/>
        <v>29.982268470343396</v>
      </c>
      <c r="D29" s="145">
        <f t="shared" si="1"/>
        <v>389.76949011446413</v>
      </c>
      <c r="E29" s="146">
        <f t="shared" si="2"/>
        <v>29.982268470343396</v>
      </c>
      <c r="F29" s="146">
        <f t="shared" si="1"/>
        <v>389.76949011446413</v>
      </c>
    </row>
    <row r="30" spans="2:31" x14ac:dyDescent="0.2">
      <c r="B30" s="149">
        <v>13</v>
      </c>
      <c r="C30" s="145">
        <f t="shared" si="0"/>
        <v>29.982268470343396</v>
      </c>
      <c r="D30" s="145">
        <f t="shared" si="1"/>
        <v>419.75175858480753</v>
      </c>
      <c r="E30" s="146">
        <f t="shared" si="2"/>
        <v>29.982268470343396</v>
      </c>
      <c r="F30" s="146">
        <f t="shared" si="1"/>
        <v>419.75175858480753</v>
      </c>
      <c r="X30" s="147"/>
      <c r="Y30" s="148"/>
      <c r="Z30" s="148"/>
      <c r="AA30" s="148"/>
      <c r="AB30" s="148"/>
    </row>
    <row r="31" spans="2:31" x14ac:dyDescent="0.2">
      <c r="B31" s="149">
        <v>14</v>
      </c>
      <c r="C31" s="145">
        <f t="shared" si="0"/>
        <v>29.982268470343396</v>
      </c>
      <c r="D31" s="145">
        <f t="shared" si="1"/>
        <v>449.73402705515093</v>
      </c>
      <c r="E31" s="146">
        <f t="shared" si="2"/>
        <v>29.982268470343396</v>
      </c>
      <c r="F31" s="146">
        <f t="shared" si="1"/>
        <v>449.73402705515093</v>
      </c>
      <c r="X31" s="147"/>
      <c r="Y31" s="225"/>
      <c r="Z31" s="225"/>
      <c r="AA31" s="225"/>
      <c r="AB31" s="148"/>
    </row>
    <row r="32" spans="2:31" x14ac:dyDescent="0.2">
      <c r="B32" s="149">
        <v>15</v>
      </c>
      <c r="C32" s="145">
        <f t="shared" si="0"/>
        <v>29.982268470343396</v>
      </c>
      <c r="D32" s="145">
        <f t="shared" si="1"/>
        <v>479.71629552549433</v>
      </c>
      <c r="E32" s="146">
        <f t="shared" si="2"/>
        <v>29.982268470343396</v>
      </c>
      <c r="F32" s="146">
        <f t="shared" si="1"/>
        <v>479.71629552549433</v>
      </c>
      <c r="X32" s="147"/>
      <c r="Y32" s="225"/>
      <c r="Z32" s="225"/>
      <c r="AA32" s="225"/>
      <c r="AB32" s="148"/>
    </row>
    <row r="33" spans="2:31" x14ac:dyDescent="0.2">
      <c r="B33" s="149">
        <v>16</v>
      </c>
      <c r="C33" s="145">
        <f t="shared" si="0"/>
        <v>29.982268470343396</v>
      </c>
      <c r="D33" s="145">
        <f t="shared" si="1"/>
        <v>509.69856399583773</v>
      </c>
      <c r="E33" s="146">
        <f t="shared" si="2"/>
        <v>29.982268470343396</v>
      </c>
      <c r="F33" s="146">
        <f t="shared" si="1"/>
        <v>509.69856399583773</v>
      </c>
      <c r="X33" s="150"/>
      <c r="Y33" s="150"/>
      <c r="Z33" s="150"/>
      <c r="AA33" s="150"/>
      <c r="AC33" s="81"/>
      <c r="AD33" s="81"/>
      <c r="AE33" s="81"/>
    </row>
    <row r="34" spans="2:31" x14ac:dyDescent="0.2">
      <c r="B34" s="149">
        <v>17</v>
      </c>
      <c r="C34" s="145">
        <f t="shared" si="0"/>
        <v>29.982268470343396</v>
      </c>
      <c r="D34" s="145">
        <f t="shared" si="1"/>
        <v>539.68083246618107</v>
      </c>
      <c r="E34" s="146">
        <f t="shared" si="2"/>
        <v>29.982268470343396</v>
      </c>
      <c r="F34" s="146">
        <f t="shared" si="1"/>
        <v>539.68083246618107</v>
      </c>
    </row>
    <row r="35" spans="2:31" x14ac:dyDescent="0.2">
      <c r="B35" s="149">
        <v>18</v>
      </c>
      <c r="C35" s="145">
        <f t="shared" si="0"/>
        <v>29.982268470343396</v>
      </c>
      <c r="D35" s="145">
        <f t="shared" si="1"/>
        <v>569.66310093652442</v>
      </c>
      <c r="E35" s="146">
        <f t="shared" si="2"/>
        <v>29.982268470343396</v>
      </c>
      <c r="F35" s="146">
        <f t="shared" si="1"/>
        <v>569.66310093652442</v>
      </c>
    </row>
    <row r="36" spans="2:31" x14ac:dyDescent="0.2">
      <c r="B36" s="149">
        <v>19</v>
      </c>
      <c r="C36" s="145">
        <f t="shared" si="0"/>
        <v>29.982268470343396</v>
      </c>
      <c r="D36" s="145">
        <f t="shared" si="1"/>
        <v>599.64536940686776</v>
      </c>
      <c r="E36" s="146">
        <f t="shared" si="2"/>
        <v>29.982268470343396</v>
      </c>
      <c r="F36" s="146">
        <f t="shared" si="1"/>
        <v>599.64536940686776</v>
      </c>
    </row>
    <row r="37" spans="2:31" x14ac:dyDescent="0.2">
      <c r="B37" s="149">
        <v>20</v>
      </c>
      <c r="C37" s="145">
        <f t="shared" si="0"/>
        <v>29.982268470343396</v>
      </c>
      <c r="D37" s="145">
        <f t="shared" si="1"/>
        <v>629.6276378772111</v>
      </c>
      <c r="E37" s="146">
        <f t="shared" si="2"/>
        <v>29.982268470343396</v>
      </c>
      <c r="F37" s="146">
        <f t="shared" si="1"/>
        <v>629.6276378772111</v>
      </c>
    </row>
    <row r="38" spans="2:31" x14ac:dyDescent="0.2">
      <c r="B38" s="149">
        <v>20</v>
      </c>
      <c r="C38" s="145">
        <f t="shared" si="0"/>
        <v>29.982268470343396</v>
      </c>
      <c r="D38" s="145">
        <f t="shared" si="1"/>
        <v>659.60990634755444</v>
      </c>
      <c r="E38" s="146">
        <f t="shared" si="2"/>
        <v>29.982268470343396</v>
      </c>
      <c r="F38" s="146">
        <f t="shared" si="1"/>
        <v>659.60990634755444</v>
      </c>
    </row>
    <row r="39" spans="2:31" x14ac:dyDescent="0.2">
      <c r="B39" s="149">
        <v>22</v>
      </c>
      <c r="C39" s="145">
        <f t="shared" si="0"/>
        <v>29.982268470343396</v>
      </c>
      <c r="D39" s="145">
        <f t="shared" si="1"/>
        <v>689.59217481789779</v>
      </c>
      <c r="E39" s="146">
        <f t="shared" si="2"/>
        <v>29.982268470343396</v>
      </c>
      <c r="F39" s="146">
        <f t="shared" si="1"/>
        <v>689.59217481789779</v>
      </c>
    </row>
    <row r="40" spans="2:31" x14ac:dyDescent="0.2">
      <c r="B40" s="81"/>
      <c r="C40" s="151"/>
      <c r="D40" s="117">
        <f>D39</f>
        <v>689.59217481789779</v>
      </c>
      <c r="E40" s="151"/>
      <c r="F40" s="118">
        <f>F39</f>
        <v>689.59217481789779</v>
      </c>
      <c r="G40" s="81" t="s">
        <v>23</v>
      </c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</row>
    <row r="42" spans="2:31" ht="32" x14ac:dyDescent="0.4">
      <c r="B42" s="228" t="s">
        <v>24</v>
      </c>
      <c r="C42" s="228"/>
      <c r="D42" s="228"/>
      <c r="E42" s="228"/>
      <c r="F42" s="228"/>
      <c r="G42" s="228"/>
      <c r="H42" s="228"/>
      <c r="I42" s="228"/>
      <c r="J42" s="228"/>
      <c r="K42" s="228"/>
      <c r="L42" s="228"/>
      <c r="M42" s="228"/>
      <c r="N42" s="228"/>
      <c r="O42" s="228"/>
      <c r="P42" s="228"/>
      <c r="Q42" s="228"/>
    </row>
    <row r="44" spans="2:31" ht="30" x14ac:dyDescent="0.2">
      <c r="B44" s="144" t="s">
        <v>10</v>
      </c>
      <c r="C44" s="115" t="s">
        <v>48</v>
      </c>
      <c r="D44" s="115" t="s">
        <v>49</v>
      </c>
      <c r="E44" s="116" t="s">
        <v>50</v>
      </c>
      <c r="F44" s="116" t="s">
        <v>51</v>
      </c>
      <c r="H44" s="2"/>
    </row>
    <row r="45" spans="2:31" x14ac:dyDescent="0.2">
      <c r="B45" s="144">
        <v>0</v>
      </c>
      <c r="C45" s="145">
        <f>RESUMEN!$H$3</f>
        <v>3623</v>
      </c>
      <c r="D45" s="145">
        <f>RESUMEN!$D$3</f>
        <v>3.4</v>
      </c>
      <c r="E45" s="146">
        <f>RESUMEN!$P$3</f>
        <v>3323</v>
      </c>
      <c r="F45" s="146">
        <f>RESUMEN!$L$3</f>
        <v>3.4</v>
      </c>
      <c r="H45" s="164">
        <f>AVERAGE(C45:C67)</f>
        <v>2127.1521739130435</v>
      </c>
    </row>
    <row r="46" spans="2:31" x14ac:dyDescent="0.2">
      <c r="B46" s="149">
        <v>1</v>
      </c>
      <c r="C46" s="145">
        <f>RESUMEN!$H$4</f>
        <v>2937</v>
      </c>
      <c r="D46" s="145">
        <f>RESUMEN!$D$4</f>
        <v>3.4</v>
      </c>
      <c r="E46" s="146">
        <f>RESUMEN!$P$4</f>
        <v>3323</v>
      </c>
      <c r="F46" s="146">
        <f>RESUMEN!$L$4</f>
        <v>3.4</v>
      </c>
      <c r="H46" s="72">
        <f>_xlfn.STDEV.S(C45:C67)</f>
        <v>404.82643404254668</v>
      </c>
    </row>
    <row r="47" spans="2:31" x14ac:dyDescent="0.2">
      <c r="B47" s="149">
        <v>2</v>
      </c>
      <c r="C47" s="145">
        <f>RESUMEN!H5</f>
        <v>2325</v>
      </c>
      <c r="D47" s="145">
        <f>RESUMEN!D5</f>
        <v>3.4</v>
      </c>
      <c r="E47" s="146">
        <f>RESUMEN!P5</f>
        <v>3337</v>
      </c>
      <c r="F47" s="146">
        <f>RESUMEN!L5</f>
        <v>3.2</v>
      </c>
      <c r="X47" s="147"/>
      <c r="Y47" s="225"/>
      <c r="Z47" s="225"/>
      <c r="AA47" s="225"/>
      <c r="AB47" s="148"/>
    </row>
    <row r="48" spans="2:31" x14ac:dyDescent="0.2">
      <c r="B48" s="149">
        <v>3</v>
      </c>
      <c r="C48" s="119">
        <f>AVERAGE(C47,C51)</f>
        <v>2270</v>
      </c>
      <c r="D48" s="119">
        <f>AVERAGE(D47,D51)</f>
        <v>3.3499999999999996</v>
      </c>
      <c r="E48" s="120">
        <f>AVERAGE(E47,E51)</f>
        <v>2973.5</v>
      </c>
      <c r="F48" s="120">
        <f>AVERAGE(F47,F51)</f>
        <v>3.2</v>
      </c>
      <c r="X48" s="147"/>
      <c r="Y48" s="225"/>
      <c r="Z48" s="225"/>
      <c r="AA48" s="225"/>
      <c r="AB48" s="148"/>
    </row>
    <row r="49" spans="2:31" x14ac:dyDescent="0.2">
      <c r="B49" s="149">
        <v>4</v>
      </c>
      <c r="C49" s="119">
        <f t="shared" ref="C49:F50" si="3">C48</f>
        <v>2270</v>
      </c>
      <c r="D49" s="119">
        <f t="shared" si="3"/>
        <v>3.3499999999999996</v>
      </c>
      <c r="E49" s="120">
        <f t="shared" si="3"/>
        <v>2973.5</v>
      </c>
      <c r="F49" s="120">
        <f t="shared" si="3"/>
        <v>3.2</v>
      </c>
      <c r="X49" s="150"/>
      <c r="Y49" s="150"/>
      <c r="Z49" s="150"/>
      <c r="AA49" s="150"/>
      <c r="AC49" s="81"/>
      <c r="AD49" s="81"/>
      <c r="AE49" s="81"/>
    </row>
    <row r="50" spans="2:31" x14ac:dyDescent="0.2">
      <c r="B50" s="149">
        <v>5</v>
      </c>
      <c r="C50" s="119">
        <f t="shared" si="3"/>
        <v>2270</v>
      </c>
      <c r="D50" s="119">
        <f t="shared" si="3"/>
        <v>3.3499999999999996</v>
      </c>
      <c r="E50" s="120">
        <f t="shared" si="3"/>
        <v>2973.5</v>
      </c>
      <c r="F50" s="120">
        <f t="shared" si="3"/>
        <v>3.2</v>
      </c>
    </row>
    <row r="51" spans="2:31" x14ac:dyDescent="0.2">
      <c r="B51" s="149">
        <v>6</v>
      </c>
      <c r="C51" s="145">
        <f>RESUMEN!$H$6</f>
        <v>2215</v>
      </c>
      <c r="D51" s="145">
        <f>RESUMEN!$D$6</f>
        <v>3.3</v>
      </c>
      <c r="E51" s="146">
        <f>RESUMEN!$P$6</f>
        <v>2610</v>
      </c>
      <c r="F51" s="146">
        <f>RESUMEN!$L$6</f>
        <v>3.2</v>
      </c>
    </row>
    <row r="52" spans="2:31" x14ac:dyDescent="0.2">
      <c r="B52" s="149">
        <v>7</v>
      </c>
      <c r="C52" s="145">
        <f>RESUMEN!H7</f>
        <v>1955</v>
      </c>
      <c r="D52" s="145">
        <f>RESUMEN!D7</f>
        <v>3.2</v>
      </c>
      <c r="E52" s="146">
        <f>RESUMEN!P7</f>
        <v>2576</v>
      </c>
      <c r="F52" s="146">
        <f>RESUMEN!L7</f>
        <v>3.1</v>
      </c>
    </row>
    <row r="53" spans="2:31" x14ac:dyDescent="0.2">
      <c r="B53" s="149">
        <v>8</v>
      </c>
      <c r="C53" s="145">
        <f>RESUMEN!H8</f>
        <v>1963</v>
      </c>
      <c r="D53" s="145">
        <f>RESUMEN!D8</f>
        <v>3.3</v>
      </c>
      <c r="E53" s="146">
        <f>RESUMEN!P8</f>
        <v>2473</v>
      </c>
      <c r="F53" s="146">
        <f>RESUMEN!L8</f>
        <v>3.2</v>
      </c>
    </row>
    <row r="54" spans="2:31" x14ac:dyDescent="0.2">
      <c r="B54" s="149">
        <v>9</v>
      </c>
      <c r="C54" s="119">
        <f>AVERAGE(C53,C59)</f>
        <v>1939.5</v>
      </c>
      <c r="D54" s="119">
        <f>AVERAGE(D53,D59)</f>
        <v>3.3499999999999996</v>
      </c>
      <c r="E54" s="120">
        <f>AVERAGE(E53,E59)</f>
        <v>2770.5</v>
      </c>
      <c r="F54" s="120">
        <f>AVERAGE(F53,F59)</f>
        <v>3.25</v>
      </c>
    </row>
    <row r="55" spans="2:31" x14ac:dyDescent="0.2">
      <c r="B55" s="149">
        <v>10</v>
      </c>
      <c r="C55" s="119">
        <f t="shared" ref="C55:F58" si="4">C54</f>
        <v>1939.5</v>
      </c>
      <c r="D55" s="119">
        <f t="shared" si="4"/>
        <v>3.3499999999999996</v>
      </c>
      <c r="E55" s="120">
        <f t="shared" si="4"/>
        <v>2770.5</v>
      </c>
      <c r="F55" s="120">
        <f t="shared" si="4"/>
        <v>3.25</v>
      </c>
    </row>
    <row r="56" spans="2:31" x14ac:dyDescent="0.2">
      <c r="B56" s="149">
        <v>11</v>
      </c>
      <c r="C56" s="119">
        <f t="shared" si="4"/>
        <v>1939.5</v>
      </c>
      <c r="D56" s="119">
        <f t="shared" si="4"/>
        <v>3.3499999999999996</v>
      </c>
      <c r="E56" s="120">
        <f t="shared" si="4"/>
        <v>2770.5</v>
      </c>
      <c r="F56" s="120">
        <f t="shared" si="4"/>
        <v>3.25</v>
      </c>
    </row>
    <row r="57" spans="2:31" x14ac:dyDescent="0.2">
      <c r="B57" s="149">
        <v>12</v>
      </c>
      <c r="C57" s="119">
        <f t="shared" si="4"/>
        <v>1939.5</v>
      </c>
      <c r="D57" s="119">
        <f t="shared" si="4"/>
        <v>3.3499999999999996</v>
      </c>
      <c r="E57" s="120">
        <f t="shared" si="4"/>
        <v>2770.5</v>
      </c>
      <c r="F57" s="120">
        <f t="shared" si="4"/>
        <v>3.25</v>
      </c>
    </row>
    <row r="58" spans="2:31" x14ac:dyDescent="0.2">
      <c r="B58" s="149">
        <v>13</v>
      </c>
      <c r="C58" s="119">
        <f t="shared" si="4"/>
        <v>1939.5</v>
      </c>
      <c r="D58" s="119">
        <f t="shared" si="4"/>
        <v>3.3499999999999996</v>
      </c>
      <c r="E58" s="120">
        <f t="shared" si="4"/>
        <v>2770.5</v>
      </c>
      <c r="F58" s="120">
        <f t="shared" si="4"/>
        <v>3.25</v>
      </c>
    </row>
    <row r="59" spans="2:31" x14ac:dyDescent="0.2">
      <c r="B59" s="149">
        <v>14</v>
      </c>
      <c r="C59" s="145">
        <f>RESUMEN!$H$9</f>
        <v>1916</v>
      </c>
      <c r="D59" s="145">
        <f>RESUMEN!$D$9</f>
        <v>3.4</v>
      </c>
      <c r="E59" s="146">
        <f>RESUMEN!$P$9</f>
        <v>3068</v>
      </c>
      <c r="F59" s="146">
        <f>RESUMEN!$L$9</f>
        <v>3.3</v>
      </c>
    </row>
    <row r="60" spans="2:31" x14ac:dyDescent="0.2">
      <c r="B60" s="149">
        <v>15</v>
      </c>
      <c r="C60" s="145">
        <f>RESUMEN!H10</f>
        <v>2079</v>
      </c>
      <c r="D60" s="145">
        <f>RESUMEN!D10</f>
        <v>3.5</v>
      </c>
      <c r="E60" s="146">
        <f>RESUMEN!P10</f>
        <v>2725</v>
      </c>
      <c r="F60" s="146">
        <f>RESUMEN!L10</f>
        <v>3.2</v>
      </c>
    </row>
    <row r="61" spans="2:31" x14ac:dyDescent="0.2">
      <c r="B61" s="149">
        <v>16</v>
      </c>
      <c r="C61" s="145">
        <f>RESUMEN!H11</f>
        <v>1847</v>
      </c>
      <c r="D61" s="145">
        <f>RESUMEN!D11</f>
        <v>3.4</v>
      </c>
      <c r="E61" s="146">
        <f>RESUMEN!P11</f>
        <v>3267</v>
      </c>
      <c r="F61" s="146">
        <f>RESUMEN!L11</f>
        <v>3.3</v>
      </c>
    </row>
    <row r="62" spans="2:31" x14ac:dyDescent="0.2">
      <c r="B62" s="149">
        <v>17</v>
      </c>
      <c r="C62" s="119">
        <f>AVERAGE(C61,C65)</f>
        <v>1910</v>
      </c>
      <c r="D62" s="119">
        <f>AVERAGE(D61,D65)</f>
        <v>3.3499999999999996</v>
      </c>
      <c r="E62" s="120">
        <f>AVERAGE(E61,E65)</f>
        <v>2900</v>
      </c>
      <c r="F62" s="120">
        <f>AVERAGE(F61,F65)</f>
        <v>3.3</v>
      </c>
    </row>
    <row r="63" spans="2:31" x14ac:dyDescent="0.2">
      <c r="B63" s="149">
        <v>18</v>
      </c>
      <c r="C63" s="119">
        <f t="shared" ref="C63:F64" si="5">C62</f>
        <v>1910</v>
      </c>
      <c r="D63" s="119">
        <f t="shared" si="5"/>
        <v>3.3499999999999996</v>
      </c>
      <c r="E63" s="120">
        <f t="shared" si="5"/>
        <v>2900</v>
      </c>
      <c r="F63" s="120">
        <f t="shared" si="5"/>
        <v>3.3</v>
      </c>
    </row>
    <row r="64" spans="2:31" x14ac:dyDescent="0.2">
      <c r="B64" s="149">
        <v>19</v>
      </c>
      <c r="C64" s="119">
        <f t="shared" si="5"/>
        <v>1910</v>
      </c>
      <c r="D64" s="119">
        <f t="shared" si="5"/>
        <v>3.3499999999999996</v>
      </c>
      <c r="E64" s="120">
        <f t="shared" si="5"/>
        <v>2900</v>
      </c>
      <c r="F64" s="120">
        <f t="shared" si="5"/>
        <v>3.3</v>
      </c>
    </row>
    <row r="65" spans="2:8" x14ac:dyDescent="0.2">
      <c r="B65" s="149">
        <v>20</v>
      </c>
      <c r="C65" s="145">
        <f>RESUMEN!H12</f>
        <v>1973</v>
      </c>
      <c r="D65" s="145">
        <f>RESUMEN!D12</f>
        <v>3.3</v>
      </c>
      <c r="E65" s="146">
        <f>RESUMEN!P12</f>
        <v>2533</v>
      </c>
      <c r="F65" s="146">
        <f>RESUMEN!L12</f>
        <v>3.3</v>
      </c>
    </row>
    <row r="66" spans="2:8" x14ac:dyDescent="0.2">
      <c r="B66" s="149">
        <v>21</v>
      </c>
      <c r="C66" s="145">
        <f>RESUMEN!H13</f>
        <v>1944</v>
      </c>
      <c r="D66" s="145">
        <f>RESUMEN!D13</f>
        <v>3.3</v>
      </c>
      <c r="E66" s="146">
        <f>RESUMEN!P13</f>
        <v>3076</v>
      </c>
      <c r="F66" s="146">
        <f>RESUMEN!L13</f>
        <v>3.2</v>
      </c>
    </row>
    <row r="67" spans="2:8" x14ac:dyDescent="0.2">
      <c r="B67" s="149">
        <v>22</v>
      </c>
      <c r="C67" s="145">
        <f>RESUMEN!H14</f>
        <v>1910</v>
      </c>
      <c r="D67" s="145">
        <f>RESUMEN!D14</f>
        <v>3.3</v>
      </c>
      <c r="E67" s="146">
        <f>RESUMEN!P14</f>
        <v>2375</v>
      </c>
      <c r="F67" s="146">
        <f>RESUMEN!L14</f>
        <v>3</v>
      </c>
      <c r="H67" s="152"/>
    </row>
    <row r="69" spans="2:8" ht="45" x14ac:dyDescent="0.2">
      <c r="B69" s="144" t="s">
        <v>10</v>
      </c>
      <c r="C69" s="115" t="s">
        <v>55</v>
      </c>
      <c r="D69" s="115" t="s">
        <v>54</v>
      </c>
      <c r="E69" s="116" t="s">
        <v>53</v>
      </c>
      <c r="F69" s="116" t="s">
        <v>52</v>
      </c>
    </row>
    <row r="70" spans="2:8" x14ac:dyDescent="0.2">
      <c r="B70" s="144">
        <v>0</v>
      </c>
      <c r="C70" s="153">
        <f t="shared" ref="C70:C92" si="6">C45*D45/1000000</f>
        <v>1.23182E-2</v>
      </c>
      <c r="D70" s="154">
        <f>C70</f>
        <v>1.23182E-2</v>
      </c>
      <c r="E70" s="155">
        <f t="shared" ref="E70:E92" si="7">E45*F45/1000000</f>
        <v>1.12982E-2</v>
      </c>
      <c r="F70" s="156">
        <f>E70</f>
        <v>1.12982E-2</v>
      </c>
    </row>
    <row r="71" spans="2:8" x14ac:dyDescent="0.2">
      <c r="B71" s="149">
        <v>1</v>
      </c>
      <c r="C71" s="153">
        <f t="shared" si="6"/>
        <v>9.9857999999999995E-3</v>
      </c>
      <c r="D71" s="154">
        <f>C71+D70</f>
        <v>2.2303999999999997E-2</v>
      </c>
      <c r="E71" s="155">
        <f t="shared" si="7"/>
        <v>1.12982E-2</v>
      </c>
      <c r="F71" s="156">
        <f>E71+F70</f>
        <v>2.2596399999999999E-2</v>
      </c>
    </row>
    <row r="72" spans="2:8" x14ac:dyDescent="0.2">
      <c r="B72" s="149">
        <v>2</v>
      </c>
      <c r="C72" s="153">
        <f t="shared" si="6"/>
        <v>7.9050000000000006E-3</v>
      </c>
      <c r="D72" s="154">
        <f t="shared" ref="D72:F92" si="8">C72+D71</f>
        <v>3.0209E-2</v>
      </c>
      <c r="E72" s="155">
        <f t="shared" si="7"/>
        <v>1.0678400000000001E-2</v>
      </c>
      <c r="F72" s="156">
        <f t="shared" si="8"/>
        <v>3.32748E-2</v>
      </c>
    </row>
    <row r="73" spans="2:8" x14ac:dyDescent="0.2">
      <c r="B73" s="149">
        <v>3</v>
      </c>
      <c r="C73" s="153">
        <f t="shared" si="6"/>
        <v>7.6044999999999993E-3</v>
      </c>
      <c r="D73" s="154">
        <f t="shared" si="8"/>
        <v>3.78135E-2</v>
      </c>
      <c r="E73" s="155">
        <f t="shared" si="7"/>
        <v>9.5152000000000014E-3</v>
      </c>
      <c r="F73" s="156">
        <f t="shared" si="8"/>
        <v>4.2790000000000002E-2</v>
      </c>
    </row>
    <row r="74" spans="2:8" x14ac:dyDescent="0.2">
      <c r="B74" s="149">
        <v>4</v>
      </c>
      <c r="C74" s="153">
        <f t="shared" si="6"/>
        <v>7.6044999999999993E-3</v>
      </c>
      <c r="D74" s="154">
        <f t="shared" si="8"/>
        <v>4.5418E-2</v>
      </c>
      <c r="E74" s="155">
        <f t="shared" si="7"/>
        <v>9.5152000000000014E-3</v>
      </c>
      <c r="F74" s="156">
        <f t="shared" si="8"/>
        <v>5.2305200000000003E-2</v>
      </c>
    </row>
    <row r="75" spans="2:8" x14ac:dyDescent="0.2">
      <c r="B75" s="149">
        <v>5</v>
      </c>
      <c r="C75" s="153">
        <f t="shared" si="6"/>
        <v>7.6044999999999993E-3</v>
      </c>
      <c r="D75" s="154">
        <f t="shared" si="8"/>
        <v>5.30225E-2</v>
      </c>
      <c r="E75" s="155">
        <f t="shared" si="7"/>
        <v>9.5152000000000014E-3</v>
      </c>
      <c r="F75" s="156">
        <f t="shared" si="8"/>
        <v>6.1820400000000005E-2</v>
      </c>
    </row>
    <row r="76" spans="2:8" x14ac:dyDescent="0.2">
      <c r="B76" s="149">
        <v>6</v>
      </c>
      <c r="C76" s="153">
        <f t="shared" si="6"/>
        <v>7.3095E-3</v>
      </c>
      <c r="D76" s="154">
        <f t="shared" si="8"/>
        <v>6.0331999999999997E-2</v>
      </c>
      <c r="E76" s="155">
        <f t="shared" si="7"/>
        <v>8.352E-3</v>
      </c>
      <c r="F76" s="156">
        <f t="shared" si="8"/>
        <v>7.017240000000001E-2</v>
      </c>
    </row>
    <row r="77" spans="2:8" x14ac:dyDescent="0.2">
      <c r="B77" s="149">
        <v>7</v>
      </c>
      <c r="C77" s="153">
        <f t="shared" si="6"/>
        <v>6.2560000000000003E-3</v>
      </c>
      <c r="D77" s="154">
        <f t="shared" si="8"/>
        <v>6.6587999999999994E-2</v>
      </c>
      <c r="E77" s="155">
        <f t="shared" si="7"/>
        <v>7.9856000000000007E-3</v>
      </c>
      <c r="F77" s="156">
        <f t="shared" si="8"/>
        <v>7.8158000000000005E-2</v>
      </c>
    </row>
    <row r="78" spans="2:8" x14ac:dyDescent="0.2">
      <c r="B78" s="149">
        <v>8</v>
      </c>
      <c r="C78" s="153">
        <f t="shared" si="6"/>
        <v>6.4779E-3</v>
      </c>
      <c r="D78" s="154">
        <f t="shared" si="8"/>
        <v>7.3065899999999989E-2</v>
      </c>
      <c r="E78" s="155">
        <f t="shared" si="7"/>
        <v>7.9135999999999998E-3</v>
      </c>
      <c r="F78" s="156">
        <f t="shared" si="8"/>
        <v>8.6071599999999998E-2</v>
      </c>
    </row>
    <row r="79" spans="2:8" x14ac:dyDescent="0.2">
      <c r="B79" s="149">
        <v>9</v>
      </c>
      <c r="C79" s="153">
        <f t="shared" si="6"/>
        <v>6.4973249999999991E-3</v>
      </c>
      <c r="D79" s="154">
        <f t="shared" si="8"/>
        <v>7.9563224999999987E-2</v>
      </c>
      <c r="E79" s="155">
        <f t="shared" si="7"/>
        <v>9.004125E-3</v>
      </c>
      <c r="F79" s="156">
        <f t="shared" si="8"/>
        <v>9.5075725E-2</v>
      </c>
    </row>
    <row r="80" spans="2:8" x14ac:dyDescent="0.2">
      <c r="B80" s="149">
        <v>10</v>
      </c>
      <c r="C80" s="153">
        <f t="shared" si="6"/>
        <v>6.4973249999999991E-3</v>
      </c>
      <c r="D80" s="154">
        <f t="shared" si="8"/>
        <v>8.6060549999999986E-2</v>
      </c>
      <c r="E80" s="155">
        <f t="shared" si="7"/>
        <v>9.004125E-3</v>
      </c>
      <c r="F80" s="156">
        <f t="shared" si="8"/>
        <v>0.10407985</v>
      </c>
    </row>
    <row r="81" spans="2:31" x14ac:dyDescent="0.2">
      <c r="B81" s="149">
        <v>11</v>
      </c>
      <c r="C81" s="153">
        <f t="shared" si="6"/>
        <v>6.4973249999999991E-3</v>
      </c>
      <c r="D81" s="154">
        <f t="shared" si="8"/>
        <v>9.2557874999999984E-2</v>
      </c>
      <c r="E81" s="155">
        <f t="shared" si="7"/>
        <v>9.004125E-3</v>
      </c>
      <c r="F81" s="156">
        <f t="shared" si="8"/>
        <v>0.113083975</v>
      </c>
    </row>
    <row r="82" spans="2:31" x14ac:dyDescent="0.2">
      <c r="B82" s="149">
        <v>12</v>
      </c>
      <c r="C82" s="153">
        <f t="shared" si="6"/>
        <v>6.4973249999999991E-3</v>
      </c>
      <c r="D82" s="154">
        <f t="shared" si="8"/>
        <v>9.9055199999999982E-2</v>
      </c>
      <c r="E82" s="155">
        <f t="shared" si="7"/>
        <v>9.004125E-3</v>
      </c>
      <c r="F82" s="156">
        <f t="shared" si="8"/>
        <v>0.1220881</v>
      </c>
    </row>
    <row r="83" spans="2:31" x14ac:dyDescent="0.2">
      <c r="B83" s="149">
        <v>13</v>
      </c>
      <c r="C83" s="153">
        <f t="shared" si="6"/>
        <v>6.4973249999999991E-3</v>
      </c>
      <c r="D83" s="154">
        <f t="shared" si="8"/>
        <v>0.10555252499999998</v>
      </c>
      <c r="E83" s="155">
        <f t="shared" si="7"/>
        <v>9.004125E-3</v>
      </c>
      <c r="F83" s="156">
        <f t="shared" si="8"/>
        <v>0.13109222500000001</v>
      </c>
    </row>
    <row r="84" spans="2:31" x14ac:dyDescent="0.2">
      <c r="B84" s="149">
        <v>14</v>
      </c>
      <c r="C84" s="153">
        <f t="shared" si="6"/>
        <v>6.5144000000000001E-3</v>
      </c>
      <c r="D84" s="154">
        <f t="shared" si="8"/>
        <v>0.11206692499999998</v>
      </c>
      <c r="E84" s="155">
        <f t="shared" si="7"/>
        <v>1.01244E-2</v>
      </c>
      <c r="F84" s="156">
        <f t="shared" si="8"/>
        <v>0.14121662500000001</v>
      </c>
    </row>
    <row r="85" spans="2:31" x14ac:dyDescent="0.2">
      <c r="B85" s="149">
        <v>15</v>
      </c>
      <c r="C85" s="153">
        <f t="shared" si="6"/>
        <v>7.2765E-3</v>
      </c>
      <c r="D85" s="154">
        <f t="shared" si="8"/>
        <v>0.11934342499999999</v>
      </c>
      <c r="E85" s="155">
        <f t="shared" si="7"/>
        <v>8.7200000000000003E-3</v>
      </c>
      <c r="F85" s="156">
        <f t="shared" si="8"/>
        <v>0.14993662500000002</v>
      </c>
    </row>
    <row r="86" spans="2:31" x14ac:dyDescent="0.2">
      <c r="B86" s="149">
        <v>16</v>
      </c>
      <c r="C86" s="153">
        <f t="shared" si="6"/>
        <v>6.2798000000000003E-3</v>
      </c>
      <c r="D86" s="154">
        <f t="shared" si="8"/>
        <v>0.12562322499999998</v>
      </c>
      <c r="E86" s="155">
        <f t="shared" si="7"/>
        <v>1.0781099999999998E-2</v>
      </c>
      <c r="F86" s="156">
        <f t="shared" si="8"/>
        <v>0.16071772500000001</v>
      </c>
    </row>
    <row r="87" spans="2:31" x14ac:dyDescent="0.2">
      <c r="B87" s="149">
        <v>17</v>
      </c>
      <c r="C87" s="153">
        <f t="shared" si="6"/>
        <v>6.3984999999999988E-3</v>
      </c>
      <c r="D87" s="154">
        <f t="shared" si="8"/>
        <v>0.13202172499999998</v>
      </c>
      <c r="E87" s="155">
        <f t="shared" si="7"/>
        <v>9.5700000000000004E-3</v>
      </c>
      <c r="F87" s="156">
        <f t="shared" si="8"/>
        <v>0.170287725</v>
      </c>
    </row>
    <row r="88" spans="2:31" x14ac:dyDescent="0.2">
      <c r="B88" s="149">
        <v>18</v>
      </c>
      <c r="C88" s="153">
        <f t="shared" si="6"/>
        <v>6.3984999999999988E-3</v>
      </c>
      <c r="D88" s="154">
        <f t="shared" si="8"/>
        <v>0.13842022499999998</v>
      </c>
      <c r="E88" s="155">
        <f t="shared" si="7"/>
        <v>9.5700000000000004E-3</v>
      </c>
      <c r="F88" s="156">
        <f t="shared" si="8"/>
        <v>0.179857725</v>
      </c>
    </row>
    <row r="89" spans="2:31" x14ac:dyDescent="0.2">
      <c r="B89" s="149">
        <v>19</v>
      </c>
      <c r="C89" s="153">
        <f t="shared" si="6"/>
        <v>6.3984999999999988E-3</v>
      </c>
      <c r="D89" s="154">
        <f t="shared" si="8"/>
        <v>0.14481872499999998</v>
      </c>
      <c r="E89" s="155">
        <f t="shared" si="7"/>
        <v>9.5700000000000004E-3</v>
      </c>
      <c r="F89" s="156">
        <f t="shared" si="8"/>
        <v>0.18942772499999999</v>
      </c>
    </row>
    <row r="90" spans="2:31" x14ac:dyDescent="0.2">
      <c r="B90" s="149">
        <v>20</v>
      </c>
      <c r="C90" s="153">
        <f t="shared" si="6"/>
        <v>6.5109E-3</v>
      </c>
      <c r="D90" s="154">
        <f t="shared" si="8"/>
        <v>0.15132962499999997</v>
      </c>
      <c r="E90" s="155">
        <f t="shared" si="7"/>
        <v>8.358899999999999E-3</v>
      </c>
      <c r="F90" s="156">
        <f t="shared" si="8"/>
        <v>0.19778662499999999</v>
      </c>
    </row>
    <row r="91" spans="2:31" x14ac:dyDescent="0.2">
      <c r="B91" s="149">
        <v>21</v>
      </c>
      <c r="C91" s="153">
        <f t="shared" si="6"/>
        <v>6.4152000000000002E-3</v>
      </c>
      <c r="D91" s="154">
        <f t="shared" si="8"/>
        <v>0.15774482499999998</v>
      </c>
      <c r="E91" s="155">
        <f t="shared" si="7"/>
        <v>9.8431999999999999E-3</v>
      </c>
      <c r="F91" s="156">
        <f t="shared" si="8"/>
        <v>0.20762982499999999</v>
      </c>
    </row>
    <row r="92" spans="2:31" x14ac:dyDescent="0.2">
      <c r="B92" s="149">
        <v>22</v>
      </c>
      <c r="C92" s="153">
        <f t="shared" si="6"/>
        <v>6.3029999999999996E-3</v>
      </c>
      <c r="D92" s="154">
        <f t="shared" si="8"/>
        <v>0.16404782499999998</v>
      </c>
      <c r="E92" s="155">
        <f t="shared" si="7"/>
        <v>7.1250000000000003E-3</v>
      </c>
      <c r="F92" s="156">
        <f t="shared" si="8"/>
        <v>0.21475482499999998</v>
      </c>
    </row>
    <row r="93" spans="2:31" x14ac:dyDescent="0.2">
      <c r="B93" s="81"/>
      <c r="C93" s="82"/>
      <c r="D93" s="82">
        <f>(D92*1)/(0.082*304)</f>
        <v>6.5808658937740686E-3</v>
      </c>
      <c r="E93" s="82"/>
      <c r="F93" s="82">
        <f>(F92*1)/(0.082*304)</f>
        <v>8.6150042121309368E-3</v>
      </c>
      <c r="G93" s="72" t="s">
        <v>32</v>
      </c>
    </row>
    <row r="94" spans="2:31" x14ac:dyDescent="0.2">
      <c r="B94" s="81"/>
      <c r="C94" s="157"/>
      <c r="D94" s="121">
        <f>D93*32.05*1000</f>
        <v>210.9167518954589</v>
      </c>
      <c r="E94" s="157"/>
      <c r="F94" s="122">
        <f>F93*32.05*1000</f>
        <v>276.11088499879651</v>
      </c>
      <c r="G94" s="81" t="s">
        <v>23</v>
      </c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</row>
    <row r="96" spans="2:31" ht="32" x14ac:dyDescent="0.4">
      <c r="B96" s="226" t="s">
        <v>88</v>
      </c>
      <c r="C96" s="226"/>
      <c r="D96" s="226"/>
      <c r="E96" s="226"/>
      <c r="F96" s="226"/>
      <c r="G96" s="226"/>
      <c r="H96" s="226"/>
      <c r="I96" s="226"/>
      <c r="J96" s="226"/>
      <c r="K96" s="226"/>
      <c r="L96" s="226"/>
      <c r="M96" s="226"/>
      <c r="N96" s="226"/>
      <c r="O96" s="226"/>
      <c r="P96" s="226"/>
      <c r="Q96" s="226"/>
    </row>
    <row r="98" spans="2:31" ht="30" x14ac:dyDescent="0.2">
      <c r="B98" s="144" t="s">
        <v>10</v>
      </c>
      <c r="C98" s="115" t="s">
        <v>56</v>
      </c>
      <c r="D98" s="115" t="s">
        <v>57</v>
      </c>
      <c r="E98" s="116" t="s">
        <v>58</v>
      </c>
      <c r="F98" s="116" t="s">
        <v>59</v>
      </c>
    </row>
    <row r="99" spans="2:31" x14ac:dyDescent="0.2">
      <c r="B99" s="144">
        <v>0</v>
      </c>
      <c r="C99" s="123">
        <f>AVERAGE(C100,RESUMEN!AC4)</f>
        <v>115.74187499998085</v>
      </c>
      <c r="D99" s="124">
        <f>AVERAGE(D105,RESUMEN!X4)</f>
        <v>77.95213333333335</v>
      </c>
      <c r="E99" s="125">
        <f>AVERAGE(E100,RESUMEN!AD4)</f>
        <v>192.86025363636281</v>
      </c>
      <c r="F99" s="58">
        <f>AVERAGE(F105,RESUMEN!Y4)</f>
        <v>126.53693333333335</v>
      </c>
    </row>
    <row r="100" spans="2:31" x14ac:dyDescent="0.2">
      <c r="B100" s="149">
        <v>1</v>
      </c>
      <c r="C100" s="126">
        <f>RESUMEN!AC5</f>
        <v>43.159999999992699</v>
      </c>
      <c r="D100" s="124">
        <f>D99</f>
        <v>77.95213333333335</v>
      </c>
      <c r="E100" s="127">
        <f>RESUMEN!AD5</f>
        <v>194.88777999999999</v>
      </c>
      <c r="F100" s="58">
        <f>AVERAGE(F105,RESUMEN!Y4)</f>
        <v>126.53693333333335</v>
      </c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</row>
    <row r="101" spans="2:31" x14ac:dyDescent="0.2">
      <c r="B101" s="149">
        <v>2</v>
      </c>
      <c r="C101" s="123">
        <f>AVERAGE(C100,C105)</f>
        <v>44.410937500000259</v>
      </c>
      <c r="D101" s="124">
        <f t="shared" ref="D101:D104" si="9">D100</f>
        <v>77.95213333333335</v>
      </c>
      <c r="E101" s="125">
        <f>AVERAGE(E100,E105)</f>
        <v>197.62006647058058</v>
      </c>
      <c r="F101" s="58">
        <f>F100</f>
        <v>126.53693333333335</v>
      </c>
      <c r="G101" s="128"/>
      <c r="H101" s="128"/>
      <c r="I101" s="128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</row>
    <row r="102" spans="2:31" x14ac:dyDescent="0.2">
      <c r="B102" s="149">
        <v>3</v>
      </c>
      <c r="C102" s="123">
        <f t="shared" ref="C102:C104" si="10">C101</f>
        <v>44.410937500000259</v>
      </c>
      <c r="D102" s="124">
        <f t="shared" si="9"/>
        <v>77.95213333333335</v>
      </c>
      <c r="E102" s="125">
        <f t="shared" ref="E102:F102" si="11">E101</f>
        <v>197.62006647058058</v>
      </c>
      <c r="F102" s="58">
        <f t="shared" si="11"/>
        <v>126.53693333333335</v>
      </c>
      <c r="G102" s="128"/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</row>
    <row r="103" spans="2:31" x14ac:dyDescent="0.2">
      <c r="B103" s="149">
        <v>4</v>
      </c>
      <c r="C103" s="123">
        <f t="shared" si="10"/>
        <v>44.410937500000259</v>
      </c>
      <c r="D103" s="124">
        <f t="shared" si="9"/>
        <v>77.95213333333335</v>
      </c>
      <c r="E103" s="125">
        <f t="shared" ref="E103:F103" si="12">E102</f>
        <v>197.62006647058058</v>
      </c>
      <c r="F103" s="58">
        <f t="shared" si="12"/>
        <v>126.53693333333335</v>
      </c>
      <c r="G103" s="128"/>
      <c r="H103" s="128"/>
      <c r="I103" s="128"/>
      <c r="J103" s="128"/>
      <c r="K103" s="128"/>
      <c r="L103" s="128"/>
      <c r="M103" s="128"/>
      <c r="N103" s="128"/>
      <c r="O103" s="128"/>
      <c r="P103" s="12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</row>
    <row r="104" spans="2:31" x14ac:dyDescent="0.2">
      <c r="B104" s="149">
        <v>5</v>
      </c>
      <c r="C104" s="123">
        <f t="shared" si="10"/>
        <v>44.410937500000259</v>
      </c>
      <c r="D104" s="124">
        <f t="shared" si="9"/>
        <v>77.95213333333335</v>
      </c>
      <c r="E104" s="125">
        <f t="shared" ref="E104:F104" si="13">E103</f>
        <v>197.62006647058058</v>
      </c>
      <c r="F104" s="58">
        <f t="shared" si="13"/>
        <v>126.53693333333335</v>
      </c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</row>
    <row r="105" spans="2:31" x14ac:dyDescent="0.2">
      <c r="B105" s="149">
        <v>6</v>
      </c>
      <c r="C105" s="129">
        <f>RESUMEN!AC6</f>
        <v>45.661875000007825</v>
      </c>
      <c r="D105" s="129">
        <f>RESUMEN!X5</f>
        <v>77.732133333333394</v>
      </c>
      <c r="E105" s="130">
        <f>RESUMEN!AD6</f>
        <v>200.35235294116114</v>
      </c>
      <c r="F105" s="130">
        <f>RESUMEN!Y5</f>
        <v>130.20773333333335</v>
      </c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</row>
    <row r="106" spans="2:31" x14ac:dyDescent="0.2">
      <c r="B106" s="149">
        <v>7</v>
      </c>
      <c r="C106" s="123">
        <f>AVERAGE(C105,C120)</f>
        <v>47.183937500008085</v>
      </c>
      <c r="D106" s="124">
        <f>AVERAGE(D105,D112)</f>
        <v>79.767733333333368</v>
      </c>
      <c r="E106" s="125">
        <f>AVERAGE(E105,E120)</f>
        <v>200.80317647058109</v>
      </c>
      <c r="F106" s="58">
        <f>AVERAGE(F105,F112)</f>
        <v>136.94513333333333</v>
      </c>
      <c r="G106" s="128"/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</row>
    <row r="107" spans="2:31" x14ac:dyDescent="0.2">
      <c r="B107" s="149">
        <v>8</v>
      </c>
      <c r="C107" s="123">
        <f>C106</f>
        <v>47.183937500008085</v>
      </c>
      <c r="D107" s="124">
        <f>D106</f>
        <v>79.767733333333368</v>
      </c>
      <c r="E107" s="125">
        <f>E106</f>
        <v>200.80317647058109</v>
      </c>
      <c r="F107" s="58">
        <f>F106</f>
        <v>136.94513333333333</v>
      </c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</row>
    <row r="108" spans="2:31" x14ac:dyDescent="0.2">
      <c r="B108" s="149">
        <v>9</v>
      </c>
      <c r="C108" s="123">
        <f t="shared" ref="C108:D119" si="14">C107</f>
        <v>47.183937500008085</v>
      </c>
      <c r="D108" s="124">
        <f t="shared" si="14"/>
        <v>79.767733333333368</v>
      </c>
      <c r="E108" s="125">
        <f t="shared" ref="E108:F108" si="15">E107</f>
        <v>200.80317647058109</v>
      </c>
      <c r="F108" s="58">
        <f t="shared" si="15"/>
        <v>136.94513333333333</v>
      </c>
      <c r="G108" s="128"/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</row>
    <row r="109" spans="2:31" x14ac:dyDescent="0.2">
      <c r="B109" s="149">
        <v>10</v>
      </c>
      <c r="C109" s="123">
        <f t="shared" si="14"/>
        <v>47.183937500008085</v>
      </c>
      <c r="D109" s="124">
        <f t="shared" si="14"/>
        <v>79.767733333333368</v>
      </c>
      <c r="E109" s="125">
        <f t="shared" ref="E109:F109" si="16">E108</f>
        <v>200.80317647058109</v>
      </c>
      <c r="F109" s="58">
        <f t="shared" si="16"/>
        <v>136.94513333333333</v>
      </c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</row>
    <row r="110" spans="2:31" x14ac:dyDescent="0.2">
      <c r="B110" s="149">
        <v>11</v>
      </c>
      <c r="C110" s="123">
        <f t="shared" si="14"/>
        <v>47.183937500008085</v>
      </c>
      <c r="D110" s="124">
        <f t="shared" si="14"/>
        <v>79.767733333333368</v>
      </c>
      <c r="E110" s="125">
        <f t="shared" ref="E110:F110" si="17">E109</f>
        <v>200.80317647058109</v>
      </c>
      <c r="F110" s="58">
        <f t="shared" si="17"/>
        <v>136.94513333333333</v>
      </c>
      <c r="G110" s="128"/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</row>
    <row r="111" spans="2:31" x14ac:dyDescent="0.2">
      <c r="B111" s="149">
        <v>12</v>
      </c>
      <c r="C111" s="123">
        <f t="shared" si="14"/>
        <v>47.183937500008085</v>
      </c>
      <c r="D111" s="124">
        <f t="shared" si="14"/>
        <v>79.767733333333368</v>
      </c>
      <c r="E111" s="125">
        <f t="shared" ref="E111:F111" si="18">E110</f>
        <v>200.80317647058109</v>
      </c>
      <c r="F111" s="58">
        <f t="shared" si="18"/>
        <v>136.94513333333333</v>
      </c>
      <c r="G111" s="128"/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</row>
    <row r="112" spans="2:31" x14ac:dyDescent="0.2">
      <c r="B112" s="149">
        <v>13</v>
      </c>
      <c r="C112" s="123">
        <f t="shared" si="14"/>
        <v>47.183937500008085</v>
      </c>
      <c r="D112" s="131">
        <f>RESUMEN!X6</f>
        <v>81.803333333333342</v>
      </c>
      <c r="E112" s="125">
        <f t="shared" ref="E112" si="19">E111</f>
        <v>200.80317647058109</v>
      </c>
      <c r="F112" s="132">
        <f>RESUMEN!Y6</f>
        <v>143.68253333333334</v>
      </c>
      <c r="G112" s="128"/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</row>
    <row r="113" spans="2:31" x14ac:dyDescent="0.2">
      <c r="B113" s="149">
        <v>14</v>
      </c>
      <c r="C113" s="123">
        <f t="shared" si="14"/>
        <v>47.183937500008085</v>
      </c>
      <c r="D113" s="124">
        <f>AVERAGE(D112,D120)</f>
        <v>81.173133333333311</v>
      </c>
      <c r="E113" s="125">
        <f t="shared" ref="E113" si="20">E112</f>
        <v>200.80317647058109</v>
      </c>
      <c r="F113" s="58">
        <f>AVERAGE(F112,F120)</f>
        <v>140.69573333333335</v>
      </c>
      <c r="G113" s="128"/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</row>
    <row r="114" spans="2:31" x14ac:dyDescent="0.2">
      <c r="B114" s="149">
        <v>15</v>
      </c>
      <c r="C114" s="123">
        <f t="shared" si="14"/>
        <v>47.183937500008085</v>
      </c>
      <c r="D114" s="124">
        <f>D113</f>
        <v>81.173133333333311</v>
      </c>
      <c r="E114" s="125">
        <f t="shared" ref="E114" si="21">E113</f>
        <v>200.80317647058109</v>
      </c>
      <c r="F114" s="58">
        <f>F113</f>
        <v>140.69573333333335</v>
      </c>
      <c r="G114" s="128"/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</row>
    <row r="115" spans="2:31" x14ac:dyDescent="0.2">
      <c r="B115" s="149">
        <v>16</v>
      </c>
      <c r="C115" s="123">
        <f t="shared" si="14"/>
        <v>47.183937500008085</v>
      </c>
      <c r="D115" s="124">
        <f t="shared" si="14"/>
        <v>81.173133333333311</v>
      </c>
      <c r="E115" s="125">
        <f t="shared" ref="E115:F115" si="22">E114</f>
        <v>200.80317647058109</v>
      </c>
      <c r="F115" s="58">
        <f t="shared" si="22"/>
        <v>140.69573333333335</v>
      </c>
      <c r="G115" s="128"/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</row>
    <row r="116" spans="2:31" x14ac:dyDescent="0.2">
      <c r="B116" s="149">
        <v>17</v>
      </c>
      <c r="C116" s="123">
        <f t="shared" si="14"/>
        <v>47.183937500008085</v>
      </c>
      <c r="D116" s="124">
        <f t="shared" si="14"/>
        <v>81.173133333333311</v>
      </c>
      <c r="E116" s="125">
        <f t="shared" ref="E116:F116" si="23">E115</f>
        <v>200.80317647058109</v>
      </c>
      <c r="F116" s="58">
        <f t="shared" si="23"/>
        <v>140.69573333333335</v>
      </c>
      <c r="G116" s="128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</row>
    <row r="117" spans="2:31" x14ac:dyDescent="0.2">
      <c r="B117" s="149">
        <v>18</v>
      </c>
      <c r="C117" s="123">
        <f t="shared" si="14"/>
        <v>47.183937500008085</v>
      </c>
      <c r="D117" s="124">
        <f t="shared" si="14"/>
        <v>81.173133333333311</v>
      </c>
      <c r="E117" s="125">
        <f t="shared" ref="E117:F117" si="24">E116</f>
        <v>200.80317647058109</v>
      </c>
      <c r="F117" s="58">
        <f t="shared" si="24"/>
        <v>140.69573333333335</v>
      </c>
      <c r="G117" s="128"/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/>
      <c r="S117" s="128"/>
      <c r="T117" s="128"/>
      <c r="U117" s="128"/>
      <c r="V117" s="128"/>
      <c r="W117" s="128"/>
      <c r="X117" s="128"/>
      <c r="Y117" s="128"/>
      <c r="Z117" s="128"/>
      <c r="AA117" s="128"/>
      <c r="AB117" s="128"/>
      <c r="AC117" s="128"/>
      <c r="AD117" s="128"/>
      <c r="AE117" s="128"/>
    </row>
    <row r="118" spans="2:31" x14ac:dyDescent="0.2">
      <c r="B118" s="149">
        <v>19</v>
      </c>
      <c r="C118" s="123">
        <f t="shared" si="14"/>
        <v>47.183937500008085</v>
      </c>
      <c r="D118" s="124">
        <f t="shared" si="14"/>
        <v>81.173133333333311</v>
      </c>
      <c r="E118" s="125">
        <f t="shared" ref="E118:F118" si="25">E117</f>
        <v>200.80317647058109</v>
      </c>
      <c r="F118" s="58">
        <f t="shared" si="25"/>
        <v>140.69573333333335</v>
      </c>
      <c r="G118" s="128"/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/>
      <c r="S118" s="128"/>
      <c r="T118" s="128"/>
      <c r="U118" s="128"/>
      <c r="V118" s="128"/>
      <c r="W118" s="128"/>
      <c r="X118" s="128"/>
      <c r="Y118" s="128"/>
      <c r="Z118" s="128"/>
      <c r="AA118" s="128"/>
      <c r="AB118" s="128"/>
      <c r="AC118" s="128"/>
      <c r="AD118" s="128"/>
      <c r="AE118" s="128"/>
    </row>
    <row r="119" spans="2:31" x14ac:dyDescent="0.2">
      <c r="B119" s="149">
        <v>20</v>
      </c>
      <c r="C119" s="123">
        <f t="shared" si="14"/>
        <v>47.183937500008085</v>
      </c>
      <c r="D119" s="124">
        <f t="shared" si="14"/>
        <v>81.173133333333311</v>
      </c>
      <c r="E119" s="125">
        <f t="shared" ref="E119:F119" si="26">E118</f>
        <v>200.80317647058109</v>
      </c>
      <c r="F119" s="58">
        <f t="shared" si="26"/>
        <v>140.69573333333335</v>
      </c>
      <c r="G119" s="128"/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8"/>
      <c r="S119" s="128"/>
      <c r="T119" s="128"/>
      <c r="U119" s="128"/>
      <c r="V119" s="128"/>
      <c r="W119" s="128"/>
      <c r="X119" s="128"/>
      <c r="Y119" s="128"/>
      <c r="Z119" s="128"/>
      <c r="AA119" s="128"/>
      <c r="AB119" s="128"/>
      <c r="AC119" s="128"/>
      <c r="AD119" s="128"/>
      <c r="AE119" s="128"/>
    </row>
    <row r="120" spans="2:31" x14ac:dyDescent="0.2">
      <c r="B120" s="149">
        <v>21</v>
      </c>
      <c r="C120" s="129">
        <f>RESUMEN!AC7</f>
        <v>48.706000000008345</v>
      </c>
      <c r="D120" s="129">
        <f>RESUMEN!X7</f>
        <v>80.542933333333295</v>
      </c>
      <c r="E120" s="130">
        <f>RESUMEN!AD7</f>
        <v>201.25400000000101</v>
      </c>
      <c r="F120" s="130">
        <f>RESUMEN!Y7</f>
        <v>137.70893333333333</v>
      </c>
      <c r="G120" s="128"/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  <c r="X120" s="128"/>
      <c r="Y120" s="128"/>
      <c r="Z120" s="128"/>
      <c r="AA120" s="128"/>
      <c r="AB120" s="128"/>
      <c r="AC120" s="128"/>
      <c r="AD120" s="128"/>
      <c r="AE120" s="128"/>
    </row>
    <row r="121" spans="2:31" x14ac:dyDescent="0.2">
      <c r="B121" s="149">
        <v>22</v>
      </c>
      <c r="C121" s="123">
        <f>AVERAGE(C120,RESUMEN!AC8)</f>
        <v>52.606898305085039</v>
      </c>
      <c r="D121" s="124">
        <f>D120</f>
        <v>80.542933333333295</v>
      </c>
      <c r="E121" s="125">
        <f>AVERAGE(E120,RESUMEN!AD8)</f>
        <v>198.14453846153668</v>
      </c>
      <c r="F121" s="58">
        <f>AVERAGE(F120,RESUMEN!Y8)</f>
        <v>138.32453333333333</v>
      </c>
      <c r="G121" s="128"/>
      <c r="H121" s="152"/>
      <c r="I121" s="128"/>
      <c r="J121" s="128"/>
      <c r="K121" s="128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  <c r="X121" s="128"/>
      <c r="Y121" s="128"/>
      <c r="Z121" s="128"/>
      <c r="AA121" s="128"/>
      <c r="AB121" s="128"/>
      <c r="AC121" s="128"/>
      <c r="AD121" s="128"/>
      <c r="AE121" s="128"/>
    </row>
    <row r="122" spans="2:31" x14ac:dyDescent="0.2"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</row>
    <row r="123" spans="2:31" ht="45" x14ac:dyDescent="0.2">
      <c r="B123" s="144" t="s">
        <v>10</v>
      </c>
      <c r="C123" s="115" t="s">
        <v>60</v>
      </c>
      <c r="D123" s="115" t="s">
        <v>63</v>
      </c>
      <c r="E123" s="116" t="s">
        <v>62</v>
      </c>
      <c r="F123" s="116" t="s">
        <v>61</v>
      </c>
    </row>
    <row r="124" spans="2:31" x14ac:dyDescent="0.2">
      <c r="B124" s="149">
        <v>1</v>
      </c>
      <c r="C124" s="126">
        <f>C99*3*32.1/96.1</f>
        <v>115.98275299165617</v>
      </c>
      <c r="D124" s="126">
        <f>D99*3</f>
        <v>233.85640000000006</v>
      </c>
      <c r="E124" s="127">
        <f>E99*3*32.1/96.1</f>
        <v>193.26162773342082</v>
      </c>
      <c r="F124" s="127">
        <f>F99*3</f>
        <v>379.61080000000004</v>
      </c>
    </row>
    <row r="125" spans="2:31" x14ac:dyDescent="0.2">
      <c r="B125" s="149">
        <v>22</v>
      </c>
      <c r="C125" s="126">
        <f>C120*3*32.1/96.1</f>
        <v>48.807365244545302</v>
      </c>
      <c r="D125" s="126">
        <f>D120*3</f>
        <v>241.6287999999999</v>
      </c>
      <c r="E125" s="127">
        <f>E120*3*32.1/96.1</f>
        <v>201.67284287200937</v>
      </c>
      <c r="F125" s="127">
        <f>F120*3</f>
        <v>413.1268</v>
      </c>
    </row>
    <row r="126" spans="2:31" x14ac:dyDescent="0.2">
      <c r="B126" s="158"/>
      <c r="C126" s="121">
        <f>C125-C124</f>
        <v>-67.175387747110875</v>
      </c>
      <c r="D126" s="121">
        <f>D125-D124</f>
        <v>7.7723999999998341</v>
      </c>
      <c r="E126" s="122">
        <f>E125-E124</f>
        <v>8.4112151385885454</v>
      </c>
      <c r="F126" s="122">
        <f>F125-F124</f>
        <v>33.515999999999963</v>
      </c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</row>
    <row r="129" spans="2:17" ht="32" x14ac:dyDescent="0.4">
      <c r="B129" s="227" t="s">
        <v>33</v>
      </c>
      <c r="C129" s="227"/>
      <c r="D129" s="227"/>
      <c r="E129" s="227"/>
      <c r="F129" s="227"/>
      <c r="G129" s="227"/>
      <c r="H129" s="227"/>
      <c r="I129" s="227"/>
      <c r="J129" s="227"/>
      <c r="K129" s="227"/>
      <c r="L129" s="227"/>
      <c r="M129" s="227"/>
      <c r="N129" s="227"/>
      <c r="O129" s="227"/>
      <c r="P129" s="227"/>
      <c r="Q129" s="227"/>
    </row>
    <row r="131" spans="2:17" ht="45" x14ac:dyDescent="0.2">
      <c r="B131" s="144" t="s">
        <v>10</v>
      </c>
      <c r="C131" s="115" t="s">
        <v>60</v>
      </c>
      <c r="D131" s="115" t="s">
        <v>63</v>
      </c>
      <c r="E131" s="116" t="s">
        <v>62</v>
      </c>
      <c r="F131" s="116" t="s">
        <v>61</v>
      </c>
    </row>
    <row r="132" spans="2:17" x14ac:dyDescent="0.2">
      <c r="B132" s="149">
        <v>1</v>
      </c>
      <c r="C132" s="159">
        <f>C100*$G$9*32.1/96.1</f>
        <v>1.1821618314253985</v>
      </c>
      <c r="D132" s="159">
        <f>D100*$G$9</f>
        <v>6.3920749333333351</v>
      </c>
      <c r="E132" s="160">
        <f t="shared" ref="E132" si="27">E100*$G$9*32.1/96.1</f>
        <v>5.3380188815400622</v>
      </c>
      <c r="F132" s="160">
        <f>F100*$G$9</f>
        <v>10.376028533333335</v>
      </c>
    </row>
    <row r="133" spans="2:17" x14ac:dyDescent="0.2">
      <c r="B133" s="149">
        <v>2</v>
      </c>
      <c r="C133" s="159">
        <f t="shared" ref="C133:C153" si="28">C101*$G$9*32.1/96.1</f>
        <v>1.2164252829084361</v>
      </c>
      <c r="D133" s="159">
        <f t="shared" ref="D133:D153" si="29">D101*$G$9</f>
        <v>6.3920749333333351</v>
      </c>
      <c r="E133" s="160">
        <f t="shared" ref="E133" si="30">E101*$G$9*32.1/96.1</f>
        <v>5.4128568050349868</v>
      </c>
      <c r="F133" s="160">
        <f t="shared" ref="F133:F153" si="31">F101*$G$9</f>
        <v>10.376028533333335</v>
      </c>
    </row>
    <row r="134" spans="2:17" x14ac:dyDescent="0.2">
      <c r="B134" s="149">
        <v>3</v>
      </c>
      <c r="C134" s="159">
        <f t="shared" si="28"/>
        <v>1.2164252829084361</v>
      </c>
      <c r="D134" s="159">
        <f t="shared" si="29"/>
        <v>6.3920749333333351</v>
      </c>
      <c r="E134" s="160">
        <f t="shared" ref="E134" si="32">E102*$G$9*32.1/96.1</f>
        <v>5.4128568050349868</v>
      </c>
      <c r="F134" s="160">
        <f t="shared" si="31"/>
        <v>10.376028533333335</v>
      </c>
    </row>
    <row r="135" spans="2:17" x14ac:dyDescent="0.2">
      <c r="B135" s="149">
        <v>4</v>
      </c>
      <c r="C135" s="159">
        <f t="shared" si="28"/>
        <v>1.2164252829084361</v>
      </c>
      <c r="D135" s="159">
        <f t="shared" si="29"/>
        <v>6.3920749333333351</v>
      </c>
      <c r="E135" s="160">
        <f t="shared" ref="E135" si="33">E103*$G$9*32.1/96.1</f>
        <v>5.4128568050349868</v>
      </c>
      <c r="F135" s="160">
        <f t="shared" si="31"/>
        <v>10.376028533333335</v>
      </c>
    </row>
    <row r="136" spans="2:17" x14ac:dyDescent="0.2">
      <c r="B136" s="149">
        <v>5</v>
      </c>
      <c r="C136" s="159">
        <f t="shared" si="28"/>
        <v>1.2164252829084361</v>
      </c>
      <c r="D136" s="159">
        <f t="shared" si="29"/>
        <v>6.3920749333333351</v>
      </c>
      <c r="E136" s="160">
        <f t="shared" ref="E136" si="34">E104*$G$9*32.1/96.1</f>
        <v>5.4128568050349868</v>
      </c>
      <c r="F136" s="160">
        <f t="shared" si="31"/>
        <v>10.376028533333335</v>
      </c>
    </row>
    <row r="137" spans="2:17" x14ac:dyDescent="0.2">
      <c r="B137" s="149">
        <v>6</v>
      </c>
      <c r="C137" s="159">
        <f t="shared" si="28"/>
        <v>1.2506887343914737</v>
      </c>
      <c r="D137" s="159">
        <f t="shared" si="29"/>
        <v>6.3740349333333386</v>
      </c>
      <c r="E137" s="160">
        <f t="shared" ref="E137" si="35">E105*$G$9*32.1/96.1</f>
        <v>5.4876947285299114</v>
      </c>
      <c r="F137" s="160">
        <f t="shared" si="31"/>
        <v>10.677034133333335</v>
      </c>
    </row>
    <row r="138" spans="2:17" x14ac:dyDescent="0.2">
      <c r="B138" s="149">
        <v>7</v>
      </c>
      <c r="C138" s="159">
        <f t="shared" si="28"/>
        <v>1.2923783588711895</v>
      </c>
      <c r="D138" s="159">
        <f t="shared" si="29"/>
        <v>6.5409541333333365</v>
      </c>
      <c r="E138" s="160">
        <f t="shared" ref="E138" si="36">E106*$G$9*32.1/96.1</f>
        <v>5.5000428835157509</v>
      </c>
      <c r="F138" s="160">
        <f t="shared" si="31"/>
        <v>11.229500933333334</v>
      </c>
    </row>
    <row r="139" spans="2:17" x14ac:dyDescent="0.2">
      <c r="B139" s="149">
        <v>8</v>
      </c>
      <c r="C139" s="159">
        <f t="shared" si="28"/>
        <v>1.2923783588711895</v>
      </c>
      <c r="D139" s="159">
        <f t="shared" si="29"/>
        <v>6.5409541333333365</v>
      </c>
      <c r="E139" s="160">
        <f t="shared" ref="E139" si="37">E107*$G$9*32.1/96.1</f>
        <v>5.5000428835157509</v>
      </c>
      <c r="F139" s="160">
        <f t="shared" si="31"/>
        <v>11.229500933333334</v>
      </c>
    </row>
    <row r="140" spans="2:17" x14ac:dyDescent="0.2">
      <c r="B140" s="149">
        <v>9</v>
      </c>
      <c r="C140" s="159">
        <f t="shared" si="28"/>
        <v>1.2923783588711895</v>
      </c>
      <c r="D140" s="159">
        <f t="shared" si="29"/>
        <v>6.5409541333333365</v>
      </c>
      <c r="E140" s="160">
        <f t="shared" ref="E140" si="38">E108*$G$9*32.1/96.1</f>
        <v>5.5000428835157509</v>
      </c>
      <c r="F140" s="160">
        <f t="shared" si="31"/>
        <v>11.229500933333334</v>
      </c>
    </row>
    <row r="141" spans="2:17" x14ac:dyDescent="0.2">
      <c r="B141" s="149">
        <v>10</v>
      </c>
      <c r="C141" s="159">
        <f t="shared" si="28"/>
        <v>1.2923783588711895</v>
      </c>
      <c r="D141" s="159">
        <f t="shared" si="29"/>
        <v>6.5409541333333365</v>
      </c>
      <c r="E141" s="160">
        <f t="shared" ref="E141" si="39">E109*$G$9*32.1/96.1</f>
        <v>5.5000428835157509</v>
      </c>
      <c r="F141" s="160">
        <f t="shared" si="31"/>
        <v>11.229500933333334</v>
      </c>
    </row>
    <row r="142" spans="2:17" x14ac:dyDescent="0.2">
      <c r="B142" s="149">
        <v>11</v>
      </c>
      <c r="C142" s="159">
        <f t="shared" si="28"/>
        <v>1.2923783588711895</v>
      </c>
      <c r="D142" s="159">
        <f t="shared" si="29"/>
        <v>6.5409541333333365</v>
      </c>
      <c r="E142" s="160">
        <f t="shared" ref="E142" si="40">E110*$G$9*32.1/96.1</f>
        <v>5.5000428835157509</v>
      </c>
      <c r="F142" s="160">
        <f t="shared" si="31"/>
        <v>11.229500933333334</v>
      </c>
    </row>
    <row r="143" spans="2:17" x14ac:dyDescent="0.2">
      <c r="B143" s="149">
        <v>12</v>
      </c>
      <c r="C143" s="159">
        <f t="shared" si="28"/>
        <v>1.2923783588711895</v>
      </c>
      <c r="D143" s="159">
        <f t="shared" si="29"/>
        <v>6.5409541333333365</v>
      </c>
      <c r="E143" s="160">
        <f t="shared" ref="E143" si="41">E111*$G$9*32.1/96.1</f>
        <v>5.5000428835157509</v>
      </c>
      <c r="F143" s="160">
        <f t="shared" si="31"/>
        <v>11.229500933333334</v>
      </c>
    </row>
    <row r="144" spans="2:17" x14ac:dyDescent="0.2">
      <c r="B144" s="149">
        <v>13</v>
      </c>
      <c r="C144" s="159">
        <f t="shared" si="28"/>
        <v>1.2923783588711895</v>
      </c>
      <c r="D144" s="159">
        <f t="shared" si="29"/>
        <v>6.7078733333333345</v>
      </c>
      <c r="E144" s="160">
        <f t="shared" ref="E144" si="42">E112*$G$9*32.1/96.1</f>
        <v>5.5000428835157509</v>
      </c>
      <c r="F144" s="160">
        <f t="shared" si="31"/>
        <v>11.781967733333333</v>
      </c>
    </row>
    <row r="145" spans="2:14" x14ac:dyDescent="0.2">
      <c r="B145" s="149">
        <v>14</v>
      </c>
      <c r="C145" s="159">
        <f t="shared" si="28"/>
        <v>1.2923783588711895</v>
      </c>
      <c r="D145" s="159">
        <f t="shared" si="29"/>
        <v>6.656196933333332</v>
      </c>
      <c r="E145" s="160">
        <f t="shared" ref="E145" si="43">E113*$G$9*32.1/96.1</f>
        <v>5.5000428835157509</v>
      </c>
      <c r="F145" s="160">
        <f t="shared" si="31"/>
        <v>11.537050133333334</v>
      </c>
    </row>
    <row r="146" spans="2:14" x14ac:dyDescent="0.2">
      <c r="B146" s="149">
        <v>15</v>
      </c>
      <c r="C146" s="159">
        <f t="shared" si="28"/>
        <v>1.2923783588711895</v>
      </c>
      <c r="D146" s="159">
        <f t="shared" si="29"/>
        <v>6.656196933333332</v>
      </c>
      <c r="E146" s="160">
        <f t="shared" ref="E146" si="44">E114*$G$9*32.1/96.1</f>
        <v>5.5000428835157509</v>
      </c>
      <c r="F146" s="160">
        <f t="shared" si="31"/>
        <v>11.537050133333334</v>
      </c>
    </row>
    <row r="147" spans="2:14" x14ac:dyDescent="0.2">
      <c r="B147" s="149">
        <v>16</v>
      </c>
      <c r="C147" s="159">
        <f t="shared" si="28"/>
        <v>1.2923783588711895</v>
      </c>
      <c r="D147" s="159">
        <f t="shared" si="29"/>
        <v>6.656196933333332</v>
      </c>
      <c r="E147" s="160">
        <f t="shared" ref="E147" si="45">E115*$G$9*32.1/96.1</f>
        <v>5.5000428835157509</v>
      </c>
      <c r="F147" s="160">
        <f t="shared" si="31"/>
        <v>11.537050133333334</v>
      </c>
    </row>
    <row r="148" spans="2:14" x14ac:dyDescent="0.2">
      <c r="B148" s="149">
        <v>17</v>
      </c>
      <c r="C148" s="159">
        <f t="shared" si="28"/>
        <v>1.2923783588711895</v>
      </c>
      <c r="D148" s="159">
        <f t="shared" si="29"/>
        <v>6.656196933333332</v>
      </c>
      <c r="E148" s="160">
        <f t="shared" ref="E148" si="46">E116*$G$9*32.1/96.1</f>
        <v>5.5000428835157509</v>
      </c>
      <c r="F148" s="160">
        <f t="shared" si="31"/>
        <v>11.537050133333334</v>
      </c>
    </row>
    <row r="149" spans="2:14" x14ac:dyDescent="0.2">
      <c r="B149" s="149">
        <v>18</v>
      </c>
      <c r="C149" s="159">
        <f t="shared" si="28"/>
        <v>1.2923783588711895</v>
      </c>
      <c r="D149" s="159">
        <f t="shared" si="29"/>
        <v>6.656196933333332</v>
      </c>
      <c r="E149" s="160">
        <f t="shared" ref="E149" si="47">E117*$G$9*32.1/96.1</f>
        <v>5.5000428835157509</v>
      </c>
      <c r="F149" s="160">
        <f t="shared" si="31"/>
        <v>11.537050133333334</v>
      </c>
    </row>
    <row r="150" spans="2:14" x14ac:dyDescent="0.2">
      <c r="B150" s="149">
        <v>19</v>
      </c>
      <c r="C150" s="159">
        <f t="shared" si="28"/>
        <v>1.2923783588711895</v>
      </c>
      <c r="D150" s="159">
        <f t="shared" si="29"/>
        <v>6.656196933333332</v>
      </c>
      <c r="E150" s="160">
        <f t="shared" ref="E150" si="48">E118*$G$9*32.1/96.1</f>
        <v>5.5000428835157509</v>
      </c>
      <c r="F150" s="160">
        <f t="shared" si="31"/>
        <v>11.537050133333334</v>
      </c>
    </row>
    <row r="151" spans="2:14" x14ac:dyDescent="0.2">
      <c r="B151" s="149">
        <v>20</v>
      </c>
      <c r="C151" s="159">
        <f t="shared" si="28"/>
        <v>1.2923783588711895</v>
      </c>
      <c r="D151" s="159">
        <f t="shared" si="29"/>
        <v>6.656196933333332</v>
      </c>
      <c r="E151" s="160">
        <f t="shared" ref="E151" si="49">E119*$G$9*32.1/96.1</f>
        <v>5.5000428835157509</v>
      </c>
      <c r="F151" s="160">
        <f t="shared" si="31"/>
        <v>11.537050133333334</v>
      </c>
    </row>
    <row r="152" spans="2:14" x14ac:dyDescent="0.2">
      <c r="B152" s="149">
        <v>21</v>
      </c>
      <c r="C152" s="159">
        <f t="shared" si="28"/>
        <v>1.3340679833509053</v>
      </c>
      <c r="D152" s="159">
        <f t="shared" si="29"/>
        <v>6.6045205333333303</v>
      </c>
      <c r="E152" s="160">
        <f t="shared" ref="E152" si="50">E120*$G$9*32.1/96.1</f>
        <v>5.5123910385015886</v>
      </c>
      <c r="F152" s="160">
        <f t="shared" si="31"/>
        <v>11.292132533333334</v>
      </c>
    </row>
    <row r="153" spans="2:14" x14ac:dyDescent="0.2">
      <c r="B153" s="149">
        <v>22</v>
      </c>
      <c r="C153" s="159">
        <f t="shared" si="28"/>
        <v>1.4409144403605085</v>
      </c>
      <c r="D153" s="159">
        <f t="shared" si="29"/>
        <v>6.6045205333333303</v>
      </c>
      <c r="E153" s="160">
        <f t="shared" ref="E153" si="51">E121*$G$9*32.1/96.1</f>
        <v>5.427222207476138</v>
      </c>
      <c r="F153" s="160">
        <f t="shared" si="31"/>
        <v>11.342611733333333</v>
      </c>
    </row>
    <row r="154" spans="2:14" x14ac:dyDescent="0.2">
      <c r="B154" s="161"/>
      <c r="C154" s="121">
        <f>SUM(C132:C153)</f>
        <v>28.166831145358689</v>
      </c>
      <c r="D154" s="121">
        <f>SUM(D132:D153)</f>
        <v>144.09042733333337</v>
      </c>
      <c r="E154" s="122">
        <f>SUM(E132:E153)</f>
        <v>120.41735444540814</v>
      </c>
      <c r="F154" s="122">
        <f>SUM(F132:F153)</f>
        <v>245.11024533333335</v>
      </c>
    </row>
    <row r="160" spans="2:14" ht="60" x14ac:dyDescent="0.2">
      <c r="D160" s="161" t="s">
        <v>34</v>
      </c>
      <c r="E160" s="133" t="s">
        <v>35</v>
      </c>
      <c r="F160" s="134" t="s">
        <v>36</v>
      </c>
      <c r="G160" s="135" t="s">
        <v>37</v>
      </c>
      <c r="H160" s="135" t="s">
        <v>38</v>
      </c>
      <c r="I160" s="116" t="s">
        <v>39</v>
      </c>
      <c r="J160" s="116" t="s">
        <v>40</v>
      </c>
      <c r="K160" s="144" t="s">
        <v>41</v>
      </c>
      <c r="M160" s="144" t="s">
        <v>66</v>
      </c>
      <c r="N160" s="144" t="s">
        <v>42</v>
      </c>
    </row>
    <row r="161" spans="4:14" x14ac:dyDescent="0.2">
      <c r="D161" s="162" t="s">
        <v>11</v>
      </c>
      <c r="E161" s="136">
        <f>D40</f>
        <v>689.59217481789779</v>
      </c>
      <c r="F161" s="137">
        <f>D94</f>
        <v>210.9167518954589</v>
      </c>
      <c r="G161" s="138">
        <f>C126</f>
        <v>-67.175387747110875</v>
      </c>
      <c r="H161" s="138">
        <f>D126</f>
        <v>7.7723999999998341</v>
      </c>
      <c r="I161" s="139">
        <f>C154</f>
        <v>28.166831145358689</v>
      </c>
      <c r="J161" s="140">
        <f>D154</f>
        <v>144.09042733333337</v>
      </c>
      <c r="K161" s="141">
        <f>SUM(F161:J161)</f>
        <v>323.77102262703988</v>
      </c>
      <c r="L161" s="163">
        <f>K161/E161</f>
        <v>0.46951087099058059</v>
      </c>
      <c r="M161" s="164">
        <f>E161-K161</f>
        <v>365.8211521908579</v>
      </c>
      <c r="N161" s="164">
        <f>M161*1.56</f>
        <v>570.68099741773835</v>
      </c>
    </row>
    <row r="162" spans="4:14" x14ac:dyDescent="0.2">
      <c r="D162" s="162" t="s">
        <v>12</v>
      </c>
      <c r="E162" s="136">
        <f>F40</f>
        <v>689.59217481789779</v>
      </c>
      <c r="F162" s="137">
        <f>F94</f>
        <v>276.11088499879651</v>
      </c>
      <c r="G162" s="138">
        <f>E126</f>
        <v>8.4112151385885454</v>
      </c>
      <c r="H162" s="138">
        <f>F126</f>
        <v>33.515999999999963</v>
      </c>
      <c r="I162" s="139">
        <f>E154</f>
        <v>120.41735444540814</v>
      </c>
      <c r="J162" s="142">
        <f>F154</f>
        <v>245.11024533333335</v>
      </c>
      <c r="K162" s="141">
        <f>SUM(F162:J162)</f>
        <v>683.5656999161265</v>
      </c>
      <c r="L162" s="163">
        <f>K162/E162</f>
        <v>0.9912608130981726</v>
      </c>
      <c r="N162" s="164"/>
    </row>
    <row r="165" spans="4:14" x14ac:dyDescent="0.2">
      <c r="D165" s="72" t="s">
        <v>87</v>
      </c>
    </row>
    <row r="166" spans="4:14" x14ac:dyDescent="0.2">
      <c r="D166" s="162" t="s">
        <v>64</v>
      </c>
      <c r="E166" s="136">
        <f>E161/23</f>
        <v>29.982268470343381</v>
      </c>
      <c r="F166" s="137">
        <f>F161/23</f>
        <v>9.1702935606721265</v>
      </c>
      <c r="G166" s="138">
        <f t="shared" ref="F166:J168" si="52">G161/23</f>
        <v>-2.9206690324830817</v>
      </c>
      <c r="H166" s="138">
        <f t="shared" si="52"/>
        <v>0.33793043478260149</v>
      </c>
      <c r="I166" s="139">
        <f t="shared" si="52"/>
        <v>1.2246448324068995</v>
      </c>
      <c r="J166" s="140">
        <f t="shared" si="52"/>
        <v>6.2648011884057988</v>
      </c>
      <c r="K166" s="141">
        <f>SUM(F166:J166)</f>
        <v>14.077000983784345</v>
      </c>
      <c r="L166" s="163">
        <f>K166/E166</f>
        <v>0.46951087099058064</v>
      </c>
      <c r="M166" s="165">
        <f>E166-K166</f>
        <v>15.905267486559037</v>
      </c>
      <c r="N166" s="164">
        <f>M166*1.56</f>
        <v>24.812217279032097</v>
      </c>
    </row>
    <row r="167" spans="4:14" x14ac:dyDescent="0.2">
      <c r="D167" s="162" t="s">
        <v>65</v>
      </c>
      <c r="E167" s="136">
        <f>E162/23</f>
        <v>29.982268470343381</v>
      </c>
      <c r="F167" s="137">
        <f t="shared" si="52"/>
        <v>12.004821086904196</v>
      </c>
      <c r="G167" s="138">
        <f t="shared" si="52"/>
        <v>0.36570500602558892</v>
      </c>
      <c r="H167" s="138">
        <f t="shared" si="52"/>
        <v>1.4572173913043462</v>
      </c>
      <c r="I167" s="139">
        <f t="shared" si="52"/>
        <v>5.2355371498003533</v>
      </c>
      <c r="J167" s="142">
        <f t="shared" si="52"/>
        <v>10.656967188405797</v>
      </c>
      <c r="K167" s="141">
        <f>SUM(F167:J167)</f>
        <v>29.720247822440282</v>
      </c>
      <c r="L167" s="163">
        <f>K167/E167</f>
        <v>0.99126081309817249</v>
      </c>
      <c r="M167" s="72" t="s">
        <v>43</v>
      </c>
    </row>
    <row r="170" spans="4:14" x14ac:dyDescent="0.2">
      <c r="F170" s="249">
        <v>9.1702935606721265</v>
      </c>
      <c r="G170" s="250">
        <v>-2.92066903248308</v>
      </c>
      <c r="H170" s="250">
        <v>0.33793043478260149</v>
      </c>
      <c r="I170" s="251">
        <v>1.2246448324068995</v>
      </c>
      <c r="J170" s="251">
        <v>6.2648011884057988</v>
      </c>
      <c r="K170" s="255">
        <f>M166</f>
        <v>15.905267486559037</v>
      </c>
      <c r="L170" s="141">
        <f>SUM(F170:K170)</f>
        <v>29.982268470343385</v>
      </c>
      <c r="N170" s="72">
        <v>100</v>
      </c>
    </row>
    <row r="171" spans="4:14" x14ac:dyDescent="0.2">
      <c r="F171" s="242">
        <f>F170/$L$170</f>
        <v>0.30585722924010289</v>
      </c>
      <c r="G171" s="243">
        <f>G170/$L$170</f>
        <v>-9.7413210590520397E-2</v>
      </c>
      <c r="H171" s="243">
        <f>H170/$L$170</f>
        <v>1.1271009567433548E-2</v>
      </c>
      <c r="I171" s="244">
        <f>I170/$L$170</f>
        <v>4.0845636267257186E-2</v>
      </c>
      <c r="J171" s="244">
        <f>J170/$L$170</f>
        <v>0.20895020650630738</v>
      </c>
      <c r="K171" s="252">
        <f>K170/$L$170</f>
        <v>0.53048912900941936</v>
      </c>
      <c r="L171" s="245">
        <f>SUM(F171:K171)</f>
        <v>1</v>
      </c>
    </row>
  </sheetData>
  <mergeCells count="12">
    <mergeCell ref="B129:Q129"/>
    <mergeCell ref="Y17:AA17"/>
    <mergeCell ref="B42:Q42"/>
    <mergeCell ref="Y32:AA32"/>
    <mergeCell ref="Y31:AA31"/>
    <mergeCell ref="Y18:AA18"/>
    <mergeCell ref="Y19:AA19"/>
    <mergeCell ref="B14:Q14"/>
    <mergeCell ref="X15:AE15"/>
    <mergeCell ref="Y47:AA47"/>
    <mergeCell ref="Y48:AA48"/>
    <mergeCell ref="B96:Q96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42987-611B-1D43-B3AC-AA7B3AE8A2D5}">
  <sheetPr>
    <tabColor theme="7"/>
  </sheetPr>
  <dimension ref="B2:Q176"/>
  <sheetViews>
    <sheetView topLeftCell="C164" zoomScale="150" workbookViewId="0">
      <selection activeCell="F173" sqref="F173:K173"/>
    </sheetView>
  </sheetViews>
  <sheetFormatPr baseColWidth="10" defaultRowHeight="14" x14ac:dyDescent="0.2"/>
  <cols>
    <col min="1" max="5" width="10.83203125" style="72"/>
    <col min="6" max="6" width="13.6640625" style="72" customWidth="1"/>
    <col min="7" max="16384" width="10.83203125" style="72"/>
  </cols>
  <sheetData>
    <row r="2" spans="2:17" x14ac:dyDescent="0.2">
      <c r="B2" s="1"/>
      <c r="C2" s="1"/>
    </row>
    <row r="3" spans="2:17" x14ac:dyDescent="0.2">
      <c r="B3" s="1"/>
      <c r="C3" s="1"/>
      <c r="F3" s="1"/>
    </row>
    <row r="4" spans="2:17" x14ac:dyDescent="0.2">
      <c r="F4" s="1" t="s">
        <v>17</v>
      </c>
    </row>
    <row r="5" spans="2:17" x14ac:dyDescent="0.2">
      <c r="B5" s="1"/>
      <c r="C5" s="1"/>
      <c r="F5" s="1"/>
    </row>
    <row r="6" spans="2:17" ht="15" thickBot="1" x14ac:dyDescent="0.25">
      <c r="B6" s="1"/>
      <c r="C6" s="1"/>
    </row>
    <row r="7" spans="2:17" ht="15" thickBot="1" x14ac:dyDescent="0.25">
      <c r="C7" s="106"/>
      <c r="F7" s="107" t="s">
        <v>18</v>
      </c>
    </row>
    <row r="8" spans="2:17" x14ac:dyDescent="0.2">
      <c r="D8" s="143"/>
      <c r="F8" s="72" t="s">
        <v>19</v>
      </c>
      <c r="G8" s="143">
        <f>G10/G9</f>
        <v>1094.6341463414635</v>
      </c>
    </row>
    <row r="9" spans="2:17" ht="15" thickBot="1" x14ac:dyDescent="0.25">
      <c r="F9" s="72" t="s">
        <v>20</v>
      </c>
      <c r="G9" s="72">
        <v>8.2000000000000003E-2</v>
      </c>
    </row>
    <row r="10" spans="2:17" ht="15" thickBot="1" x14ac:dyDescent="0.25">
      <c r="C10" s="106"/>
      <c r="D10" s="108"/>
      <c r="F10" s="109" t="s">
        <v>89</v>
      </c>
      <c r="G10" s="110">
        <v>89.76</v>
      </c>
    </row>
    <row r="11" spans="2:17" ht="15" thickBot="1" x14ac:dyDescent="0.25">
      <c r="C11" s="106"/>
      <c r="D11" s="111"/>
      <c r="F11" s="109" t="s">
        <v>21</v>
      </c>
      <c r="G11" s="112">
        <f>G10*32.1/96.1</f>
        <v>29.982268470343396</v>
      </c>
    </row>
    <row r="14" spans="2:17" ht="32" x14ac:dyDescent="0.4">
      <c r="B14" s="223" t="s">
        <v>22</v>
      </c>
      <c r="C14" s="223"/>
      <c r="D14" s="223"/>
      <c r="E14" s="223"/>
      <c r="F14" s="223"/>
      <c r="G14" s="223"/>
      <c r="H14" s="223"/>
      <c r="I14" s="223"/>
      <c r="J14" s="223"/>
      <c r="K14" s="223"/>
      <c r="L14" s="223"/>
      <c r="M14" s="223"/>
      <c r="N14" s="223"/>
      <c r="O14" s="223"/>
      <c r="P14" s="223"/>
      <c r="Q14" s="223"/>
    </row>
    <row r="16" spans="2:17" ht="30" x14ac:dyDescent="0.2">
      <c r="B16" s="144" t="s">
        <v>10</v>
      </c>
      <c r="C16" s="166" t="s">
        <v>44</v>
      </c>
      <c r="D16" s="166" t="s">
        <v>45</v>
      </c>
      <c r="E16" s="116" t="s">
        <v>46</v>
      </c>
      <c r="F16" s="116" t="s">
        <v>47</v>
      </c>
    </row>
    <row r="17" spans="2:6" x14ac:dyDescent="0.2">
      <c r="B17" s="144">
        <v>24</v>
      </c>
      <c r="C17" s="145">
        <f>$G$11</f>
        <v>29.982268470343396</v>
      </c>
      <c r="D17" s="145">
        <f>C17</f>
        <v>29.982268470343396</v>
      </c>
      <c r="E17" s="167">
        <f>$G$11</f>
        <v>29.982268470343396</v>
      </c>
      <c r="F17" s="167">
        <f>E17</f>
        <v>29.982268470343396</v>
      </c>
    </row>
    <row r="18" spans="2:6" x14ac:dyDescent="0.2">
      <c r="B18" s="144">
        <v>25</v>
      </c>
      <c r="C18" s="145">
        <f t="shared" ref="C18:C40" si="0">$G$11</f>
        <v>29.982268470343396</v>
      </c>
      <c r="D18" s="145">
        <f>D17+C18</f>
        <v>59.964536940686791</v>
      </c>
      <c r="E18" s="167">
        <f t="shared" ref="E18:E40" si="1">$G$11</f>
        <v>29.982268470343396</v>
      </c>
      <c r="F18" s="167">
        <f t="shared" ref="F18:F40" si="2">F17+E18</f>
        <v>59.964536940686791</v>
      </c>
    </row>
    <row r="19" spans="2:6" x14ac:dyDescent="0.2">
      <c r="B19" s="144">
        <v>26</v>
      </c>
      <c r="C19" s="145">
        <f t="shared" si="0"/>
        <v>29.982268470343396</v>
      </c>
      <c r="D19" s="145">
        <f t="shared" ref="D19:D40" si="3">D18+C19</f>
        <v>89.946805411030184</v>
      </c>
      <c r="E19" s="167">
        <f t="shared" si="1"/>
        <v>29.982268470343396</v>
      </c>
      <c r="F19" s="167">
        <f t="shared" si="2"/>
        <v>89.946805411030184</v>
      </c>
    </row>
    <row r="20" spans="2:6" x14ac:dyDescent="0.2">
      <c r="B20" s="144">
        <v>27</v>
      </c>
      <c r="C20" s="145">
        <f t="shared" si="0"/>
        <v>29.982268470343396</v>
      </c>
      <c r="D20" s="145">
        <f t="shared" si="3"/>
        <v>119.92907388137358</v>
      </c>
      <c r="E20" s="167">
        <f t="shared" si="1"/>
        <v>29.982268470343396</v>
      </c>
      <c r="F20" s="167">
        <f t="shared" si="2"/>
        <v>119.92907388137358</v>
      </c>
    </row>
    <row r="21" spans="2:6" x14ac:dyDescent="0.2">
      <c r="B21" s="144">
        <v>28</v>
      </c>
      <c r="C21" s="145">
        <f t="shared" si="0"/>
        <v>29.982268470343396</v>
      </c>
      <c r="D21" s="145">
        <f t="shared" si="3"/>
        <v>149.91134235171697</v>
      </c>
      <c r="E21" s="167">
        <f t="shared" si="1"/>
        <v>29.982268470343396</v>
      </c>
      <c r="F21" s="167">
        <f t="shared" si="2"/>
        <v>149.91134235171697</v>
      </c>
    </row>
    <row r="22" spans="2:6" x14ac:dyDescent="0.2">
      <c r="B22" s="144">
        <v>29</v>
      </c>
      <c r="C22" s="145">
        <f t="shared" si="0"/>
        <v>29.982268470343396</v>
      </c>
      <c r="D22" s="145">
        <f t="shared" si="3"/>
        <v>179.89361082206037</v>
      </c>
      <c r="E22" s="167">
        <f t="shared" si="1"/>
        <v>29.982268470343396</v>
      </c>
      <c r="F22" s="167">
        <f t="shared" si="2"/>
        <v>179.89361082206037</v>
      </c>
    </row>
    <row r="23" spans="2:6" x14ac:dyDescent="0.2">
      <c r="B23" s="144">
        <v>30</v>
      </c>
      <c r="C23" s="145">
        <f t="shared" si="0"/>
        <v>29.982268470343396</v>
      </c>
      <c r="D23" s="145">
        <f t="shared" si="3"/>
        <v>209.87587929240377</v>
      </c>
      <c r="E23" s="167">
        <f t="shared" si="1"/>
        <v>29.982268470343396</v>
      </c>
      <c r="F23" s="167">
        <f t="shared" si="2"/>
        <v>209.87587929240377</v>
      </c>
    </row>
    <row r="24" spans="2:6" x14ac:dyDescent="0.2">
      <c r="B24" s="144">
        <v>31</v>
      </c>
      <c r="C24" s="145">
        <f t="shared" si="0"/>
        <v>29.982268470343396</v>
      </c>
      <c r="D24" s="145">
        <f t="shared" si="3"/>
        <v>239.85814776274717</v>
      </c>
      <c r="E24" s="167">
        <f t="shared" si="1"/>
        <v>29.982268470343396</v>
      </c>
      <c r="F24" s="167">
        <f t="shared" si="2"/>
        <v>239.85814776274717</v>
      </c>
    </row>
    <row r="25" spans="2:6" x14ac:dyDescent="0.2">
      <c r="B25" s="144">
        <v>32</v>
      </c>
      <c r="C25" s="145">
        <f t="shared" si="0"/>
        <v>29.982268470343396</v>
      </c>
      <c r="D25" s="145">
        <f t="shared" si="3"/>
        <v>269.84041623309054</v>
      </c>
      <c r="E25" s="167">
        <f t="shared" si="1"/>
        <v>29.982268470343396</v>
      </c>
      <c r="F25" s="167">
        <f t="shared" si="2"/>
        <v>269.84041623309054</v>
      </c>
    </row>
    <row r="26" spans="2:6" x14ac:dyDescent="0.2">
      <c r="B26" s="144">
        <v>33</v>
      </c>
      <c r="C26" s="145">
        <f t="shared" si="0"/>
        <v>29.982268470343396</v>
      </c>
      <c r="D26" s="145">
        <f t="shared" si="3"/>
        <v>299.82268470343394</v>
      </c>
      <c r="E26" s="167">
        <f t="shared" si="1"/>
        <v>29.982268470343396</v>
      </c>
      <c r="F26" s="167">
        <f t="shared" si="2"/>
        <v>299.82268470343394</v>
      </c>
    </row>
    <row r="27" spans="2:6" x14ac:dyDescent="0.2">
      <c r="B27" s="149">
        <v>34</v>
      </c>
      <c r="C27" s="145">
        <f t="shared" si="0"/>
        <v>29.982268470343396</v>
      </c>
      <c r="D27" s="145">
        <f t="shared" si="3"/>
        <v>329.80495317377733</v>
      </c>
      <c r="E27" s="167">
        <f t="shared" si="1"/>
        <v>29.982268470343396</v>
      </c>
      <c r="F27" s="167">
        <f t="shared" si="2"/>
        <v>329.80495317377733</v>
      </c>
    </row>
    <row r="28" spans="2:6" x14ac:dyDescent="0.2">
      <c r="B28" s="149">
        <v>35</v>
      </c>
      <c r="C28" s="145">
        <f t="shared" si="0"/>
        <v>29.982268470343396</v>
      </c>
      <c r="D28" s="145">
        <f t="shared" si="3"/>
        <v>359.78722164412073</v>
      </c>
      <c r="E28" s="167">
        <f t="shared" si="1"/>
        <v>29.982268470343396</v>
      </c>
      <c r="F28" s="167">
        <f t="shared" si="2"/>
        <v>359.78722164412073</v>
      </c>
    </row>
    <row r="29" spans="2:6" x14ac:dyDescent="0.2">
      <c r="B29" s="149">
        <v>36</v>
      </c>
      <c r="C29" s="145">
        <f t="shared" si="0"/>
        <v>29.982268470343396</v>
      </c>
      <c r="D29" s="145">
        <f t="shared" si="3"/>
        <v>389.76949011446413</v>
      </c>
      <c r="E29" s="167">
        <f t="shared" si="1"/>
        <v>29.982268470343396</v>
      </c>
      <c r="F29" s="167">
        <f t="shared" si="2"/>
        <v>389.76949011446413</v>
      </c>
    </row>
    <row r="30" spans="2:6" x14ac:dyDescent="0.2">
      <c r="B30" s="149">
        <v>37</v>
      </c>
      <c r="C30" s="145">
        <f t="shared" si="0"/>
        <v>29.982268470343396</v>
      </c>
      <c r="D30" s="145">
        <f t="shared" si="3"/>
        <v>419.75175858480753</v>
      </c>
      <c r="E30" s="167">
        <f t="shared" si="1"/>
        <v>29.982268470343396</v>
      </c>
      <c r="F30" s="167">
        <f t="shared" si="2"/>
        <v>419.75175858480753</v>
      </c>
    </row>
    <row r="31" spans="2:6" x14ac:dyDescent="0.2">
      <c r="B31" s="149">
        <v>38</v>
      </c>
      <c r="C31" s="145">
        <f t="shared" si="0"/>
        <v>29.982268470343396</v>
      </c>
      <c r="D31" s="145">
        <f t="shared" si="3"/>
        <v>449.73402705515093</v>
      </c>
      <c r="E31" s="167">
        <f t="shared" si="1"/>
        <v>29.982268470343396</v>
      </c>
      <c r="F31" s="167">
        <f t="shared" si="2"/>
        <v>449.73402705515093</v>
      </c>
    </row>
    <row r="32" spans="2:6" x14ac:dyDescent="0.2">
      <c r="B32" s="149">
        <v>39</v>
      </c>
      <c r="C32" s="145">
        <f t="shared" si="0"/>
        <v>29.982268470343396</v>
      </c>
      <c r="D32" s="145">
        <f t="shared" si="3"/>
        <v>479.71629552549433</v>
      </c>
      <c r="E32" s="167">
        <f t="shared" si="1"/>
        <v>29.982268470343396</v>
      </c>
      <c r="F32" s="167">
        <f t="shared" si="2"/>
        <v>479.71629552549433</v>
      </c>
    </row>
    <row r="33" spans="2:17" x14ac:dyDescent="0.2">
      <c r="B33" s="149">
        <v>40</v>
      </c>
      <c r="C33" s="145">
        <f t="shared" si="0"/>
        <v>29.982268470343396</v>
      </c>
      <c r="D33" s="145">
        <f t="shared" si="3"/>
        <v>509.69856399583773</v>
      </c>
      <c r="E33" s="167">
        <f t="shared" si="1"/>
        <v>29.982268470343396</v>
      </c>
      <c r="F33" s="167">
        <f t="shared" si="2"/>
        <v>509.69856399583773</v>
      </c>
    </row>
    <row r="34" spans="2:17" x14ac:dyDescent="0.2">
      <c r="B34" s="149">
        <v>41</v>
      </c>
      <c r="C34" s="145">
        <f t="shared" si="0"/>
        <v>29.982268470343396</v>
      </c>
      <c r="D34" s="145">
        <f t="shared" si="3"/>
        <v>539.68083246618107</v>
      </c>
      <c r="E34" s="167">
        <f t="shared" si="1"/>
        <v>29.982268470343396</v>
      </c>
      <c r="F34" s="167">
        <f t="shared" si="2"/>
        <v>539.68083246618107</v>
      </c>
    </row>
    <row r="35" spans="2:17" x14ac:dyDescent="0.2">
      <c r="B35" s="149">
        <v>42</v>
      </c>
      <c r="C35" s="145">
        <f t="shared" si="0"/>
        <v>29.982268470343396</v>
      </c>
      <c r="D35" s="145">
        <f t="shared" si="3"/>
        <v>569.66310093652442</v>
      </c>
      <c r="E35" s="167">
        <f t="shared" si="1"/>
        <v>29.982268470343396</v>
      </c>
      <c r="F35" s="167">
        <f t="shared" si="2"/>
        <v>569.66310093652442</v>
      </c>
    </row>
    <row r="36" spans="2:17" x14ac:dyDescent="0.2">
      <c r="B36" s="149">
        <v>43</v>
      </c>
      <c r="C36" s="145">
        <f t="shared" si="0"/>
        <v>29.982268470343396</v>
      </c>
      <c r="D36" s="145">
        <f t="shared" si="3"/>
        <v>599.64536940686776</v>
      </c>
      <c r="E36" s="167">
        <f t="shared" si="1"/>
        <v>29.982268470343396</v>
      </c>
      <c r="F36" s="167">
        <f t="shared" si="2"/>
        <v>599.64536940686776</v>
      </c>
    </row>
    <row r="37" spans="2:17" x14ac:dyDescent="0.2">
      <c r="B37" s="149">
        <v>44</v>
      </c>
      <c r="C37" s="145">
        <f t="shared" si="0"/>
        <v>29.982268470343396</v>
      </c>
      <c r="D37" s="145">
        <f t="shared" si="3"/>
        <v>629.6276378772111</v>
      </c>
      <c r="E37" s="167">
        <f t="shared" si="1"/>
        <v>29.982268470343396</v>
      </c>
      <c r="F37" s="167">
        <f t="shared" si="2"/>
        <v>629.6276378772111</v>
      </c>
    </row>
    <row r="38" spans="2:17" x14ac:dyDescent="0.2">
      <c r="B38" s="149">
        <v>45</v>
      </c>
      <c r="C38" s="145">
        <f t="shared" si="0"/>
        <v>29.982268470343396</v>
      </c>
      <c r="D38" s="145">
        <f t="shared" si="3"/>
        <v>659.60990634755444</v>
      </c>
      <c r="E38" s="167">
        <f t="shared" si="1"/>
        <v>29.982268470343396</v>
      </c>
      <c r="F38" s="167">
        <f t="shared" si="2"/>
        <v>659.60990634755444</v>
      </c>
    </row>
    <row r="39" spans="2:17" x14ac:dyDescent="0.2">
      <c r="B39" s="149">
        <v>46</v>
      </c>
      <c r="C39" s="145">
        <f t="shared" si="0"/>
        <v>29.982268470343396</v>
      </c>
      <c r="D39" s="145">
        <f t="shared" si="3"/>
        <v>689.59217481789779</v>
      </c>
      <c r="E39" s="167">
        <f t="shared" si="1"/>
        <v>29.982268470343396</v>
      </c>
      <c r="F39" s="167">
        <f t="shared" si="2"/>
        <v>689.59217481789779</v>
      </c>
    </row>
    <row r="40" spans="2:17" x14ac:dyDescent="0.2">
      <c r="B40" s="149">
        <v>47</v>
      </c>
      <c r="C40" s="145">
        <f t="shared" si="0"/>
        <v>29.982268470343396</v>
      </c>
      <c r="D40" s="145">
        <f t="shared" si="3"/>
        <v>719.57444328824113</v>
      </c>
      <c r="E40" s="167">
        <f t="shared" si="1"/>
        <v>29.982268470343396</v>
      </c>
      <c r="F40" s="167">
        <f t="shared" si="2"/>
        <v>719.57444328824113</v>
      </c>
    </row>
    <row r="41" spans="2:17" x14ac:dyDescent="0.2">
      <c r="B41" s="81"/>
      <c r="C41" s="151"/>
      <c r="D41" s="168">
        <f>D40</f>
        <v>719.57444328824113</v>
      </c>
      <c r="E41" s="151"/>
      <c r="F41" s="118">
        <f>F40</f>
        <v>719.57444328824113</v>
      </c>
      <c r="G41" s="81" t="s">
        <v>23</v>
      </c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3" spans="2:17" ht="32" x14ac:dyDescent="0.4">
      <c r="B43" s="228" t="s">
        <v>24</v>
      </c>
      <c r="C43" s="228"/>
      <c r="D43" s="228"/>
      <c r="E43" s="228"/>
      <c r="F43" s="228"/>
      <c r="G43" s="228"/>
      <c r="H43" s="228"/>
      <c r="I43" s="228"/>
      <c r="J43" s="228"/>
      <c r="K43" s="228"/>
      <c r="L43" s="228"/>
      <c r="M43" s="228"/>
      <c r="N43" s="228"/>
      <c r="O43" s="228"/>
      <c r="P43" s="228"/>
      <c r="Q43" s="228"/>
    </row>
    <row r="45" spans="2:17" ht="30" x14ac:dyDescent="0.2">
      <c r="B45" s="144" t="s">
        <v>10</v>
      </c>
      <c r="C45" s="166" t="s">
        <v>48</v>
      </c>
      <c r="D45" s="166" t="s">
        <v>49</v>
      </c>
      <c r="E45" s="116" t="s">
        <v>50</v>
      </c>
      <c r="F45" s="116" t="s">
        <v>51</v>
      </c>
    </row>
    <row r="46" spans="2:17" x14ac:dyDescent="0.2">
      <c r="B46" s="144">
        <v>24</v>
      </c>
      <c r="C46" s="169">
        <f>AVERAGE(C49,RESUMEN!H15)</f>
        <v>1370.5</v>
      </c>
      <c r="D46" s="169">
        <f>AVERAGE(D49,RESUMEN!D15)</f>
        <v>3.3</v>
      </c>
      <c r="E46" s="170">
        <f>AVERAGE(E49,RESUMEN!P15)</f>
        <v>2587</v>
      </c>
      <c r="F46" s="170">
        <f>AVERAGE(F49,RESUMEN!L15)</f>
        <v>2.95</v>
      </c>
      <c r="I46" s="164">
        <f>AVERAGE(C46:C69)</f>
        <v>1002.5416666666666</v>
      </c>
    </row>
    <row r="47" spans="2:17" x14ac:dyDescent="0.2">
      <c r="B47" s="144">
        <v>25</v>
      </c>
      <c r="C47" s="171">
        <f t="shared" ref="C47:F48" si="4">C46</f>
        <v>1370.5</v>
      </c>
      <c r="D47" s="171">
        <f t="shared" si="4"/>
        <v>3.3</v>
      </c>
      <c r="E47" s="172">
        <f t="shared" si="4"/>
        <v>2587</v>
      </c>
      <c r="F47" s="172">
        <f t="shared" si="4"/>
        <v>2.95</v>
      </c>
      <c r="I47" s="72">
        <f>_xlfn.STDEV.S(C46:C69)</f>
        <v>206.96186986908987</v>
      </c>
    </row>
    <row r="48" spans="2:17" x14ac:dyDescent="0.2">
      <c r="B48" s="144">
        <v>26</v>
      </c>
      <c r="C48" s="171">
        <f t="shared" si="4"/>
        <v>1370.5</v>
      </c>
      <c r="D48" s="171">
        <f t="shared" si="4"/>
        <v>3.3</v>
      </c>
      <c r="E48" s="172">
        <f t="shared" si="4"/>
        <v>2587</v>
      </c>
      <c r="F48" s="172">
        <f t="shared" si="4"/>
        <v>2.95</v>
      </c>
    </row>
    <row r="49" spans="2:6" x14ac:dyDescent="0.2">
      <c r="B49" s="144">
        <v>27</v>
      </c>
      <c r="C49" s="173">
        <f>RESUMEN!H16</f>
        <v>1104</v>
      </c>
      <c r="D49" s="173">
        <f>RESUMEN!D16</f>
        <v>3.2</v>
      </c>
      <c r="E49" s="174">
        <f>RESUMEN!P16</f>
        <v>2629</v>
      </c>
      <c r="F49" s="174">
        <f>RESUMEN!L16</f>
        <v>2.9</v>
      </c>
    </row>
    <row r="50" spans="2:6" x14ac:dyDescent="0.2">
      <c r="B50" s="144">
        <v>28</v>
      </c>
      <c r="C50" s="173">
        <f>RESUMEN!H17</f>
        <v>924</v>
      </c>
      <c r="D50" s="173">
        <f>RESUMEN!D17</f>
        <v>2.8</v>
      </c>
      <c r="E50" s="174">
        <f>RESUMEN!P17</f>
        <v>2578</v>
      </c>
      <c r="F50" s="174">
        <f>RESUMEN!L17</f>
        <v>2.9</v>
      </c>
    </row>
    <row r="51" spans="2:6" x14ac:dyDescent="0.2">
      <c r="B51" s="144">
        <v>29</v>
      </c>
      <c r="C51" s="173">
        <f>RESUMEN!H18</f>
        <v>1276</v>
      </c>
      <c r="D51" s="173">
        <f>RESUMEN!D18</f>
        <v>2.7</v>
      </c>
      <c r="E51" s="174">
        <f>RESUMEN!P18</f>
        <v>2645</v>
      </c>
      <c r="F51" s="174">
        <f>RESUMEN!L18</f>
        <v>2.7</v>
      </c>
    </row>
    <row r="52" spans="2:6" x14ac:dyDescent="0.2">
      <c r="B52" s="144">
        <v>30</v>
      </c>
      <c r="C52" s="173">
        <f>RESUMEN!H19</f>
        <v>857</v>
      </c>
      <c r="D52" s="173">
        <f>RESUMEN!D19</f>
        <v>2.8</v>
      </c>
      <c r="E52" s="174">
        <f>RESUMEN!P19</f>
        <v>2650</v>
      </c>
      <c r="F52" s="174">
        <f>RESUMEN!L19</f>
        <v>2.6</v>
      </c>
    </row>
    <row r="53" spans="2:6" x14ac:dyDescent="0.2">
      <c r="B53" s="144">
        <v>31</v>
      </c>
      <c r="C53" s="171">
        <f>AVERAGE(C52,C56)</f>
        <v>786.5</v>
      </c>
      <c r="D53" s="171">
        <f>AVERAGE(D52,D56)</f>
        <v>2.8</v>
      </c>
      <c r="E53" s="172">
        <f>AVERAGE(E52,E56)</f>
        <v>2638.5</v>
      </c>
      <c r="F53" s="172">
        <f>AVERAGE(F52,F56)</f>
        <v>2.6</v>
      </c>
    </row>
    <row r="54" spans="2:6" x14ac:dyDescent="0.2">
      <c r="B54" s="144">
        <v>32</v>
      </c>
      <c r="C54" s="171">
        <f t="shared" ref="C54:F55" si="5">C53</f>
        <v>786.5</v>
      </c>
      <c r="D54" s="171">
        <f t="shared" si="5"/>
        <v>2.8</v>
      </c>
      <c r="E54" s="172">
        <f t="shared" si="5"/>
        <v>2638.5</v>
      </c>
      <c r="F54" s="172">
        <f t="shared" si="5"/>
        <v>2.6</v>
      </c>
    </row>
    <row r="55" spans="2:6" x14ac:dyDescent="0.2">
      <c r="B55" s="144">
        <v>33</v>
      </c>
      <c r="C55" s="171">
        <f t="shared" si="5"/>
        <v>786.5</v>
      </c>
      <c r="D55" s="171">
        <f t="shared" si="5"/>
        <v>2.8</v>
      </c>
      <c r="E55" s="172">
        <f t="shared" si="5"/>
        <v>2638.5</v>
      </c>
      <c r="F55" s="172">
        <f t="shared" si="5"/>
        <v>2.6</v>
      </c>
    </row>
    <row r="56" spans="2:6" x14ac:dyDescent="0.2">
      <c r="B56" s="149">
        <v>34</v>
      </c>
      <c r="C56" s="145">
        <f>RESUMEN!H20</f>
        <v>716</v>
      </c>
      <c r="D56" s="145">
        <f>RESUMEN!D20</f>
        <v>2.8</v>
      </c>
      <c r="E56" s="167">
        <f>RESUMEN!P20</f>
        <v>2627</v>
      </c>
      <c r="F56" s="167">
        <f>RESUMEN!L20</f>
        <v>2.6</v>
      </c>
    </row>
    <row r="57" spans="2:6" x14ac:dyDescent="0.2">
      <c r="B57" s="149">
        <v>35</v>
      </c>
      <c r="C57" s="145">
        <f>RESUMEN!H21</f>
        <v>1199</v>
      </c>
      <c r="D57" s="145">
        <f>RESUMEN!D21</f>
        <v>2.7</v>
      </c>
      <c r="E57" s="167">
        <f>RESUMEN!P21</f>
        <v>3545</v>
      </c>
      <c r="F57" s="167">
        <f>RESUMEN!L21</f>
        <v>2.7</v>
      </c>
    </row>
    <row r="58" spans="2:6" x14ac:dyDescent="0.2">
      <c r="B58" s="149">
        <v>36</v>
      </c>
      <c r="C58" s="145">
        <f>RESUMEN!H22</f>
        <v>865</v>
      </c>
      <c r="D58" s="145">
        <f>RESUMEN!D22</f>
        <v>2.9</v>
      </c>
      <c r="E58" s="167">
        <f>RESUMEN!P22</f>
        <v>2406</v>
      </c>
      <c r="F58" s="167">
        <f>RESUMEN!L22</f>
        <v>2.6</v>
      </c>
    </row>
    <row r="59" spans="2:6" x14ac:dyDescent="0.2">
      <c r="B59" s="149">
        <v>37</v>
      </c>
      <c r="C59" s="145">
        <f>RESUMEN!H23</f>
        <v>862</v>
      </c>
      <c r="D59" s="145">
        <f>RESUMEN!D23</f>
        <v>2.8</v>
      </c>
      <c r="E59" s="167">
        <f>RESUMEN!P23</f>
        <v>2476</v>
      </c>
      <c r="F59" s="167">
        <f>RESUMEN!L23</f>
        <v>2.5</v>
      </c>
    </row>
    <row r="60" spans="2:6" x14ac:dyDescent="0.2">
      <c r="B60" s="149">
        <v>38</v>
      </c>
      <c r="C60" s="119">
        <f>AVERAGE(C59,C63)</f>
        <v>1026</v>
      </c>
      <c r="D60" s="119">
        <f>AVERAGE(D59,D63)</f>
        <v>2.8</v>
      </c>
      <c r="E60" s="175">
        <f>AVERAGE(E59,E63)</f>
        <v>2672</v>
      </c>
      <c r="F60" s="175">
        <f>AVERAGE(F59,F63)</f>
        <v>2.5499999999999998</v>
      </c>
    </row>
    <row r="61" spans="2:6" x14ac:dyDescent="0.2">
      <c r="B61" s="149">
        <v>39</v>
      </c>
      <c r="C61" s="119">
        <f t="shared" ref="C61:F62" si="6">C60</f>
        <v>1026</v>
      </c>
      <c r="D61" s="119">
        <f t="shared" si="6"/>
        <v>2.8</v>
      </c>
      <c r="E61" s="175">
        <f t="shared" si="6"/>
        <v>2672</v>
      </c>
      <c r="F61" s="175">
        <f t="shared" si="6"/>
        <v>2.5499999999999998</v>
      </c>
    </row>
    <row r="62" spans="2:6" x14ac:dyDescent="0.2">
      <c r="B62" s="149">
        <v>40</v>
      </c>
      <c r="C62" s="119">
        <f t="shared" si="6"/>
        <v>1026</v>
      </c>
      <c r="D62" s="119">
        <f t="shared" si="6"/>
        <v>2.8</v>
      </c>
      <c r="E62" s="175">
        <f t="shared" si="6"/>
        <v>2672</v>
      </c>
      <c r="F62" s="175">
        <f t="shared" si="6"/>
        <v>2.5499999999999998</v>
      </c>
    </row>
    <row r="63" spans="2:6" x14ac:dyDescent="0.2">
      <c r="B63" s="149">
        <v>41</v>
      </c>
      <c r="C63" s="145">
        <f>RESUMEN!H24</f>
        <v>1190</v>
      </c>
      <c r="D63" s="145">
        <f>RESUMEN!D24</f>
        <v>2.8</v>
      </c>
      <c r="E63" s="167">
        <f>RESUMEN!P24</f>
        <v>2868</v>
      </c>
      <c r="F63" s="167">
        <f>RESUMEN!L24</f>
        <v>2.6</v>
      </c>
    </row>
    <row r="64" spans="2:6" x14ac:dyDescent="0.2">
      <c r="B64" s="149">
        <v>42</v>
      </c>
      <c r="C64" s="145">
        <f>RESUMEN!H25</f>
        <v>1149</v>
      </c>
      <c r="D64" s="145">
        <f>RESUMEN!D25</f>
        <v>2.6</v>
      </c>
      <c r="E64" s="167">
        <f>RESUMEN!P25</f>
        <v>2925</v>
      </c>
      <c r="F64" s="167">
        <f>RESUMEN!L25</f>
        <v>2.7</v>
      </c>
    </row>
    <row r="65" spans="2:6" x14ac:dyDescent="0.2">
      <c r="B65" s="149">
        <v>43</v>
      </c>
      <c r="C65" s="145">
        <f>RESUMEN!H26</f>
        <v>840</v>
      </c>
      <c r="D65" s="145">
        <f>RESUMEN!D26</f>
        <v>2.8</v>
      </c>
      <c r="E65" s="167">
        <f>RESUMEN!P26</f>
        <v>2853</v>
      </c>
      <c r="F65" s="167">
        <f>RESUMEN!L26</f>
        <v>2.8</v>
      </c>
    </row>
    <row r="66" spans="2:6" x14ac:dyDescent="0.2">
      <c r="B66" s="149">
        <v>44</v>
      </c>
      <c r="C66" s="145">
        <f>RESUMEN!H27</f>
        <v>771</v>
      </c>
      <c r="D66" s="145">
        <f>RESUMEN!D27</f>
        <v>2.5</v>
      </c>
      <c r="E66" s="167">
        <f>RESUMEN!P27</f>
        <v>2462</v>
      </c>
      <c r="F66" s="167">
        <f>RESUMEN!L27</f>
        <v>2.6</v>
      </c>
    </row>
    <row r="67" spans="2:6" x14ac:dyDescent="0.2">
      <c r="B67" s="149">
        <v>45</v>
      </c>
      <c r="C67" s="119">
        <f>AVERAGE(C66,C69)</f>
        <v>882.5</v>
      </c>
      <c r="D67" s="119">
        <f>AVERAGE(D66,D69)</f>
        <v>2.5499999999999998</v>
      </c>
      <c r="E67" s="175">
        <f>AVERAGE(E66,E69)</f>
        <v>2650</v>
      </c>
      <c r="F67" s="175">
        <f>AVERAGE(F66,F69)</f>
        <v>2.6</v>
      </c>
    </row>
    <row r="68" spans="2:6" x14ac:dyDescent="0.2">
      <c r="B68" s="149">
        <v>46</v>
      </c>
      <c r="C68" s="119">
        <f>C67</f>
        <v>882.5</v>
      </c>
      <c r="D68" s="119">
        <f>D67</f>
        <v>2.5499999999999998</v>
      </c>
      <c r="E68" s="175">
        <f>E67</f>
        <v>2650</v>
      </c>
      <c r="F68" s="175">
        <f>F67</f>
        <v>2.6</v>
      </c>
    </row>
    <row r="69" spans="2:6" x14ac:dyDescent="0.2">
      <c r="B69" s="149">
        <v>47</v>
      </c>
      <c r="C69" s="145">
        <f>RESUMEN!H28</f>
        <v>994</v>
      </c>
      <c r="D69" s="145">
        <f>RESUMEN!D28</f>
        <v>2.6</v>
      </c>
      <c r="E69" s="167">
        <f>RESUMEN!P28</f>
        <v>2838</v>
      </c>
      <c r="F69" s="167">
        <f>RESUMEN!L28</f>
        <v>2.6</v>
      </c>
    </row>
    <row r="71" spans="2:6" ht="45" x14ac:dyDescent="0.2">
      <c r="B71" s="144" t="s">
        <v>10</v>
      </c>
      <c r="C71" s="166" t="s">
        <v>55</v>
      </c>
      <c r="D71" s="166" t="s">
        <v>54</v>
      </c>
      <c r="E71" s="116" t="s">
        <v>53</v>
      </c>
      <c r="F71" s="116" t="s">
        <v>52</v>
      </c>
    </row>
    <row r="72" spans="2:6" x14ac:dyDescent="0.2">
      <c r="B72" s="144">
        <v>24</v>
      </c>
      <c r="C72" s="153">
        <f t="shared" ref="C72:C95" si="7">C46*D46/1000000</f>
        <v>4.5226499999999996E-3</v>
      </c>
      <c r="D72" s="154">
        <f>C72</f>
        <v>4.5226499999999996E-3</v>
      </c>
      <c r="E72" s="176">
        <f t="shared" ref="E72:E95" si="8">E46*F46/1000000</f>
        <v>7.6316500000000002E-3</v>
      </c>
      <c r="F72" s="177">
        <f>E72</f>
        <v>7.6316500000000002E-3</v>
      </c>
    </row>
    <row r="73" spans="2:6" x14ac:dyDescent="0.2">
      <c r="B73" s="144">
        <v>25</v>
      </c>
      <c r="C73" s="153">
        <f t="shared" si="7"/>
        <v>4.5226499999999996E-3</v>
      </c>
      <c r="D73" s="154">
        <f>D72+C73</f>
        <v>9.0452999999999992E-3</v>
      </c>
      <c r="E73" s="176">
        <f t="shared" si="8"/>
        <v>7.6316500000000002E-3</v>
      </c>
      <c r="F73" s="177">
        <f>F72+E73</f>
        <v>1.52633E-2</v>
      </c>
    </row>
    <row r="74" spans="2:6" x14ac:dyDescent="0.2">
      <c r="B74" s="144">
        <v>26</v>
      </c>
      <c r="C74" s="153">
        <f t="shared" si="7"/>
        <v>4.5226499999999996E-3</v>
      </c>
      <c r="D74" s="154">
        <f t="shared" ref="D74:D95" si="9">D73+C74</f>
        <v>1.3567949999999999E-2</v>
      </c>
      <c r="E74" s="176">
        <f t="shared" si="8"/>
        <v>7.6316500000000002E-3</v>
      </c>
      <c r="F74" s="177">
        <f t="shared" ref="F74:F95" si="10">F73+E74</f>
        <v>2.2894950000000001E-2</v>
      </c>
    </row>
    <row r="75" spans="2:6" x14ac:dyDescent="0.2">
      <c r="B75" s="144">
        <v>27</v>
      </c>
      <c r="C75" s="153">
        <f t="shared" si="7"/>
        <v>3.5328E-3</v>
      </c>
      <c r="D75" s="154">
        <f t="shared" si="9"/>
        <v>1.7100749999999998E-2</v>
      </c>
      <c r="E75" s="176">
        <f t="shared" si="8"/>
        <v>7.6240999999999991E-3</v>
      </c>
      <c r="F75" s="177">
        <f t="shared" si="10"/>
        <v>3.0519049999999999E-2</v>
      </c>
    </row>
    <row r="76" spans="2:6" x14ac:dyDescent="0.2">
      <c r="B76" s="144">
        <v>28</v>
      </c>
      <c r="C76" s="153">
        <f t="shared" si="7"/>
        <v>2.5872E-3</v>
      </c>
      <c r="D76" s="154">
        <f t="shared" si="9"/>
        <v>1.9687949999999999E-2</v>
      </c>
      <c r="E76" s="176">
        <f t="shared" si="8"/>
        <v>7.4761999999999997E-3</v>
      </c>
      <c r="F76" s="177">
        <f t="shared" si="10"/>
        <v>3.7995250000000001E-2</v>
      </c>
    </row>
    <row r="77" spans="2:6" x14ac:dyDescent="0.2">
      <c r="B77" s="144">
        <v>29</v>
      </c>
      <c r="C77" s="153">
        <f t="shared" si="7"/>
        <v>3.4452000000000003E-3</v>
      </c>
      <c r="D77" s="154">
        <f t="shared" si="9"/>
        <v>2.3133149999999998E-2</v>
      </c>
      <c r="E77" s="176">
        <f t="shared" si="8"/>
        <v>7.1415000000000011E-3</v>
      </c>
      <c r="F77" s="177">
        <f t="shared" si="10"/>
        <v>4.5136750000000003E-2</v>
      </c>
    </row>
    <row r="78" spans="2:6" x14ac:dyDescent="0.2">
      <c r="B78" s="144">
        <v>30</v>
      </c>
      <c r="C78" s="153">
        <f t="shared" si="7"/>
        <v>2.3996E-3</v>
      </c>
      <c r="D78" s="154">
        <f t="shared" si="9"/>
        <v>2.553275E-2</v>
      </c>
      <c r="E78" s="176">
        <f t="shared" si="8"/>
        <v>6.8900000000000003E-3</v>
      </c>
      <c r="F78" s="177">
        <f t="shared" si="10"/>
        <v>5.2026750000000004E-2</v>
      </c>
    </row>
    <row r="79" spans="2:6" x14ac:dyDescent="0.2">
      <c r="B79" s="144">
        <v>31</v>
      </c>
      <c r="C79" s="153">
        <f t="shared" si="7"/>
        <v>2.2021999999999996E-3</v>
      </c>
      <c r="D79" s="154">
        <f t="shared" si="9"/>
        <v>2.7734950000000001E-2</v>
      </c>
      <c r="E79" s="176">
        <f t="shared" si="8"/>
        <v>6.8601000000000001E-3</v>
      </c>
      <c r="F79" s="177">
        <f t="shared" si="10"/>
        <v>5.8886850000000004E-2</v>
      </c>
    </row>
    <row r="80" spans="2:6" x14ac:dyDescent="0.2">
      <c r="B80" s="144">
        <v>32</v>
      </c>
      <c r="C80" s="153">
        <f t="shared" si="7"/>
        <v>2.2021999999999996E-3</v>
      </c>
      <c r="D80" s="154">
        <f t="shared" si="9"/>
        <v>2.9937150000000003E-2</v>
      </c>
      <c r="E80" s="176">
        <f t="shared" si="8"/>
        <v>6.8601000000000001E-3</v>
      </c>
      <c r="F80" s="177">
        <f t="shared" si="10"/>
        <v>6.5746949999999998E-2</v>
      </c>
    </row>
    <row r="81" spans="2:7" x14ac:dyDescent="0.2">
      <c r="B81" s="144">
        <v>33</v>
      </c>
      <c r="C81" s="153">
        <f t="shared" si="7"/>
        <v>2.2021999999999996E-3</v>
      </c>
      <c r="D81" s="154">
        <f t="shared" si="9"/>
        <v>3.2139350000000004E-2</v>
      </c>
      <c r="E81" s="176">
        <f t="shared" si="8"/>
        <v>6.8601000000000001E-3</v>
      </c>
      <c r="F81" s="177">
        <f t="shared" si="10"/>
        <v>7.2607049999999992E-2</v>
      </c>
    </row>
    <row r="82" spans="2:7" x14ac:dyDescent="0.2">
      <c r="B82" s="149">
        <v>34</v>
      </c>
      <c r="C82" s="153">
        <f t="shared" si="7"/>
        <v>2.0048000000000002E-3</v>
      </c>
      <c r="D82" s="154">
        <f t="shared" si="9"/>
        <v>3.4144150000000005E-2</v>
      </c>
      <c r="E82" s="176">
        <f t="shared" si="8"/>
        <v>6.8301999999999998E-3</v>
      </c>
      <c r="F82" s="177">
        <f t="shared" si="10"/>
        <v>7.9437249999999987E-2</v>
      </c>
    </row>
    <row r="83" spans="2:7" x14ac:dyDescent="0.2">
      <c r="B83" s="149">
        <v>35</v>
      </c>
      <c r="C83" s="153">
        <f t="shared" si="7"/>
        <v>3.2373000000000002E-3</v>
      </c>
      <c r="D83" s="154">
        <f t="shared" si="9"/>
        <v>3.7381450000000004E-2</v>
      </c>
      <c r="E83" s="176">
        <f t="shared" si="8"/>
        <v>9.5715000000000001E-3</v>
      </c>
      <c r="F83" s="177">
        <f t="shared" si="10"/>
        <v>8.9008749999999984E-2</v>
      </c>
    </row>
    <row r="84" spans="2:7" x14ac:dyDescent="0.2">
      <c r="B84" s="149">
        <v>36</v>
      </c>
      <c r="C84" s="153">
        <f t="shared" si="7"/>
        <v>2.5084999999999999E-3</v>
      </c>
      <c r="D84" s="154">
        <f t="shared" si="9"/>
        <v>3.988995E-2</v>
      </c>
      <c r="E84" s="176">
        <f t="shared" si="8"/>
        <v>6.2556E-3</v>
      </c>
      <c r="F84" s="177">
        <f t="shared" si="10"/>
        <v>9.5264349999999984E-2</v>
      </c>
    </row>
    <row r="85" spans="2:7" x14ac:dyDescent="0.2">
      <c r="B85" s="149">
        <v>37</v>
      </c>
      <c r="C85" s="153">
        <f t="shared" si="7"/>
        <v>2.4136000000000001E-3</v>
      </c>
      <c r="D85" s="153">
        <f t="shared" si="9"/>
        <v>4.2303550000000002E-2</v>
      </c>
      <c r="E85" s="176">
        <f t="shared" si="8"/>
        <v>6.1900000000000002E-3</v>
      </c>
      <c r="F85" s="176">
        <f t="shared" si="10"/>
        <v>0.10145434999999998</v>
      </c>
    </row>
    <row r="86" spans="2:7" x14ac:dyDescent="0.2">
      <c r="B86" s="149">
        <v>38</v>
      </c>
      <c r="C86" s="153">
        <f t="shared" si="7"/>
        <v>2.8727999999999996E-3</v>
      </c>
      <c r="D86" s="154">
        <f t="shared" si="9"/>
        <v>4.5176350000000004E-2</v>
      </c>
      <c r="E86" s="176">
        <f t="shared" si="8"/>
        <v>6.8135999999999995E-3</v>
      </c>
      <c r="F86" s="177">
        <f t="shared" si="10"/>
        <v>0.10826794999999999</v>
      </c>
    </row>
    <row r="87" spans="2:7" x14ac:dyDescent="0.2">
      <c r="B87" s="149">
        <v>39</v>
      </c>
      <c r="C87" s="153">
        <f t="shared" si="7"/>
        <v>2.8727999999999996E-3</v>
      </c>
      <c r="D87" s="154">
        <f t="shared" si="9"/>
        <v>4.8049150000000006E-2</v>
      </c>
      <c r="E87" s="176">
        <f t="shared" si="8"/>
        <v>6.8135999999999995E-3</v>
      </c>
      <c r="F87" s="177">
        <f t="shared" si="10"/>
        <v>0.11508154999999999</v>
      </c>
    </row>
    <row r="88" spans="2:7" x14ac:dyDescent="0.2">
      <c r="B88" s="149">
        <v>40</v>
      </c>
      <c r="C88" s="153">
        <f t="shared" si="7"/>
        <v>2.8727999999999996E-3</v>
      </c>
      <c r="D88" s="154">
        <f t="shared" si="9"/>
        <v>5.0921950000000007E-2</v>
      </c>
      <c r="E88" s="176">
        <f t="shared" si="8"/>
        <v>6.8135999999999995E-3</v>
      </c>
      <c r="F88" s="177">
        <f t="shared" si="10"/>
        <v>0.12189514999999999</v>
      </c>
    </row>
    <row r="89" spans="2:7" x14ac:dyDescent="0.2">
      <c r="B89" s="149">
        <v>41</v>
      </c>
      <c r="C89" s="153">
        <f t="shared" si="7"/>
        <v>3.3319999999999999E-3</v>
      </c>
      <c r="D89" s="154">
        <f t="shared" si="9"/>
        <v>5.4253950000000009E-2</v>
      </c>
      <c r="E89" s="176">
        <f t="shared" si="8"/>
        <v>7.4568000000000004E-3</v>
      </c>
      <c r="F89" s="177">
        <f t="shared" si="10"/>
        <v>0.12935194999999999</v>
      </c>
    </row>
    <row r="90" spans="2:7" x14ac:dyDescent="0.2">
      <c r="B90" s="149">
        <v>42</v>
      </c>
      <c r="C90" s="153">
        <f t="shared" si="7"/>
        <v>2.9874000000000003E-3</v>
      </c>
      <c r="D90" s="154">
        <f t="shared" si="9"/>
        <v>5.724135000000001E-2</v>
      </c>
      <c r="E90" s="176">
        <f t="shared" si="8"/>
        <v>7.8975000000000017E-3</v>
      </c>
      <c r="F90" s="177">
        <f t="shared" si="10"/>
        <v>0.13724945</v>
      </c>
    </row>
    <row r="91" spans="2:7" x14ac:dyDescent="0.2">
      <c r="B91" s="149">
        <v>43</v>
      </c>
      <c r="C91" s="153">
        <f t="shared" si="7"/>
        <v>2.3519999999999999E-3</v>
      </c>
      <c r="D91" s="154">
        <f t="shared" si="9"/>
        <v>5.959335000000001E-2</v>
      </c>
      <c r="E91" s="176">
        <f t="shared" si="8"/>
        <v>7.9883999999999997E-3</v>
      </c>
      <c r="F91" s="177">
        <f t="shared" si="10"/>
        <v>0.14523785</v>
      </c>
    </row>
    <row r="92" spans="2:7" x14ac:dyDescent="0.2">
      <c r="B92" s="149">
        <v>44</v>
      </c>
      <c r="C92" s="153">
        <f t="shared" si="7"/>
        <v>1.9275E-3</v>
      </c>
      <c r="D92" s="154">
        <f t="shared" si="9"/>
        <v>6.1520850000000009E-2</v>
      </c>
      <c r="E92" s="176">
        <f t="shared" si="8"/>
        <v>6.4012000000000001E-3</v>
      </c>
      <c r="F92" s="177">
        <f t="shared" si="10"/>
        <v>0.15163905</v>
      </c>
    </row>
    <row r="93" spans="2:7" x14ac:dyDescent="0.2">
      <c r="B93" s="149">
        <v>45</v>
      </c>
      <c r="C93" s="153">
        <f t="shared" si="7"/>
        <v>2.2503750000000002E-3</v>
      </c>
      <c r="D93" s="154">
        <f t="shared" si="9"/>
        <v>6.3771225000000015E-2</v>
      </c>
      <c r="E93" s="176">
        <f t="shared" si="8"/>
        <v>6.8900000000000003E-3</v>
      </c>
      <c r="F93" s="177">
        <f t="shared" si="10"/>
        <v>0.15852905</v>
      </c>
    </row>
    <row r="94" spans="2:7" x14ac:dyDescent="0.2">
      <c r="B94" s="149">
        <v>46</v>
      </c>
      <c r="C94" s="153">
        <f t="shared" si="7"/>
        <v>2.2503750000000002E-3</v>
      </c>
      <c r="D94" s="154">
        <f t="shared" si="9"/>
        <v>6.6021600000000014E-2</v>
      </c>
      <c r="E94" s="176">
        <f t="shared" si="8"/>
        <v>6.8900000000000003E-3</v>
      </c>
      <c r="F94" s="177">
        <f t="shared" si="10"/>
        <v>0.16541905000000001</v>
      </c>
    </row>
    <row r="95" spans="2:7" x14ac:dyDescent="0.2">
      <c r="B95" s="149">
        <v>47</v>
      </c>
      <c r="C95" s="153">
        <f t="shared" si="7"/>
        <v>2.5844000000000002E-3</v>
      </c>
      <c r="D95" s="154">
        <f t="shared" si="9"/>
        <v>6.8606000000000014E-2</v>
      </c>
      <c r="E95" s="176">
        <f t="shared" si="8"/>
        <v>7.3788000000000005E-3</v>
      </c>
      <c r="F95" s="177">
        <f t="shared" si="10"/>
        <v>0.17279785</v>
      </c>
    </row>
    <row r="96" spans="2:7" x14ac:dyDescent="0.2">
      <c r="B96" s="81"/>
      <c r="C96" s="82"/>
      <c r="D96" s="178">
        <f>(D95*1)/(0.082*304)</f>
        <v>2.7521662387676514E-3</v>
      </c>
      <c r="E96" s="82"/>
      <c r="F96" s="178">
        <f>(F95*1)/(0.082*304)</f>
        <v>6.931877808087291E-3</v>
      </c>
      <c r="G96" s="72" t="s">
        <v>32</v>
      </c>
    </row>
    <row r="97" spans="2:17" x14ac:dyDescent="0.2">
      <c r="B97" s="81"/>
      <c r="C97" s="157"/>
      <c r="D97" s="179">
        <f>D96*32.05*1000</f>
        <v>88.206927952503221</v>
      </c>
      <c r="E97" s="157"/>
      <c r="F97" s="122">
        <f>F96*32.05*1000</f>
        <v>222.16668374919766</v>
      </c>
      <c r="G97" s="81" t="s">
        <v>23</v>
      </c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9" spans="2:17" ht="32" x14ac:dyDescent="0.4">
      <c r="B99" s="226" t="s">
        <v>88</v>
      </c>
      <c r="C99" s="226"/>
      <c r="D99" s="226"/>
      <c r="E99" s="226"/>
      <c r="F99" s="226"/>
      <c r="G99" s="226"/>
      <c r="H99" s="226"/>
      <c r="I99" s="226"/>
      <c r="J99" s="226"/>
      <c r="K99" s="226"/>
      <c r="L99" s="226"/>
      <c r="M99" s="226"/>
      <c r="N99" s="226"/>
      <c r="O99" s="226"/>
      <c r="P99" s="226"/>
      <c r="Q99" s="226"/>
    </row>
    <row r="101" spans="2:17" ht="30" x14ac:dyDescent="0.2">
      <c r="B101" s="144" t="s">
        <v>10</v>
      </c>
      <c r="C101" s="166" t="s">
        <v>56</v>
      </c>
      <c r="D101" s="166" t="s">
        <v>57</v>
      </c>
      <c r="E101" s="116" t="s">
        <v>58</v>
      </c>
      <c r="F101" s="116" t="s">
        <v>59</v>
      </c>
    </row>
    <row r="102" spans="2:17" x14ac:dyDescent="0.2">
      <c r="B102" s="144">
        <v>24</v>
      </c>
      <c r="C102" s="180">
        <f>AVERAGE(C112,RESUMEN!AC7)</f>
        <v>52.606898305085039</v>
      </c>
      <c r="D102" s="181">
        <f>AVERAGE(D105,RESUMEN!X7)</f>
        <v>72.406533333333329</v>
      </c>
      <c r="E102" s="182">
        <f>AVERAGE(E112,RESUMEN!AD7)</f>
        <v>198.14453846153668</v>
      </c>
      <c r="F102" s="183">
        <f>AVERAGE(F105,RESUMEN!Y7)</f>
        <v>138.32453333333333</v>
      </c>
    </row>
    <row r="103" spans="2:17" x14ac:dyDescent="0.2">
      <c r="B103" s="144">
        <v>25</v>
      </c>
      <c r="C103" s="180">
        <f>C102</f>
        <v>52.606898305085039</v>
      </c>
      <c r="D103" s="184">
        <f>D102</f>
        <v>72.406533333333329</v>
      </c>
      <c r="E103" s="182">
        <f t="shared" ref="E103:F111" si="11">E102</f>
        <v>198.14453846153668</v>
      </c>
      <c r="F103" s="185">
        <f>F102</f>
        <v>138.32453333333333</v>
      </c>
    </row>
    <row r="104" spans="2:17" x14ac:dyDescent="0.2">
      <c r="B104" s="144">
        <v>26</v>
      </c>
      <c r="C104" s="180">
        <f t="shared" ref="C104:D111" si="12">C103</f>
        <v>52.606898305085039</v>
      </c>
      <c r="D104" s="184">
        <f t="shared" si="12"/>
        <v>72.406533333333329</v>
      </c>
      <c r="E104" s="182">
        <f t="shared" si="11"/>
        <v>198.14453846153668</v>
      </c>
      <c r="F104" s="185">
        <f t="shared" si="11"/>
        <v>138.32453333333333</v>
      </c>
    </row>
    <row r="105" spans="2:17" x14ac:dyDescent="0.2">
      <c r="B105" s="144">
        <v>27</v>
      </c>
      <c r="C105" s="180">
        <f t="shared" si="12"/>
        <v>52.606898305085039</v>
      </c>
      <c r="D105" s="186">
        <f>RESUMEN!X8</f>
        <v>64.270133333333348</v>
      </c>
      <c r="E105" s="182">
        <f t="shared" si="11"/>
        <v>198.14453846153668</v>
      </c>
      <c r="F105" s="187">
        <f>RESUMEN!Y8</f>
        <v>138.94013333333334</v>
      </c>
    </row>
    <row r="106" spans="2:17" x14ac:dyDescent="0.2">
      <c r="B106" s="144">
        <v>28</v>
      </c>
      <c r="C106" s="180">
        <f>C105</f>
        <v>52.606898305085039</v>
      </c>
      <c r="D106" s="184">
        <f>AVERAGE(D105,D112)</f>
        <v>64.623533333333341</v>
      </c>
      <c r="E106" s="182">
        <f t="shared" si="11"/>
        <v>198.14453846153668</v>
      </c>
      <c r="F106" s="185">
        <f>AVERAGE(F105,F112)</f>
        <v>138.15353333333334</v>
      </c>
    </row>
    <row r="107" spans="2:17" x14ac:dyDescent="0.2">
      <c r="B107" s="144">
        <v>29</v>
      </c>
      <c r="C107" s="180">
        <f t="shared" si="12"/>
        <v>52.606898305085039</v>
      </c>
      <c r="D107" s="184">
        <f>D106</f>
        <v>64.623533333333341</v>
      </c>
      <c r="E107" s="182">
        <f t="shared" si="11"/>
        <v>198.14453846153668</v>
      </c>
      <c r="F107" s="185">
        <f>F106</f>
        <v>138.15353333333334</v>
      </c>
    </row>
    <row r="108" spans="2:17" x14ac:dyDescent="0.2">
      <c r="B108" s="144">
        <v>30</v>
      </c>
      <c r="C108" s="180">
        <f t="shared" si="12"/>
        <v>52.606898305085039</v>
      </c>
      <c r="D108" s="184">
        <f t="shared" si="12"/>
        <v>64.623533333333341</v>
      </c>
      <c r="E108" s="182">
        <f t="shared" si="11"/>
        <v>198.14453846153668</v>
      </c>
      <c r="F108" s="185">
        <f t="shared" si="11"/>
        <v>138.15353333333334</v>
      </c>
    </row>
    <row r="109" spans="2:17" x14ac:dyDescent="0.2">
      <c r="B109" s="144">
        <v>31</v>
      </c>
      <c r="C109" s="180">
        <f t="shared" si="12"/>
        <v>52.606898305085039</v>
      </c>
      <c r="D109" s="184">
        <f t="shared" si="12"/>
        <v>64.623533333333341</v>
      </c>
      <c r="E109" s="182">
        <f t="shared" si="11"/>
        <v>198.14453846153668</v>
      </c>
      <c r="F109" s="185">
        <f t="shared" si="11"/>
        <v>138.15353333333334</v>
      </c>
    </row>
    <row r="110" spans="2:17" x14ac:dyDescent="0.2">
      <c r="B110" s="144">
        <v>32</v>
      </c>
      <c r="C110" s="180">
        <f t="shared" si="12"/>
        <v>52.606898305085039</v>
      </c>
      <c r="D110" s="184">
        <f t="shared" si="12"/>
        <v>64.623533333333341</v>
      </c>
      <c r="E110" s="182">
        <f t="shared" si="11"/>
        <v>198.14453846153668</v>
      </c>
      <c r="F110" s="185">
        <f t="shared" si="11"/>
        <v>138.15353333333334</v>
      </c>
    </row>
    <row r="111" spans="2:17" x14ac:dyDescent="0.2">
      <c r="B111" s="144">
        <v>33</v>
      </c>
      <c r="C111" s="180">
        <f t="shared" si="12"/>
        <v>52.606898305085039</v>
      </c>
      <c r="D111" s="184">
        <f t="shared" si="12"/>
        <v>64.623533333333341</v>
      </c>
      <c r="E111" s="182">
        <f t="shared" si="11"/>
        <v>198.14453846153668</v>
      </c>
      <c r="F111" s="185">
        <f t="shared" si="11"/>
        <v>138.15353333333334</v>
      </c>
    </row>
    <row r="112" spans="2:17" x14ac:dyDescent="0.2">
      <c r="B112" s="149">
        <v>34</v>
      </c>
      <c r="C112" s="159">
        <f>RESUMEN!AC8</f>
        <v>56.507796610161726</v>
      </c>
      <c r="D112" s="159">
        <f>RESUMEN!X9</f>
        <v>64.976933333333335</v>
      </c>
      <c r="E112" s="188">
        <f>RESUMEN!AD8</f>
        <v>195.03507692307232</v>
      </c>
      <c r="F112" s="188">
        <f>RESUMEN!Y9</f>
        <v>137.36693333333335</v>
      </c>
      <c r="G112" s="128"/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</row>
    <row r="113" spans="2:17" x14ac:dyDescent="0.2">
      <c r="B113" s="149">
        <v>35</v>
      </c>
      <c r="C113" s="189">
        <f>AVERAGE(C112,RESUMEN!AC9)</f>
        <v>57.413898305067313</v>
      </c>
      <c r="D113" s="189">
        <f>AVERAGE(D112,D119)</f>
        <v>64.942733333333337</v>
      </c>
      <c r="E113" s="190">
        <f>AVERAGE(E112,RESUMEN!AD9)</f>
        <v>198.20123076924131</v>
      </c>
      <c r="F113" s="190">
        <f>AVERAGE(F112,F119)</f>
        <v>134.84753333333336</v>
      </c>
      <c r="G113" s="128"/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</row>
    <row r="114" spans="2:17" x14ac:dyDescent="0.2">
      <c r="B114" s="149">
        <v>36</v>
      </c>
      <c r="C114" s="189">
        <f>C113</f>
        <v>57.413898305067313</v>
      </c>
      <c r="D114" s="189">
        <f t="shared" ref="D114:F125" si="13">D113</f>
        <v>64.942733333333337</v>
      </c>
      <c r="E114" s="190">
        <f t="shared" si="13"/>
        <v>198.20123076924131</v>
      </c>
      <c r="F114" s="190">
        <f t="shared" si="13"/>
        <v>134.84753333333336</v>
      </c>
      <c r="G114" s="128"/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</row>
    <row r="115" spans="2:17" x14ac:dyDescent="0.2">
      <c r="B115" s="149">
        <v>37</v>
      </c>
      <c r="C115" s="189">
        <f t="shared" ref="C115:D125" si="14">C114</f>
        <v>57.413898305067313</v>
      </c>
      <c r="D115" s="189">
        <f t="shared" si="13"/>
        <v>64.942733333333337</v>
      </c>
      <c r="E115" s="190">
        <f t="shared" si="13"/>
        <v>198.20123076924131</v>
      </c>
      <c r="F115" s="190">
        <f t="shared" si="13"/>
        <v>134.84753333333336</v>
      </c>
      <c r="G115" s="128"/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</row>
    <row r="116" spans="2:17" x14ac:dyDescent="0.2">
      <c r="B116" s="149">
        <v>38</v>
      </c>
      <c r="C116" s="189">
        <f t="shared" si="14"/>
        <v>57.413898305067313</v>
      </c>
      <c r="D116" s="189">
        <f t="shared" si="13"/>
        <v>64.942733333333337</v>
      </c>
      <c r="E116" s="190">
        <f t="shared" si="13"/>
        <v>198.20123076924131</v>
      </c>
      <c r="F116" s="190">
        <f t="shared" si="13"/>
        <v>134.84753333333336</v>
      </c>
      <c r="G116" s="128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</row>
    <row r="117" spans="2:17" x14ac:dyDescent="0.2">
      <c r="B117" s="149">
        <v>39</v>
      </c>
      <c r="C117" s="189">
        <f t="shared" si="14"/>
        <v>57.413898305067313</v>
      </c>
      <c r="D117" s="189">
        <f t="shared" si="13"/>
        <v>64.942733333333337</v>
      </c>
      <c r="E117" s="190">
        <f t="shared" si="13"/>
        <v>198.20123076924131</v>
      </c>
      <c r="F117" s="190">
        <f t="shared" si="13"/>
        <v>134.84753333333336</v>
      </c>
      <c r="G117" s="128"/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</row>
    <row r="118" spans="2:17" x14ac:dyDescent="0.2">
      <c r="B118" s="149">
        <v>40</v>
      </c>
      <c r="C118" s="189">
        <f t="shared" si="14"/>
        <v>57.413898305067313</v>
      </c>
      <c r="D118" s="189">
        <f t="shared" si="13"/>
        <v>64.942733333333337</v>
      </c>
      <c r="E118" s="190">
        <f t="shared" si="13"/>
        <v>198.20123076924131</v>
      </c>
      <c r="F118" s="190">
        <f t="shared" si="13"/>
        <v>134.84753333333336</v>
      </c>
      <c r="G118" s="128"/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</row>
    <row r="119" spans="2:17" x14ac:dyDescent="0.2">
      <c r="B119" s="149">
        <v>41</v>
      </c>
      <c r="C119" s="189">
        <f t="shared" si="14"/>
        <v>57.413898305067313</v>
      </c>
      <c r="D119" s="159">
        <f>RESUMEN!X10</f>
        <v>64.908533333333338</v>
      </c>
      <c r="E119" s="190">
        <f t="shared" si="13"/>
        <v>198.20123076924131</v>
      </c>
      <c r="F119" s="188">
        <f>RESUMEN!Y10</f>
        <v>132.32813333333337</v>
      </c>
      <c r="G119" s="128"/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</row>
    <row r="120" spans="2:17" x14ac:dyDescent="0.2">
      <c r="B120" s="149">
        <v>42</v>
      </c>
      <c r="C120" s="189">
        <f t="shared" si="14"/>
        <v>57.413898305067313</v>
      </c>
      <c r="D120" s="189">
        <f>AVERAGE(D119,RESUMEN!X11)</f>
        <v>64.988333333333344</v>
      </c>
      <c r="E120" s="190">
        <f t="shared" si="13"/>
        <v>198.20123076924131</v>
      </c>
      <c r="F120" s="190">
        <f>AVERAGE(F119,RESUMEN!Y11)</f>
        <v>133.25153333333336</v>
      </c>
      <c r="G120" s="128"/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</row>
    <row r="121" spans="2:17" x14ac:dyDescent="0.2">
      <c r="B121" s="149">
        <v>43</v>
      </c>
      <c r="C121" s="189">
        <f t="shared" si="14"/>
        <v>57.413898305067313</v>
      </c>
      <c r="D121" s="189">
        <f>D120</f>
        <v>64.988333333333344</v>
      </c>
      <c r="E121" s="190">
        <f t="shared" si="13"/>
        <v>198.20123076924131</v>
      </c>
      <c r="F121" s="190">
        <f>F120</f>
        <v>133.25153333333336</v>
      </c>
      <c r="G121" s="128"/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</row>
    <row r="122" spans="2:17" x14ac:dyDescent="0.2">
      <c r="B122" s="149">
        <v>44</v>
      </c>
      <c r="C122" s="189">
        <f t="shared" si="14"/>
        <v>57.413898305067313</v>
      </c>
      <c r="D122" s="189">
        <f t="shared" si="14"/>
        <v>64.988333333333344</v>
      </c>
      <c r="E122" s="190">
        <f t="shared" si="13"/>
        <v>198.20123076924131</v>
      </c>
      <c r="F122" s="190">
        <f t="shared" si="13"/>
        <v>133.25153333333336</v>
      </c>
      <c r="G122" s="128"/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</row>
    <row r="123" spans="2:17" x14ac:dyDescent="0.2">
      <c r="B123" s="149">
        <v>45</v>
      </c>
      <c r="C123" s="189">
        <f t="shared" si="14"/>
        <v>57.413898305067313</v>
      </c>
      <c r="D123" s="189">
        <f t="shared" si="14"/>
        <v>64.988333333333344</v>
      </c>
      <c r="E123" s="190">
        <f t="shared" si="13"/>
        <v>198.20123076924131</v>
      </c>
      <c r="F123" s="190">
        <f t="shared" si="13"/>
        <v>133.25153333333336</v>
      </c>
      <c r="G123" s="128"/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</row>
    <row r="124" spans="2:17" x14ac:dyDescent="0.2">
      <c r="B124" s="149">
        <v>46</v>
      </c>
      <c r="C124" s="189">
        <f t="shared" si="14"/>
        <v>57.413898305067313</v>
      </c>
      <c r="D124" s="189">
        <f t="shared" si="14"/>
        <v>64.988333333333344</v>
      </c>
      <c r="E124" s="190">
        <f t="shared" si="13"/>
        <v>198.20123076924131</v>
      </c>
      <c r="F124" s="190">
        <f t="shared" si="13"/>
        <v>133.25153333333336</v>
      </c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</row>
    <row r="125" spans="2:17" x14ac:dyDescent="0.2">
      <c r="B125" s="149">
        <v>47</v>
      </c>
      <c r="C125" s="189">
        <f t="shared" si="14"/>
        <v>57.413898305067313</v>
      </c>
      <c r="D125" s="189">
        <f t="shared" si="14"/>
        <v>64.988333333333344</v>
      </c>
      <c r="E125" s="190">
        <f t="shared" si="13"/>
        <v>198.20123076924131</v>
      </c>
      <c r="F125" s="190">
        <f>F102</f>
        <v>138.32453333333333</v>
      </c>
      <c r="G125" s="128"/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</row>
    <row r="126" spans="2:17" x14ac:dyDescent="0.2"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</row>
    <row r="127" spans="2:17" ht="45" x14ac:dyDescent="0.2">
      <c r="B127" s="144" t="s">
        <v>10</v>
      </c>
      <c r="C127" s="166" t="s">
        <v>60</v>
      </c>
      <c r="D127" s="166" t="s">
        <v>63</v>
      </c>
      <c r="E127" s="116" t="s">
        <v>62</v>
      </c>
      <c r="F127" s="116" t="s">
        <v>61</v>
      </c>
    </row>
    <row r="128" spans="2:17" x14ac:dyDescent="0.2">
      <c r="B128" s="144">
        <v>24</v>
      </c>
      <c r="C128" s="126">
        <f>C102*3*32.1/96.1</f>
        <v>52.716381964408832</v>
      </c>
      <c r="D128" s="126">
        <f>D102*3</f>
        <v>217.21959999999999</v>
      </c>
      <c r="E128" s="191">
        <f>E102*3*32.1/96.1</f>
        <v>198.55691002961481</v>
      </c>
      <c r="F128" s="191">
        <f>F102*3</f>
        <v>414.97360000000003</v>
      </c>
    </row>
    <row r="129" spans="2:17" x14ac:dyDescent="0.2">
      <c r="B129" s="149">
        <v>47</v>
      </c>
      <c r="C129" s="126">
        <f>C125*3*32.1/96.1</f>
        <v>57.533386126721986</v>
      </c>
      <c r="D129" s="126">
        <f>D125*3</f>
        <v>194.96500000000003</v>
      </c>
      <c r="E129" s="191">
        <f>E125*3*32.1/96.1</f>
        <v>198.61372032339165</v>
      </c>
      <c r="F129" s="191">
        <f>F125*3</f>
        <v>414.97360000000003</v>
      </c>
    </row>
    <row r="130" spans="2:17" x14ac:dyDescent="0.2">
      <c r="B130" s="158"/>
      <c r="C130" s="179">
        <f>C129-C128</f>
        <v>4.8170041623131539</v>
      </c>
      <c r="D130" s="179">
        <f>D129-D128</f>
        <v>-22.254599999999954</v>
      </c>
      <c r="E130" s="122">
        <f>E129-E128</f>
        <v>5.6810293776834442E-2</v>
      </c>
      <c r="F130" s="122">
        <f>F129-F128</f>
        <v>0</v>
      </c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</row>
    <row r="133" spans="2:17" ht="32" x14ac:dyDescent="0.4">
      <c r="B133" s="227" t="s">
        <v>33</v>
      </c>
      <c r="C133" s="227"/>
      <c r="D133" s="227"/>
      <c r="E133" s="227"/>
      <c r="F133" s="227"/>
      <c r="G133" s="227"/>
      <c r="H133" s="227"/>
      <c r="I133" s="227"/>
      <c r="J133" s="227"/>
      <c r="K133" s="227"/>
      <c r="L133" s="227"/>
      <c r="M133" s="227"/>
      <c r="N133" s="227"/>
      <c r="O133" s="227"/>
      <c r="P133" s="227"/>
      <c r="Q133" s="227"/>
    </row>
    <row r="135" spans="2:17" ht="45" x14ac:dyDescent="0.2">
      <c r="B135" s="144" t="s">
        <v>10</v>
      </c>
      <c r="C135" s="166" t="s">
        <v>60</v>
      </c>
      <c r="D135" s="166" t="s">
        <v>63</v>
      </c>
      <c r="E135" s="116" t="s">
        <v>62</v>
      </c>
      <c r="F135" s="116" t="s">
        <v>61</v>
      </c>
    </row>
    <row r="136" spans="2:17" x14ac:dyDescent="0.2">
      <c r="B136" s="144">
        <v>24</v>
      </c>
      <c r="C136" s="159">
        <f>C102*$G$9*32.1/96.1</f>
        <v>1.4409144403605085</v>
      </c>
      <c r="D136" s="159">
        <f>D102*$G$9</f>
        <v>5.9373357333333328</v>
      </c>
      <c r="E136" s="188">
        <f>E102*$G$9*32.1/96.1</f>
        <v>5.427222207476138</v>
      </c>
      <c r="F136" s="188">
        <f>F102*$G$9</f>
        <v>11.342611733333333</v>
      </c>
    </row>
    <row r="137" spans="2:17" x14ac:dyDescent="0.2">
      <c r="B137" s="144">
        <v>25</v>
      </c>
      <c r="C137" s="159">
        <f t="shared" ref="C137:C159" si="15">C103*$G$9*32.1/96.1</f>
        <v>1.4409144403605085</v>
      </c>
      <c r="D137" s="159">
        <f t="shared" ref="D137:D159" si="16">D103*$G$9</f>
        <v>5.9373357333333328</v>
      </c>
      <c r="E137" s="188">
        <f t="shared" ref="E137:E159" si="17">E103*$G$9*32.1/96.1</f>
        <v>5.427222207476138</v>
      </c>
      <c r="F137" s="188">
        <f t="shared" ref="F137:F159" si="18">F103*$G$9</f>
        <v>11.342611733333333</v>
      </c>
    </row>
    <row r="138" spans="2:17" x14ac:dyDescent="0.2">
      <c r="B138" s="144">
        <v>26</v>
      </c>
      <c r="C138" s="159">
        <f t="shared" si="15"/>
        <v>1.4409144403605085</v>
      </c>
      <c r="D138" s="159">
        <f t="shared" si="16"/>
        <v>5.9373357333333328</v>
      </c>
      <c r="E138" s="188">
        <f t="shared" si="17"/>
        <v>5.427222207476138</v>
      </c>
      <c r="F138" s="188">
        <f t="shared" si="18"/>
        <v>11.342611733333333</v>
      </c>
    </row>
    <row r="139" spans="2:17" x14ac:dyDescent="0.2">
      <c r="B139" s="144">
        <v>27</v>
      </c>
      <c r="C139" s="159">
        <f t="shared" si="15"/>
        <v>1.4409144403605085</v>
      </c>
      <c r="D139" s="159">
        <f t="shared" si="16"/>
        <v>5.2701509333333352</v>
      </c>
      <c r="E139" s="188">
        <f t="shared" si="17"/>
        <v>5.427222207476138</v>
      </c>
      <c r="F139" s="188">
        <f t="shared" si="18"/>
        <v>11.393090933333333</v>
      </c>
    </row>
    <row r="140" spans="2:17" x14ac:dyDescent="0.2">
      <c r="B140" s="144">
        <v>28</v>
      </c>
      <c r="C140" s="159">
        <f t="shared" si="15"/>
        <v>1.4409144403605085</v>
      </c>
      <c r="D140" s="159">
        <f t="shared" si="16"/>
        <v>5.2991297333333343</v>
      </c>
      <c r="E140" s="188">
        <f t="shared" si="17"/>
        <v>5.427222207476138</v>
      </c>
      <c r="F140" s="188">
        <f t="shared" si="18"/>
        <v>11.328589733333335</v>
      </c>
    </row>
    <row r="141" spans="2:17" x14ac:dyDescent="0.2">
      <c r="B141" s="144">
        <v>29</v>
      </c>
      <c r="C141" s="159">
        <f t="shared" si="15"/>
        <v>1.4409144403605085</v>
      </c>
      <c r="D141" s="159">
        <f t="shared" si="16"/>
        <v>5.2991297333333343</v>
      </c>
      <c r="E141" s="188">
        <f t="shared" si="17"/>
        <v>5.427222207476138</v>
      </c>
      <c r="F141" s="188">
        <f t="shared" si="18"/>
        <v>11.328589733333335</v>
      </c>
    </row>
    <row r="142" spans="2:17" x14ac:dyDescent="0.2">
      <c r="B142" s="144">
        <v>30</v>
      </c>
      <c r="C142" s="159">
        <f t="shared" si="15"/>
        <v>1.4409144403605085</v>
      </c>
      <c r="D142" s="159">
        <f t="shared" si="16"/>
        <v>5.2991297333333343</v>
      </c>
      <c r="E142" s="188">
        <f t="shared" si="17"/>
        <v>5.427222207476138</v>
      </c>
      <c r="F142" s="188">
        <f t="shared" si="18"/>
        <v>11.328589733333335</v>
      </c>
    </row>
    <row r="143" spans="2:17" x14ac:dyDescent="0.2">
      <c r="B143" s="144">
        <v>31</v>
      </c>
      <c r="C143" s="159">
        <f t="shared" si="15"/>
        <v>1.4409144403605085</v>
      </c>
      <c r="D143" s="159">
        <f t="shared" si="16"/>
        <v>5.2991297333333343</v>
      </c>
      <c r="E143" s="188">
        <f t="shared" si="17"/>
        <v>5.427222207476138</v>
      </c>
      <c r="F143" s="188">
        <f t="shared" si="18"/>
        <v>11.328589733333335</v>
      </c>
    </row>
    <row r="144" spans="2:17" x14ac:dyDescent="0.2">
      <c r="B144" s="144">
        <v>32</v>
      </c>
      <c r="C144" s="159">
        <f t="shared" si="15"/>
        <v>1.4409144403605085</v>
      </c>
      <c r="D144" s="159">
        <f t="shared" si="16"/>
        <v>5.2991297333333343</v>
      </c>
      <c r="E144" s="188">
        <f t="shared" si="17"/>
        <v>5.427222207476138</v>
      </c>
      <c r="F144" s="188">
        <f t="shared" si="18"/>
        <v>11.328589733333335</v>
      </c>
    </row>
    <row r="145" spans="2:6" x14ac:dyDescent="0.2">
      <c r="B145" s="144">
        <v>33</v>
      </c>
      <c r="C145" s="159">
        <f t="shared" si="15"/>
        <v>1.4409144403605085</v>
      </c>
      <c r="D145" s="159">
        <f t="shared" si="16"/>
        <v>5.2991297333333343</v>
      </c>
      <c r="E145" s="188">
        <f t="shared" si="17"/>
        <v>5.427222207476138</v>
      </c>
      <c r="F145" s="188">
        <f t="shared" si="18"/>
        <v>11.328589733333335</v>
      </c>
    </row>
    <row r="146" spans="2:6" x14ac:dyDescent="0.2">
      <c r="B146" s="149">
        <v>34</v>
      </c>
      <c r="C146" s="159">
        <f t="shared" si="15"/>
        <v>1.5477608973701114</v>
      </c>
      <c r="D146" s="159">
        <f t="shared" si="16"/>
        <v>5.3281085333333333</v>
      </c>
      <c r="E146" s="188">
        <f t="shared" si="17"/>
        <v>5.3420533764506875</v>
      </c>
      <c r="F146" s="188">
        <f t="shared" si="18"/>
        <v>11.264088533333336</v>
      </c>
    </row>
    <row r="147" spans="2:6" x14ac:dyDescent="0.2">
      <c r="B147" s="149">
        <v>35</v>
      </c>
      <c r="C147" s="159">
        <f t="shared" si="15"/>
        <v>1.5725792207970677</v>
      </c>
      <c r="D147" s="159">
        <f t="shared" si="16"/>
        <v>5.3253041333333337</v>
      </c>
      <c r="E147" s="188">
        <f t="shared" si="17"/>
        <v>5.4287750221727062</v>
      </c>
      <c r="F147" s="188">
        <f t="shared" si="18"/>
        <v>11.057497733333335</v>
      </c>
    </row>
    <row r="148" spans="2:6" x14ac:dyDescent="0.2">
      <c r="B148" s="149">
        <v>36</v>
      </c>
      <c r="C148" s="159">
        <f t="shared" si="15"/>
        <v>1.5725792207970677</v>
      </c>
      <c r="D148" s="159">
        <f t="shared" si="16"/>
        <v>5.3253041333333337</v>
      </c>
      <c r="E148" s="188">
        <f t="shared" si="17"/>
        <v>5.4287750221727062</v>
      </c>
      <c r="F148" s="188">
        <f t="shared" si="18"/>
        <v>11.057497733333335</v>
      </c>
    </row>
    <row r="149" spans="2:6" x14ac:dyDescent="0.2">
      <c r="B149" s="149">
        <v>37</v>
      </c>
      <c r="C149" s="159">
        <f t="shared" si="15"/>
        <v>1.5725792207970677</v>
      </c>
      <c r="D149" s="159">
        <f t="shared" si="16"/>
        <v>5.3253041333333337</v>
      </c>
      <c r="E149" s="188">
        <f t="shared" si="17"/>
        <v>5.4287750221727062</v>
      </c>
      <c r="F149" s="188">
        <f t="shared" si="18"/>
        <v>11.057497733333335</v>
      </c>
    </row>
    <row r="150" spans="2:6" x14ac:dyDescent="0.2">
      <c r="B150" s="149">
        <v>38</v>
      </c>
      <c r="C150" s="159">
        <f t="shared" si="15"/>
        <v>1.5725792207970677</v>
      </c>
      <c r="D150" s="159">
        <f t="shared" si="16"/>
        <v>5.3253041333333337</v>
      </c>
      <c r="E150" s="188">
        <f t="shared" si="17"/>
        <v>5.4287750221727062</v>
      </c>
      <c r="F150" s="188">
        <f t="shared" si="18"/>
        <v>11.057497733333335</v>
      </c>
    </row>
    <row r="151" spans="2:6" x14ac:dyDescent="0.2">
      <c r="B151" s="149">
        <v>39</v>
      </c>
      <c r="C151" s="159">
        <f t="shared" si="15"/>
        <v>1.5725792207970677</v>
      </c>
      <c r="D151" s="159">
        <f t="shared" si="16"/>
        <v>5.3253041333333337</v>
      </c>
      <c r="E151" s="188">
        <f t="shared" si="17"/>
        <v>5.4287750221727062</v>
      </c>
      <c r="F151" s="188">
        <f t="shared" si="18"/>
        <v>11.057497733333335</v>
      </c>
    </row>
    <row r="152" spans="2:6" x14ac:dyDescent="0.2">
      <c r="B152" s="149">
        <v>40</v>
      </c>
      <c r="C152" s="159">
        <f t="shared" si="15"/>
        <v>1.5725792207970677</v>
      </c>
      <c r="D152" s="159">
        <f t="shared" si="16"/>
        <v>5.3253041333333337</v>
      </c>
      <c r="E152" s="188">
        <f t="shared" si="17"/>
        <v>5.4287750221727062</v>
      </c>
      <c r="F152" s="188">
        <f t="shared" si="18"/>
        <v>11.057497733333335</v>
      </c>
    </row>
    <row r="153" spans="2:6" x14ac:dyDescent="0.2">
      <c r="B153" s="149">
        <v>41</v>
      </c>
      <c r="C153" s="159">
        <f t="shared" si="15"/>
        <v>1.5725792207970677</v>
      </c>
      <c r="D153" s="159">
        <f t="shared" si="16"/>
        <v>5.3224997333333341</v>
      </c>
      <c r="E153" s="188">
        <f t="shared" si="17"/>
        <v>5.4287750221727062</v>
      </c>
      <c r="F153" s="188">
        <f t="shared" si="18"/>
        <v>10.850906933333336</v>
      </c>
    </row>
    <row r="154" spans="2:6" x14ac:dyDescent="0.2">
      <c r="B154" s="149">
        <v>42</v>
      </c>
      <c r="C154" s="159">
        <f t="shared" si="15"/>
        <v>1.5725792207970677</v>
      </c>
      <c r="D154" s="159">
        <f t="shared" si="16"/>
        <v>5.3290433333333347</v>
      </c>
      <c r="E154" s="188">
        <f t="shared" si="17"/>
        <v>5.4287750221727062</v>
      </c>
      <c r="F154" s="188">
        <f t="shared" si="18"/>
        <v>10.926625733333335</v>
      </c>
    </row>
    <row r="155" spans="2:6" x14ac:dyDescent="0.2">
      <c r="B155" s="149">
        <v>43</v>
      </c>
      <c r="C155" s="159">
        <f t="shared" si="15"/>
        <v>1.5725792207970677</v>
      </c>
      <c r="D155" s="159">
        <f t="shared" si="16"/>
        <v>5.3290433333333347</v>
      </c>
      <c r="E155" s="188">
        <f t="shared" si="17"/>
        <v>5.4287750221727062</v>
      </c>
      <c r="F155" s="188">
        <f t="shared" si="18"/>
        <v>10.926625733333335</v>
      </c>
    </row>
    <row r="156" spans="2:6" x14ac:dyDescent="0.2">
      <c r="B156" s="149">
        <v>44</v>
      </c>
      <c r="C156" s="159">
        <f t="shared" si="15"/>
        <v>1.5725792207970677</v>
      </c>
      <c r="D156" s="159">
        <f t="shared" si="16"/>
        <v>5.3290433333333347</v>
      </c>
      <c r="E156" s="188">
        <f t="shared" si="17"/>
        <v>5.4287750221727062</v>
      </c>
      <c r="F156" s="188">
        <f t="shared" si="18"/>
        <v>10.926625733333335</v>
      </c>
    </row>
    <row r="157" spans="2:6" x14ac:dyDescent="0.2">
      <c r="B157" s="149">
        <v>45</v>
      </c>
      <c r="C157" s="159">
        <f t="shared" si="15"/>
        <v>1.5725792207970677</v>
      </c>
      <c r="D157" s="159">
        <f t="shared" si="16"/>
        <v>5.3290433333333347</v>
      </c>
      <c r="E157" s="188">
        <f t="shared" si="17"/>
        <v>5.4287750221727062</v>
      </c>
      <c r="F157" s="188">
        <f t="shared" si="18"/>
        <v>10.926625733333335</v>
      </c>
    </row>
    <row r="158" spans="2:6" x14ac:dyDescent="0.2">
      <c r="B158" s="149">
        <v>46</v>
      </c>
      <c r="C158" s="159">
        <f t="shared" si="15"/>
        <v>1.5725792207970677</v>
      </c>
      <c r="D158" s="159">
        <f t="shared" si="16"/>
        <v>5.3290433333333347</v>
      </c>
      <c r="E158" s="188">
        <f t="shared" si="17"/>
        <v>5.4287750221727062</v>
      </c>
      <c r="F158" s="188">
        <f t="shared" si="18"/>
        <v>10.926625733333335</v>
      </c>
    </row>
    <row r="159" spans="2:6" x14ac:dyDescent="0.2">
      <c r="B159" s="149">
        <v>47</v>
      </c>
      <c r="C159" s="159">
        <f t="shared" si="15"/>
        <v>1.5725792207970677</v>
      </c>
      <c r="D159" s="159">
        <f t="shared" si="16"/>
        <v>5.3290433333333347</v>
      </c>
      <c r="E159" s="188">
        <f t="shared" si="17"/>
        <v>5.4287750221727062</v>
      </c>
      <c r="F159" s="188">
        <f t="shared" si="18"/>
        <v>11.342611733333333</v>
      </c>
    </row>
    <row r="160" spans="2:6" x14ac:dyDescent="0.2">
      <c r="B160" s="161"/>
      <c r="C160" s="179">
        <f>SUM(C136:C159)</f>
        <v>36.400435171337072</v>
      </c>
      <c r="D160" s="179">
        <f>SUM(D136:D159)</f>
        <v>129.45362959999997</v>
      </c>
      <c r="E160" s="122">
        <f>SUM(E136:E159)</f>
        <v>130.18835073945718</v>
      </c>
      <c r="F160" s="122">
        <f>SUM(F136:F159)</f>
        <v>267.82818679999997</v>
      </c>
    </row>
    <row r="166" spans="4:14" ht="60" x14ac:dyDescent="0.2">
      <c r="D166" s="161"/>
      <c r="E166" s="133" t="s">
        <v>25</v>
      </c>
      <c r="F166" s="134" t="s">
        <v>26</v>
      </c>
      <c r="G166" s="135" t="s">
        <v>27</v>
      </c>
      <c r="H166" s="135" t="s">
        <v>28</v>
      </c>
      <c r="I166" s="116" t="s">
        <v>29</v>
      </c>
      <c r="J166" s="116" t="s">
        <v>30</v>
      </c>
      <c r="K166" s="144" t="s">
        <v>31</v>
      </c>
      <c r="M166" s="144" t="s">
        <v>66</v>
      </c>
      <c r="N166" s="144" t="s">
        <v>42</v>
      </c>
    </row>
    <row r="167" spans="4:14" x14ac:dyDescent="0.2">
      <c r="D167" s="162" t="s">
        <v>11</v>
      </c>
      <c r="E167" s="136">
        <f>D41</f>
        <v>719.57444328824113</v>
      </c>
      <c r="F167" s="137">
        <f>D97</f>
        <v>88.206927952503221</v>
      </c>
      <c r="G167" s="138">
        <f>C130</f>
        <v>4.8170041623131539</v>
      </c>
      <c r="H167" s="138">
        <f>D130</f>
        <v>-22.254599999999954</v>
      </c>
      <c r="I167" s="139">
        <f>C160</f>
        <v>36.400435171337072</v>
      </c>
      <c r="J167" s="140">
        <f>D160</f>
        <v>129.45362959999997</v>
      </c>
      <c r="K167" s="141">
        <f>SUM(F167:J167)</f>
        <v>236.62339688615347</v>
      </c>
      <c r="L167" s="163">
        <f>K167/E167</f>
        <v>0.32883796679167054</v>
      </c>
      <c r="M167" s="164">
        <f>E167-K167</f>
        <v>482.95104640208763</v>
      </c>
      <c r="N167" s="164">
        <f>M167*1.56</f>
        <v>753.40363238725672</v>
      </c>
    </row>
    <row r="168" spans="4:14" x14ac:dyDescent="0.2">
      <c r="D168" s="162" t="s">
        <v>12</v>
      </c>
      <c r="E168" s="136">
        <f>F41</f>
        <v>719.57444328824113</v>
      </c>
      <c r="F168" s="137">
        <f>F97</f>
        <v>222.16668374919766</v>
      </c>
      <c r="G168" s="138">
        <f>E130</f>
        <v>5.6810293776834442E-2</v>
      </c>
      <c r="H168" s="138">
        <f>F130</f>
        <v>0</v>
      </c>
      <c r="I168" s="139">
        <f>E160</f>
        <v>130.18835073945718</v>
      </c>
      <c r="J168" s="142">
        <f>F160</f>
        <v>267.82818679999997</v>
      </c>
      <c r="K168" s="141">
        <f>SUM(F168:J168)</f>
        <v>620.24003158243158</v>
      </c>
      <c r="L168" s="163">
        <f>K168/E168</f>
        <v>0.86195394704141959</v>
      </c>
      <c r="N168" s="164"/>
    </row>
    <row r="171" spans="4:14" x14ac:dyDescent="0.2">
      <c r="D171" s="72" t="s">
        <v>87</v>
      </c>
    </row>
    <row r="172" spans="4:14" x14ac:dyDescent="0.2">
      <c r="D172" s="162" t="s">
        <v>67</v>
      </c>
      <c r="E172" s="136">
        <f>E167/24</f>
        <v>29.982268470343381</v>
      </c>
      <c r="F172" s="137">
        <f t="shared" ref="F172:L175" si="19">F167/24</f>
        <v>3.6752886646876344</v>
      </c>
      <c r="G172" s="138">
        <f t="shared" si="19"/>
        <v>0.20070850676304808</v>
      </c>
      <c r="H172" s="138">
        <f t="shared" si="19"/>
        <v>-0.92727499999999807</v>
      </c>
      <c r="I172" s="139">
        <f t="shared" si="19"/>
        <v>1.5166847988057113</v>
      </c>
      <c r="J172" s="140">
        <f t="shared" si="19"/>
        <v>5.3939012333333318</v>
      </c>
      <c r="K172" s="141">
        <f>SUM(F172:J172)</f>
        <v>9.8593082035897268</v>
      </c>
      <c r="L172" s="163">
        <f>K172/E172</f>
        <v>0.32883796679167049</v>
      </c>
      <c r="M172" s="165">
        <f>E172-K172</f>
        <v>20.122960266753655</v>
      </c>
      <c r="N172" s="164">
        <f>M172*1.56</f>
        <v>31.391818016135701</v>
      </c>
    </row>
    <row r="173" spans="4:14" x14ac:dyDescent="0.2">
      <c r="D173" s="162" t="s">
        <v>68</v>
      </c>
      <c r="E173" s="136">
        <f>E168/24</f>
        <v>29.982268470343381</v>
      </c>
      <c r="F173" s="137">
        <f t="shared" si="19"/>
        <v>9.2569451562165685</v>
      </c>
      <c r="G173" s="138">
        <f t="shared" si="19"/>
        <v>2.3670955740347686E-3</v>
      </c>
      <c r="H173" s="138">
        <f t="shared" si="19"/>
        <v>0</v>
      </c>
      <c r="I173" s="139">
        <f t="shared" si="19"/>
        <v>5.4245146141440488</v>
      </c>
      <c r="J173" s="142">
        <f t="shared" si="19"/>
        <v>11.159507783333332</v>
      </c>
      <c r="K173" s="141">
        <f>SUM(F173:J173)</f>
        <v>25.843334649267984</v>
      </c>
      <c r="L173" s="163">
        <f>K173/E173</f>
        <v>0.86195394704141959</v>
      </c>
    </row>
    <row r="175" spans="4:14" x14ac:dyDescent="0.2">
      <c r="F175" s="137">
        <f>F172</f>
        <v>3.6752886646876344</v>
      </c>
      <c r="G175" s="138">
        <f t="shared" ref="G175:J175" si="20">G172</f>
        <v>0.20070850676304808</v>
      </c>
      <c r="H175" s="138">
        <f>-H172</f>
        <v>0.92727499999999807</v>
      </c>
      <c r="I175" s="139">
        <f t="shared" si="20"/>
        <v>1.5166847988057113</v>
      </c>
      <c r="J175" s="140">
        <f t="shared" si="20"/>
        <v>5.3939012333333318</v>
      </c>
      <c r="K175" s="141">
        <f>SUM(F175:J175)</f>
        <v>11.713858203589723</v>
      </c>
    </row>
    <row r="176" spans="4:14" x14ac:dyDescent="0.2">
      <c r="F176" s="242">
        <f>F175/$K$175</f>
        <v>0.31375560475551417</v>
      </c>
      <c r="G176" s="243">
        <f>G175/$K$175</f>
        <v>1.7134278328684291E-2</v>
      </c>
      <c r="H176" s="243">
        <f>H175/$K$175</f>
        <v>7.9160510899460412E-2</v>
      </c>
      <c r="I176" s="244">
        <f>I175/$K$175</f>
        <v>0.12947781785005061</v>
      </c>
      <c r="J176" s="244">
        <f>J175/$K$175</f>
        <v>0.46047178816629059</v>
      </c>
      <c r="K176" s="245">
        <f>SUM(F176:J176)</f>
        <v>1</v>
      </c>
    </row>
  </sheetData>
  <mergeCells count="4">
    <mergeCell ref="B14:Q14"/>
    <mergeCell ref="B43:Q43"/>
    <mergeCell ref="B99:Q99"/>
    <mergeCell ref="B133:Q13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5DFAD-0027-F346-B664-97D9B4029CA9}">
  <sheetPr>
    <tabColor rgb="FFBBB92C"/>
  </sheetPr>
  <dimension ref="B2:Q171"/>
  <sheetViews>
    <sheetView topLeftCell="A161" zoomScale="131" zoomScaleNormal="92" workbookViewId="0">
      <selection activeCell="J168" sqref="F168:J168"/>
    </sheetView>
  </sheetViews>
  <sheetFormatPr baseColWidth="10" defaultRowHeight="14" x14ac:dyDescent="0.2"/>
  <cols>
    <col min="1" max="5" width="10.83203125" style="72"/>
    <col min="6" max="6" width="12.6640625" style="72" customWidth="1"/>
    <col min="7" max="16384" width="10.83203125" style="72"/>
  </cols>
  <sheetData>
    <row r="2" spans="2:17" x14ac:dyDescent="0.2">
      <c r="B2" s="1"/>
      <c r="C2" s="1"/>
    </row>
    <row r="3" spans="2:17" x14ac:dyDescent="0.2">
      <c r="B3" s="1"/>
      <c r="C3" s="1"/>
      <c r="F3" s="1"/>
    </row>
    <row r="4" spans="2:17" x14ac:dyDescent="0.2">
      <c r="F4" s="1" t="s">
        <v>17</v>
      </c>
    </row>
    <row r="5" spans="2:17" x14ac:dyDescent="0.2">
      <c r="B5" s="1"/>
      <c r="C5" s="1"/>
      <c r="F5" s="1"/>
    </row>
    <row r="6" spans="2:17" ht="15" thickBot="1" x14ac:dyDescent="0.25">
      <c r="B6" s="1"/>
      <c r="C6" s="1"/>
    </row>
    <row r="7" spans="2:17" ht="15" thickBot="1" x14ac:dyDescent="0.25">
      <c r="C7" s="106"/>
      <c r="F7" s="107" t="s">
        <v>18</v>
      </c>
    </row>
    <row r="8" spans="2:17" x14ac:dyDescent="0.2">
      <c r="D8" s="143"/>
      <c r="F8" s="72" t="s">
        <v>19</v>
      </c>
      <c r="G8" s="143">
        <f>G10/G9</f>
        <v>1094.6341463414635</v>
      </c>
    </row>
    <row r="9" spans="2:17" ht="15" thickBot="1" x14ac:dyDescent="0.25">
      <c r="F9" s="72" t="s">
        <v>20</v>
      </c>
      <c r="G9" s="72">
        <v>8.2000000000000003E-2</v>
      </c>
    </row>
    <row r="10" spans="2:17" ht="15" thickBot="1" x14ac:dyDescent="0.25">
      <c r="C10" s="106"/>
      <c r="D10" s="108"/>
      <c r="F10" s="109" t="s">
        <v>89</v>
      </c>
      <c r="G10" s="110">
        <v>89.76</v>
      </c>
    </row>
    <row r="11" spans="2:17" ht="15" thickBot="1" x14ac:dyDescent="0.25">
      <c r="C11" s="106"/>
      <c r="D11" s="111"/>
      <c r="F11" s="109" t="s">
        <v>21</v>
      </c>
      <c r="G11" s="112">
        <f>G10*32.1/96.1</f>
        <v>29.982268470343396</v>
      </c>
    </row>
    <row r="14" spans="2:17" ht="32" x14ac:dyDescent="0.4">
      <c r="B14" s="223" t="s">
        <v>22</v>
      </c>
      <c r="C14" s="223"/>
      <c r="D14" s="223"/>
      <c r="E14" s="223"/>
      <c r="F14" s="223"/>
      <c r="G14" s="223"/>
      <c r="H14" s="223"/>
      <c r="I14" s="223"/>
      <c r="J14" s="223"/>
      <c r="K14" s="223"/>
      <c r="L14" s="223"/>
      <c r="M14" s="223"/>
      <c r="N14" s="223"/>
      <c r="O14" s="223"/>
      <c r="P14" s="223"/>
      <c r="Q14" s="223"/>
    </row>
    <row r="16" spans="2:17" ht="30" x14ac:dyDescent="0.2">
      <c r="B16" s="144" t="s">
        <v>10</v>
      </c>
      <c r="C16" s="115" t="s">
        <v>44</v>
      </c>
      <c r="D16" s="115" t="s">
        <v>45</v>
      </c>
      <c r="E16" s="116" t="s">
        <v>46</v>
      </c>
      <c r="F16" s="116" t="s">
        <v>47</v>
      </c>
    </row>
    <row r="17" spans="2:6" x14ac:dyDescent="0.2">
      <c r="B17" s="149">
        <v>48</v>
      </c>
      <c r="C17" s="145">
        <f>$G$11</f>
        <v>29.982268470343396</v>
      </c>
      <c r="D17" s="145">
        <f>C17</f>
        <v>29.982268470343396</v>
      </c>
      <c r="E17" s="146">
        <f>$G$11</f>
        <v>29.982268470343396</v>
      </c>
      <c r="F17" s="146">
        <f>E17</f>
        <v>29.982268470343396</v>
      </c>
    </row>
    <row r="18" spans="2:6" x14ac:dyDescent="0.2">
      <c r="B18" s="149">
        <v>49</v>
      </c>
      <c r="C18" s="145">
        <f t="shared" ref="C18:C39" si="0">$G$11</f>
        <v>29.982268470343396</v>
      </c>
      <c r="D18" s="145">
        <f>D17+C18</f>
        <v>59.964536940686791</v>
      </c>
      <c r="E18" s="146">
        <f t="shared" ref="E18:E39" si="1">$G$11</f>
        <v>29.982268470343396</v>
      </c>
      <c r="F18" s="146">
        <f t="shared" ref="F18:F39" si="2">F17+E18</f>
        <v>59.964536940686791</v>
      </c>
    </row>
    <row r="19" spans="2:6" x14ac:dyDescent="0.2">
      <c r="B19" s="149">
        <v>50</v>
      </c>
      <c r="C19" s="145">
        <f t="shared" si="0"/>
        <v>29.982268470343396</v>
      </c>
      <c r="D19" s="145">
        <f t="shared" ref="D19:D39" si="3">D18+C19</f>
        <v>89.946805411030184</v>
      </c>
      <c r="E19" s="146">
        <f t="shared" si="1"/>
        <v>29.982268470343396</v>
      </c>
      <c r="F19" s="146">
        <f t="shared" si="2"/>
        <v>89.946805411030184</v>
      </c>
    </row>
    <row r="20" spans="2:6" x14ac:dyDescent="0.2">
      <c r="B20" s="149">
        <v>51</v>
      </c>
      <c r="C20" s="145">
        <f t="shared" si="0"/>
        <v>29.982268470343396</v>
      </c>
      <c r="D20" s="145">
        <f t="shared" si="3"/>
        <v>119.92907388137358</v>
      </c>
      <c r="E20" s="146">
        <f t="shared" si="1"/>
        <v>29.982268470343396</v>
      </c>
      <c r="F20" s="146">
        <f t="shared" si="2"/>
        <v>119.92907388137358</v>
      </c>
    </row>
    <row r="21" spans="2:6" x14ac:dyDescent="0.2">
      <c r="B21" s="149">
        <v>52</v>
      </c>
      <c r="C21" s="145">
        <f t="shared" si="0"/>
        <v>29.982268470343396</v>
      </c>
      <c r="D21" s="145">
        <f t="shared" si="3"/>
        <v>149.91134235171697</v>
      </c>
      <c r="E21" s="146">
        <f t="shared" si="1"/>
        <v>29.982268470343396</v>
      </c>
      <c r="F21" s="146">
        <f t="shared" si="2"/>
        <v>149.91134235171697</v>
      </c>
    </row>
    <row r="22" spans="2:6" x14ac:dyDescent="0.2">
      <c r="B22" s="149">
        <v>53</v>
      </c>
      <c r="C22" s="145">
        <f t="shared" si="0"/>
        <v>29.982268470343396</v>
      </c>
      <c r="D22" s="145">
        <f t="shared" si="3"/>
        <v>179.89361082206037</v>
      </c>
      <c r="E22" s="146">
        <f t="shared" si="1"/>
        <v>29.982268470343396</v>
      </c>
      <c r="F22" s="146">
        <f t="shared" si="2"/>
        <v>179.89361082206037</v>
      </c>
    </row>
    <row r="23" spans="2:6" x14ac:dyDescent="0.2">
      <c r="B23" s="149">
        <v>54</v>
      </c>
      <c r="C23" s="145">
        <f t="shared" si="0"/>
        <v>29.982268470343396</v>
      </c>
      <c r="D23" s="145">
        <f t="shared" si="3"/>
        <v>209.87587929240377</v>
      </c>
      <c r="E23" s="146">
        <f t="shared" si="1"/>
        <v>29.982268470343396</v>
      </c>
      <c r="F23" s="146">
        <f t="shared" si="2"/>
        <v>209.87587929240377</v>
      </c>
    </row>
    <row r="24" spans="2:6" x14ac:dyDescent="0.2">
      <c r="B24" s="149">
        <v>55</v>
      </c>
      <c r="C24" s="145">
        <f t="shared" si="0"/>
        <v>29.982268470343396</v>
      </c>
      <c r="D24" s="145">
        <f t="shared" si="3"/>
        <v>239.85814776274717</v>
      </c>
      <c r="E24" s="146">
        <f t="shared" si="1"/>
        <v>29.982268470343396</v>
      </c>
      <c r="F24" s="146">
        <f t="shared" si="2"/>
        <v>239.85814776274717</v>
      </c>
    </row>
    <row r="25" spans="2:6" x14ac:dyDescent="0.2">
      <c r="B25" s="149">
        <v>56</v>
      </c>
      <c r="C25" s="145">
        <f t="shared" si="0"/>
        <v>29.982268470343396</v>
      </c>
      <c r="D25" s="145">
        <f t="shared" si="3"/>
        <v>269.84041623309054</v>
      </c>
      <c r="E25" s="146">
        <f t="shared" si="1"/>
        <v>29.982268470343396</v>
      </c>
      <c r="F25" s="146">
        <f t="shared" si="2"/>
        <v>269.84041623309054</v>
      </c>
    </row>
    <row r="26" spans="2:6" x14ac:dyDescent="0.2">
      <c r="B26" s="149">
        <v>57</v>
      </c>
      <c r="C26" s="145">
        <f t="shared" si="0"/>
        <v>29.982268470343396</v>
      </c>
      <c r="D26" s="145">
        <f t="shared" si="3"/>
        <v>299.82268470343394</v>
      </c>
      <c r="E26" s="146">
        <f t="shared" si="1"/>
        <v>29.982268470343396</v>
      </c>
      <c r="F26" s="146">
        <f t="shared" si="2"/>
        <v>299.82268470343394</v>
      </c>
    </row>
    <row r="27" spans="2:6" x14ac:dyDescent="0.2">
      <c r="B27" s="149">
        <v>58</v>
      </c>
      <c r="C27" s="145">
        <f t="shared" si="0"/>
        <v>29.982268470343396</v>
      </c>
      <c r="D27" s="145">
        <f t="shared" si="3"/>
        <v>329.80495317377733</v>
      </c>
      <c r="E27" s="146">
        <f t="shared" si="1"/>
        <v>29.982268470343396</v>
      </c>
      <c r="F27" s="146">
        <f t="shared" si="2"/>
        <v>329.80495317377733</v>
      </c>
    </row>
    <row r="28" spans="2:6" x14ac:dyDescent="0.2">
      <c r="B28" s="149">
        <v>59</v>
      </c>
      <c r="C28" s="145">
        <f t="shared" si="0"/>
        <v>29.982268470343396</v>
      </c>
      <c r="D28" s="145">
        <f t="shared" si="3"/>
        <v>359.78722164412073</v>
      </c>
      <c r="E28" s="146">
        <f t="shared" si="1"/>
        <v>29.982268470343396</v>
      </c>
      <c r="F28" s="146">
        <f t="shared" si="2"/>
        <v>359.78722164412073</v>
      </c>
    </row>
    <row r="29" spans="2:6" x14ac:dyDescent="0.2">
      <c r="B29" s="149">
        <v>60</v>
      </c>
      <c r="C29" s="145">
        <f t="shared" si="0"/>
        <v>29.982268470343396</v>
      </c>
      <c r="D29" s="145">
        <f t="shared" si="3"/>
        <v>389.76949011446413</v>
      </c>
      <c r="E29" s="146">
        <f t="shared" si="1"/>
        <v>29.982268470343396</v>
      </c>
      <c r="F29" s="146">
        <f t="shared" si="2"/>
        <v>389.76949011446413</v>
      </c>
    </row>
    <row r="30" spans="2:6" x14ac:dyDescent="0.2">
      <c r="B30" s="149">
        <v>61</v>
      </c>
      <c r="C30" s="145">
        <f t="shared" si="0"/>
        <v>29.982268470343396</v>
      </c>
      <c r="D30" s="145">
        <f t="shared" si="3"/>
        <v>419.75175858480753</v>
      </c>
      <c r="E30" s="146">
        <f t="shared" si="1"/>
        <v>29.982268470343396</v>
      </c>
      <c r="F30" s="146">
        <f t="shared" si="2"/>
        <v>419.75175858480753</v>
      </c>
    </row>
    <row r="31" spans="2:6" x14ac:dyDescent="0.2">
      <c r="B31" s="149">
        <v>62</v>
      </c>
      <c r="C31" s="145">
        <f t="shared" si="0"/>
        <v>29.982268470343396</v>
      </c>
      <c r="D31" s="145">
        <f t="shared" si="3"/>
        <v>449.73402705515093</v>
      </c>
      <c r="E31" s="146">
        <f t="shared" si="1"/>
        <v>29.982268470343396</v>
      </c>
      <c r="F31" s="146">
        <f t="shared" si="2"/>
        <v>449.73402705515093</v>
      </c>
    </row>
    <row r="32" spans="2:6" x14ac:dyDescent="0.2">
      <c r="B32" s="149">
        <v>63</v>
      </c>
      <c r="C32" s="145">
        <f t="shared" si="0"/>
        <v>29.982268470343396</v>
      </c>
      <c r="D32" s="145">
        <f t="shared" si="3"/>
        <v>479.71629552549433</v>
      </c>
      <c r="E32" s="146">
        <f t="shared" si="1"/>
        <v>29.982268470343396</v>
      </c>
      <c r="F32" s="146">
        <f t="shared" si="2"/>
        <v>479.71629552549433</v>
      </c>
    </row>
    <row r="33" spans="2:17" x14ac:dyDescent="0.2">
      <c r="B33" s="149">
        <v>64</v>
      </c>
      <c r="C33" s="145">
        <f t="shared" si="0"/>
        <v>29.982268470343396</v>
      </c>
      <c r="D33" s="145">
        <f t="shared" si="3"/>
        <v>509.69856399583773</v>
      </c>
      <c r="E33" s="146">
        <f t="shared" si="1"/>
        <v>29.982268470343396</v>
      </c>
      <c r="F33" s="146">
        <f t="shared" si="2"/>
        <v>509.69856399583773</v>
      </c>
    </row>
    <row r="34" spans="2:17" x14ac:dyDescent="0.2">
      <c r="B34" s="149">
        <v>65</v>
      </c>
      <c r="C34" s="145">
        <f t="shared" si="0"/>
        <v>29.982268470343396</v>
      </c>
      <c r="D34" s="145">
        <f t="shared" si="3"/>
        <v>539.68083246618107</v>
      </c>
      <c r="E34" s="146">
        <f t="shared" si="1"/>
        <v>29.982268470343396</v>
      </c>
      <c r="F34" s="146">
        <f t="shared" si="2"/>
        <v>539.68083246618107</v>
      </c>
    </row>
    <row r="35" spans="2:17" x14ac:dyDescent="0.2">
      <c r="B35" s="149">
        <v>66</v>
      </c>
      <c r="C35" s="145">
        <f t="shared" si="0"/>
        <v>29.982268470343396</v>
      </c>
      <c r="D35" s="145">
        <f t="shared" si="3"/>
        <v>569.66310093652442</v>
      </c>
      <c r="E35" s="146">
        <f t="shared" si="1"/>
        <v>29.982268470343396</v>
      </c>
      <c r="F35" s="146">
        <f t="shared" si="2"/>
        <v>569.66310093652442</v>
      </c>
    </row>
    <row r="36" spans="2:17" x14ac:dyDescent="0.2">
      <c r="B36" s="149">
        <v>67</v>
      </c>
      <c r="C36" s="145">
        <f t="shared" si="0"/>
        <v>29.982268470343396</v>
      </c>
      <c r="D36" s="145">
        <f t="shared" si="3"/>
        <v>599.64536940686776</v>
      </c>
      <c r="E36" s="146">
        <f t="shared" si="1"/>
        <v>29.982268470343396</v>
      </c>
      <c r="F36" s="146">
        <f t="shared" si="2"/>
        <v>599.64536940686776</v>
      </c>
    </row>
    <row r="37" spans="2:17" x14ac:dyDescent="0.2">
      <c r="B37" s="149">
        <v>68</v>
      </c>
      <c r="C37" s="145">
        <f t="shared" si="0"/>
        <v>29.982268470343396</v>
      </c>
      <c r="D37" s="145">
        <f t="shared" si="3"/>
        <v>629.6276378772111</v>
      </c>
      <c r="E37" s="146">
        <f t="shared" si="1"/>
        <v>29.982268470343396</v>
      </c>
      <c r="F37" s="146">
        <f t="shared" si="2"/>
        <v>629.6276378772111</v>
      </c>
    </row>
    <row r="38" spans="2:17" x14ac:dyDescent="0.2">
      <c r="B38" s="149">
        <v>69</v>
      </c>
      <c r="C38" s="145">
        <f t="shared" si="0"/>
        <v>29.982268470343396</v>
      </c>
      <c r="D38" s="145">
        <f t="shared" si="3"/>
        <v>659.60990634755444</v>
      </c>
      <c r="E38" s="146">
        <f t="shared" si="1"/>
        <v>29.982268470343396</v>
      </c>
      <c r="F38" s="146">
        <f t="shared" si="2"/>
        <v>659.60990634755444</v>
      </c>
    </row>
    <row r="39" spans="2:17" x14ac:dyDescent="0.2">
      <c r="B39" s="149">
        <v>70</v>
      </c>
      <c r="C39" s="145">
        <f t="shared" si="0"/>
        <v>29.982268470343396</v>
      </c>
      <c r="D39" s="145">
        <f t="shared" si="3"/>
        <v>689.59217481789779</v>
      </c>
      <c r="E39" s="146">
        <f t="shared" si="1"/>
        <v>29.982268470343396</v>
      </c>
      <c r="F39" s="146">
        <f t="shared" si="2"/>
        <v>689.59217481789779</v>
      </c>
    </row>
    <row r="40" spans="2:17" x14ac:dyDescent="0.2">
      <c r="B40" s="81"/>
      <c r="C40" s="151"/>
      <c r="D40" s="117">
        <f>D39</f>
        <v>689.59217481789779</v>
      </c>
      <c r="E40" s="151"/>
      <c r="F40" s="118">
        <f>F39</f>
        <v>689.59217481789779</v>
      </c>
      <c r="G40" s="81" t="s">
        <v>23</v>
      </c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2" spans="2:17" ht="32" x14ac:dyDescent="0.4">
      <c r="B42" s="228" t="s">
        <v>24</v>
      </c>
      <c r="C42" s="228"/>
      <c r="D42" s="228"/>
      <c r="E42" s="228"/>
      <c r="F42" s="228"/>
      <c r="G42" s="228"/>
      <c r="H42" s="228"/>
      <c r="I42" s="228"/>
      <c r="J42" s="228"/>
      <c r="K42" s="228"/>
      <c r="L42" s="228"/>
      <c r="M42" s="228"/>
      <c r="N42" s="228"/>
      <c r="O42" s="228"/>
      <c r="P42" s="228"/>
      <c r="Q42" s="228"/>
    </row>
    <row r="44" spans="2:17" ht="30" x14ac:dyDescent="0.2">
      <c r="B44" s="144" t="s">
        <v>10</v>
      </c>
      <c r="C44" s="166" t="s">
        <v>48</v>
      </c>
      <c r="D44" s="166" t="s">
        <v>49</v>
      </c>
      <c r="E44" s="116" t="s">
        <v>50</v>
      </c>
      <c r="F44" s="116" t="s">
        <v>51</v>
      </c>
    </row>
    <row r="45" spans="2:17" x14ac:dyDescent="0.2">
      <c r="B45" s="149">
        <v>48</v>
      </c>
      <c r="C45" s="192">
        <f>RESUMEN!H29</f>
        <v>959</v>
      </c>
      <c r="D45" s="192">
        <f>RESUMEN!D29</f>
        <v>2.6</v>
      </c>
      <c r="E45" s="193">
        <f>RESUMEN!P29</f>
        <v>2939</v>
      </c>
      <c r="F45" s="193">
        <f>RESUMEN!L29</f>
        <v>2.8</v>
      </c>
    </row>
    <row r="46" spans="2:17" x14ac:dyDescent="0.2">
      <c r="B46" s="149">
        <v>49</v>
      </c>
      <c r="C46" s="192">
        <f>RESUMEN!H30</f>
        <v>894</v>
      </c>
      <c r="D46" s="192">
        <f>RESUMEN!D30</f>
        <v>2.8</v>
      </c>
      <c r="E46" s="193">
        <f>RESUMEN!P30</f>
        <v>2800</v>
      </c>
      <c r="F46" s="193">
        <f>RESUMEN!L30</f>
        <v>2.8</v>
      </c>
      <c r="J46" s="164">
        <f>AVERAGE(C45:D67)</f>
        <v>248.16195652173903</v>
      </c>
    </row>
    <row r="47" spans="2:17" x14ac:dyDescent="0.2">
      <c r="B47" s="149">
        <v>50</v>
      </c>
      <c r="C47" s="192">
        <f>RESUMEN!H31</f>
        <v>811</v>
      </c>
      <c r="D47" s="192">
        <f>RESUMEN!D31</f>
        <v>2.6</v>
      </c>
      <c r="E47" s="193">
        <f>RESUMEN!P31</f>
        <v>2765</v>
      </c>
      <c r="F47" s="193">
        <f>RESUMEN!L31</f>
        <v>2.7</v>
      </c>
      <c r="J47" s="72">
        <f>_xlfn.STDEV.S(C45:D67)</f>
        <v>293.45205593357588</v>
      </c>
    </row>
    <row r="48" spans="2:17" x14ac:dyDescent="0.2">
      <c r="B48" s="149">
        <v>51</v>
      </c>
      <c r="C48" s="192">
        <f>RESUMEN!H32</f>
        <v>855</v>
      </c>
      <c r="D48" s="192">
        <f>RESUMEN!D32</f>
        <v>2.8</v>
      </c>
      <c r="E48" s="193">
        <f>RESUMEN!P32</f>
        <v>3285</v>
      </c>
      <c r="F48" s="193">
        <f>RESUMEN!L32</f>
        <v>3.3</v>
      </c>
    </row>
    <row r="49" spans="2:6" x14ac:dyDescent="0.2">
      <c r="B49" s="149">
        <v>52</v>
      </c>
      <c r="C49" s="171">
        <f>AVERAGE(C48,C53)</f>
        <v>668</v>
      </c>
      <c r="D49" s="171">
        <f>AVERAGE(D48,D53)</f>
        <v>2.9</v>
      </c>
      <c r="E49" s="172">
        <f>AVERAGE(E48,E53)</f>
        <v>3037.5</v>
      </c>
      <c r="F49" s="172">
        <f>AVERAGE(F48,F53)</f>
        <v>3.2</v>
      </c>
    </row>
    <row r="50" spans="2:6" x14ac:dyDescent="0.2">
      <c r="B50" s="149">
        <v>53</v>
      </c>
      <c r="C50" s="171">
        <f>C49</f>
        <v>668</v>
      </c>
      <c r="D50" s="171">
        <f>D49</f>
        <v>2.9</v>
      </c>
      <c r="E50" s="172">
        <f>E49</f>
        <v>3037.5</v>
      </c>
      <c r="F50" s="172">
        <f>F49</f>
        <v>3.2</v>
      </c>
    </row>
    <row r="51" spans="2:6" x14ac:dyDescent="0.2">
      <c r="B51" s="149">
        <v>54</v>
      </c>
      <c r="C51" s="171">
        <f t="shared" ref="C51:C52" si="4">C50</f>
        <v>668</v>
      </c>
      <c r="D51" s="171">
        <f t="shared" ref="D51:D52" si="5">D50</f>
        <v>2.9</v>
      </c>
      <c r="E51" s="172">
        <f t="shared" ref="E51:E52" si="6">E50</f>
        <v>3037.5</v>
      </c>
      <c r="F51" s="172">
        <f t="shared" ref="F51:F52" si="7">F50</f>
        <v>3.2</v>
      </c>
    </row>
    <row r="52" spans="2:6" x14ac:dyDescent="0.2">
      <c r="B52" s="149">
        <v>55</v>
      </c>
      <c r="C52" s="171">
        <f t="shared" si="4"/>
        <v>668</v>
      </c>
      <c r="D52" s="171">
        <f t="shared" si="5"/>
        <v>2.9</v>
      </c>
      <c r="E52" s="172">
        <f t="shared" si="6"/>
        <v>3037.5</v>
      </c>
      <c r="F52" s="172">
        <f t="shared" si="7"/>
        <v>3.2</v>
      </c>
    </row>
    <row r="53" spans="2:6" x14ac:dyDescent="0.2">
      <c r="B53" s="149">
        <v>56</v>
      </c>
      <c r="C53" s="194">
        <f>RESUMEN!H33</f>
        <v>481</v>
      </c>
      <c r="D53" s="194">
        <f>RESUMEN!D33</f>
        <v>3</v>
      </c>
      <c r="E53" s="195">
        <f>RESUMEN!P33</f>
        <v>2790</v>
      </c>
      <c r="F53" s="195">
        <f>RESUMEN!L33</f>
        <v>3.1</v>
      </c>
    </row>
    <row r="54" spans="2:6" x14ac:dyDescent="0.2">
      <c r="B54" s="149">
        <v>57</v>
      </c>
      <c r="C54" s="194">
        <f>RESUMEN!H34</f>
        <v>384</v>
      </c>
      <c r="D54" s="194">
        <f>RESUMEN!D34</f>
        <v>3</v>
      </c>
      <c r="E54" s="195">
        <f>RESUMEN!P34</f>
        <v>2624</v>
      </c>
      <c r="F54" s="195">
        <f>RESUMEN!L34</f>
        <v>3.1</v>
      </c>
    </row>
    <row r="55" spans="2:6" x14ac:dyDescent="0.2">
      <c r="B55" s="149">
        <v>58</v>
      </c>
      <c r="C55" s="194">
        <f>RESUMEN!H35</f>
        <v>353</v>
      </c>
      <c r="D55" s="194">
        <f>RESUMEN!D35</f>
        <v>3</v>
      </c>
      <c r="E55" s="195">
        <f>RESUMEN!P35</f>
        <v>2677</v>
      </c>
      <c r="F55" s="195">
        <f>RESUMEN!L35</f>
        <v>3</v>
      </c>
    </row>
    <row r="56" spans="2:6" x14ac:dyDescent="0.2">
      <c r="B56" s="149">
        <v>59</v>
      </c>
      <c r="C56" s="119">
        <f>AVERAGE(C55,C59)</f>
        <v>363.5</v>
      </c>
      <c r="D56" s="119">
        <f>AVERAGE(D55,D59)</f>
        <v>3</v>
      </c>
      <c r="E56" s="175">
        <f>AVERAGE(E55,E59)</f>
        <v>2699</v>
      </c>
      <c r="F56" s="175">
        <f>AVERAGE(F55,F59)</f>
        <v>2.9</v>
      </c>
    </row>
    <row r="57" spans="2:6" x14ac:dyDescent="0.2">
      <c r="B57" s="149">
        <v>60</v>
      </c>
      <c r="C57" s="119">
        <f t="shared" ref="C57:F58" si="8">C56</f>
        <v>363.5</v>
      </c>
      <c r="D57" s="119">
        <f t="shared" si="8"/>
        <v>3</v>
      </c>
      <c r="E57" s="175">
        <f t="shared" si="8"/>
        <v>2699</v>
      </c>
      <c r="F57" s="175">
        <f t="shared" si="8"/>
        <v>2.9</v>
      </c>
    </row>
    <row r="58" spans="2:6" x14ac:dyDescent="0.2">
      <c r="B58" s="149">
        <v>61</v>
      </c>
      <c r="C58" s="119">
        <f t="shared" si="8"/>
        <v>363.5</v>
      </c>
      <c r="D58" s="119">
        <f t="shared" si="8"/>
        <v>3</v>
      </c>
      <c r="E58" s="175">
        <f t="shared" si="8"/>
        <v>2699</v>
      </c>
      <c r="F58" s="175">
        <f t="shared" si="8"/>
        <v>2.9</v>
      </c>
    </row>
    <row r="59" spans="2:6" x14ac:dyDescent="0.2">
      <c r="B59" s="149">
        <v>62</v>
      </c>
      <c r="C59" s="145">
        <f>RESUMEN!H36</f>
        <v>374</v>
      </c>
      <c r="D59" s="145">
        <f>RESUMEN!D36</f>
        <v>3</v>
      </c>
      <c r="E59" s="167">
        <f>RESUMEN!P36</f>
        <v>2721</v>
      </c>
      <c r="F59" s="167">
        <f>RESUMEN!L36</f>
        <v>2.8</v>
      </c>
    </row>
    <row r="60" spans="2:6" x14ac:dyDescent="0.2">
      <c r="B60" s="149">
        <v>63</v>
      </c>
      <c r="C60" s="145">
        <f>RESUMEN!H37</f>
        <v>383</v>
      </c>
      <c r="D60" s="145">
        <f>RESUMEN!D37</f>
        <v>2.9</v>
      </c>
      <c r="E60" s="167">
        <f>RESUMEN!P37</f>
        <v>2664</v>
      </c>
      <c r="F60" s="167">
        <f>RESUMEN!L37</f>
        <v>3</v>
      </c>
    </row>
    <row r="61" spans="2:6" x14ac:dyDescent="0.2">
      <c r="B61" s="149">
        <v>64</v>
      </c>
      <c r="C61" s="145">
        <f>RESUMEN!H38</f>
        <v>295</v>
      </c>
      <c r="D61" s="145">
        <f>RESUMEN!D38</f>
        <v>3</v>
      </c>
      <c r="E61" s="167">
        <f>RESUMEN!P38</f>
        <v>2489</v>
      </c>
      <c r="F61" s="167">
        <f>RESUMEN!L38</f>
        <v>3</v>
      </c>
    </row>
    <row r="62" spans="2:6" x14ac:dyDescent="0.2">
      <c r="B62" s="149">
        <v>65</v>
      </c>
      <c r="C62" s="145">
        <f>RESUMEN!H39</f>
        <v>265</v>
      </c>
      <c r="D62" s="145">
        <f>RESUMEN!D39</f>
        <v>2.8</v>
      </c>
      <c r="E62" s="167">
        <f>RESUMEN!P39</f>
        <v>2843</v>
      </c>
      <c r="F62" s="167">
        <f>RESUMEN!L39</f>
        <v>2.6</v>
      </c>
    </row>
    <row r="63" spans="2:6" x14ac:dyDescent="0.2">
      <c r="B63" s="149">
        <v>66</v>
      </c>
      <c r="C63" s="119">
        <f>AVERAGE(C62,C66)</f>
        <v>301.5</v>
      </c>
      <c r="D63" s="119">
        <f>AVERAGE(D62,D66)</f>
        <v>2.65</v>
      </c>
      <c r="E63" s="175">
        <f>AVERAGE(E62,E66)</f>
        <v>2875.5</v>
      </c>
      <c r="F63" s="175">
        <f>AVERAGE(F62,F66)</f>
        <v>2.6</v>
      </c>
    </row>
    <row r="64" spans="2:6" x14ac:dyDescent="0.2">
      <c r="B64" s="149">
        <v>67</v>
      </c>
      <c r="C64" s="119">
        <f t="shared" ref="C64:F65" si="9">C63</f>
        <v>301.5</v>
      </c>
      <c r="D64" s="119">
        <f t="shared" si="9"/>
        <v>2.65</v>
      </c>
      <c r="E64" s="175">
        <f t="shared" si="9"/>
        <v>2875.5</v>
      </c>
      <c r="F64" s="175">
        <f t="shared" si="9"/>
        <v>2.6</v>
      </c>
    </row>
    <row r="65" spans="2:6" x14ac:dyDescent="0.2">
      <c r="B65" s="149">
        <v>68</v>
      </c>
      <c r="C65" s="119">
        <f t="shared" si="9"/>
        <v>301.5</v>
      </c>
      <c r="D65" s="119">
        <f t="shared" si="9"/>
        <v>2.65</v>
      </c>
      <c r="E65" s="175">
        <f t="shared" si="9"/>
        <v>2875.5</v>
      </c>
      <c r="F65" s="175">
        <f t="shared" si="9"/>
        <v>2.6</v>
      </c>
    </row>
    <row r="66" spans="2:6" x14ac:dyDescent="0.2">
      <c r="B66" s="149">
        <v>69</v>
      </c>
      <c r="C66" s="145">
        <f>RESUMEN!H40</f>
        <v>338</v>
      </c>
      <c r="D66" s="145">
        <f>RESUMEN!D40</f>
        <v>2.5</v>
      </c>
      <c r="E66" s="167">
        <f>RESUMEN!P40</f>
        <v>2908</v>
      </c>
      <c r="F66" s="167">
        <f>RESUMEN!L40</f>
        <v>2.6</v>
      </c>
    </row>
    <row r="67" spans="2:6" x14ac:dyDescent="0.2">
      <c r="B67" s="149">
        <v>70</v>
      </c>
      <c r="C67" s="145">
        <f>RESUMEN!H41</f>
        <v>291</v>
      </c>
      <c r="D67" s="145">
        <f>RESUMEN!D41</f>
        <v>2.9</v>
      </c>
      <c r="E67" s="167">
        <f>RESUMEN!P41</f>
        <v>2660</v>
      </c>
      <c r="F67" s="167">
        <f>RESUMEN!L41</f>
        <v>2.6</v>
      </c>
    </row>
    <row r="69" spans="2:6" ht="45" x14ac:dyDescent="0.2">
      <c r="B69" s="144" t="s">
        <v>10</v>
      </c>
      <c r="C69" s="115" t="s">
        <v>55</v>
      </c>
      <c r="D69" s="115" t="s">
        <v>54</v>
      </c>
      <c r="E69" s="116" t="s">
        <v>53</v>
      </c>
      <c r="F69" s="116" t="s">
        <v>52</v>
      </c>
    </row>
    <row r="70" spans="2:6" x14ac:dyDescent="0.2">
      <c r="B70" s="149">
        <v>48</v>
      </c>
      <c r="C70" s="145">
        <f t="shared" ref="C70:C92" si="10">C45*D45/1000000</f>
        <v>2.4934000000000002E-3</v>
      </c>
      <c r="D70" s="145">
        <f>C70</f>
        <v>2.4934000000000002E-3</v>
      </c>
      <c r="E70" s="146">
        <f t="shared" ref="E70:E92" si="11">E45*F45/1000000</f>
        <v>8.229199999999999E-3</v>
      </c>
      <c r="F70" s="146">
        <f>E70</f>
        <v>8.229199999999999E-3</v>
      </c>
    </row>
    <row r="71" spans="2:6" x14ac:dyDescent="0.2">
      <c r="B71" s="149">
        <v>49</v>
      </c>
      <c r="C71" s="145">
        <f t="shared" si="10"/>
        <v>2.5031999999999997E-3</v>
      </c>
      <c r="D71" s="145">
        <f>D70+C71</f>
        <v>4.9966000000000003E-3</v>
      </c>
      <c r="E71" s="146">
        <f t="shared" si="11"/>
        <v>7.8399999999999997E-3</v>
      </c>
      <c r="F71" s="146">
        <f>F70+E71</f>
        <v>1.6069199999999999E-2</v>
      </c>
    </row>
    <row r="72" spans="2:6" x14ac:dyDescent="0.2">
      <c r="B72" s="149">
        <v>50</v>
      </c>
      <c r="C72" s="145">
        <f t="shared" si="10"/>
        <v>2.1086E-3</v>
      </c>
      <c r="D72" s="145">
        <f t="shared" ref="D72:D92" si="12">D71+C72</f>
        <v>7.1052000000000008E-3</v>
      </c>
      <c r="E72" s="146">
        <f t="shared" si="11"/>
        <v>7.4655000000000008E-3</v>
      </c>
      <c r="F72" s="146">
        <f t="shared" ref="F72:F92" si="13">F71+E72</f>
        <v>2.3534699999999999E-2</v>
      </c>
    </row>
    <row r="73" spans="2:6" x14ac:dyDescent="0.2">
      <c r="B73" s="149">
        <v>51</v>
      </c>
      <c r="C73" s="145">
        <f t="shared" si="10"/>
        <v>2.3939999999999999E-3</v>
      </c>
      <c r="D73" s="145">
        <f t="shared" si="12"/>
        <v>9.499200000000001E-3</v>
      </c>
      <c r="E73" s="146">
        <f t="shared" si="11"/>
        <v>1.0840499999999999E-2</v>
      </c>
      <c r="F73" s="146">
        <f t="shared" si="13"/>
        <v>3.4375199999999995E-2</v>
      </c>
    </row>
    <row r="74" spans="2:6" x14ac:dyDescent="0.2">
      <c r="B74" s="149">
        <v>52</v>
      </c>
      <c r="C74" s="145">
        <f t="shared" si="10"/>
        <v>1.9372E-3</v>
      </c>
      <c r="D74" s="145">
        <f t="shared" si="12"/>
        <v>1.1436400000000001E-2</v>
      </c>
      <c r="E74" s="146">
        <f t="shared" si="11"/>
        <v>9.7199999999999995E-3</v>
      </c>
      <c r="F74" s="146">
        <f t="shared" si="13"/>
        <v>4.4095199999999994E-2</v>
      </c>
    </row>
    <row r="75" spans="2:6" x14ac:dyDescent="0.2">
      <c r="B75" s="149">
        <v>53</v>
      </c>
      <c r="C75" s="145">
        <f t="shared" si="10"/>
        <v>1.9372E-3</v>
      </c>
      <c r="D75" s="145">
        <f t="shared" si="12"/>
        <v>1.3373600000000001E-2</v>
      </c>
      <c r="E75" s="146">
        <f t="shared" si="11"/>
        <v>9.7199999999999995E-3</v>
      </c>
      <c r="F75" s="146">
        <f t="shared" si="13"/>
        <v>5.3815199999999994E-2</v>
      </c>
    </row>
    <row r="76" spans="2:6" x14ac:dyDescent="0.2">
      <c r="B76" s="149">
        <v>54</v>
      </c>
      <c r="C76" s="145">
        <f t="shared" si="10"/>
        <v>1.9372E-3</v>
      </c>
      <c r="D76" s="145">
        <f t="shared" si="12"/>
        <v>1.5310800000000001E-2</v>
      </c>
      <c r="E76" s="146">
        <f t="shared" si="11"/>
        <v>9.7199999999999995E-3</v>
      </c>
      <c r="F76" s="146">
        <f t="shared" si="13"/>
        <v>6.3535199999999986E-2</v>
      </c>
    </row>
    <row r="77" spans="2:6" x14ac:dyDescent="0.2">
      <c r="B77" s="149">
        <v>55</v>
      </c>
      <c r="C77" s="145">
        <f t="shared" si="10"/>
        <v>1.9372E-3</v>
      </c>
      <c r="D77" s="145">
        <f t="shared" si="12"/>
        <v>1.7247999999999999E-2</v>
      </c>
      <c r="E77" s="146">
        <f t="shared" si="11"/>
        <v>9.7199999999999995E-3</v>
      </c>
      <c r="F77" s="146">
        <f t="shared" si="13"/>
        <v>7.3255199999999993E-2</v>
      </c>
    </row>
    <row r="78" spans="2:6" x14ac:dyDescent="0.2">
      <c r="B78" s="149">
        <v>56</v>
      </c>
      <c r="C78" s="145">
        <f t="shared" si="10"/>
        <v>1.4430000000000001E-3</v>
      </c>
      <c r="D78" s="145">
        <f t="shared" si="12"/>
        <v>1.8690999999999999E-2</v>
      </c>
      <c r="E78" s="146">
        <f t="shared" si="11"/>
        <v>8.6490000000000004E-3</v>
      </c>
      <c r="F78" s="146">
        <f t="shared" si="13"/>
        <v>8.1904199999999996E-2</v>
      </c>
    </row>
    <row r="79" spans="2:6" x14ac:dyDescent="0.2">
      <c r="B79" s="149">
        <v>57</v>
      </c>
      <c r="C79" s="145">
        <f t="shared" si="10"/>
        <v>1.152E-3</v>
      </c>
      <c r="D79" s="145">
        <f t="shared" si="12"/>
        <v>1.9843E-2</v>
      </c>
      <c r="E79" s="146">
        <f t="shared" si="11"/>
        <v>8.1344E-3</v>
      </c>
      <c r="F79" s="146">
        <f t="shared" si="13"/>
        <v>9.0038599999999996E-2</v>
      </c>
    </row>
    <row r="80" spans="2:6" x14ac:dyDescent="0.2">
      <c r="B80" s="149">
        <v>58</v>
      </c>
      <c r="C80" s="145">
        <f t="shared" si="10"/>
        <v>1.059E-3</v>
      </c>
      <c r="D80" s="145">
        <f t="shared" si="12"/>
        <v>2.0902E-2</v>
      </c>
      <c r="E80" s="146">
        <f t="shared" si="11"/>
        <v>8.0309999999999999E-3</v>
      </c>
      <c r="F80" s="146">
        <f t="shared" si="13"/>
        <v>9.8069599999999993E-2</v>
      </c>
    </row>
    <row r="81" spans="2:17" x14ac:dyDescent="0.2">
      <c r="B81" s="149">
        <v>59</v>
      </c>
      <c r="C81" s="145">
        <f t="shared" si="10"/>
        <v>1.0905000000000001E-3</v>
      </c>
      <c r="D81" s="145">
        <f t="shared" si="12"/>
        <v>2.1992500000000002E-2</v>
      </c>
      <c r="E81" s="146">
        <f t="shared" si="11"/>
        <v>7.8271E-3</v>
      </c>
      <c r="F81" s="146">
        <f t="shared" si="13"/>
        <v>0.1058967</v>
      </c>
    </row>
    <row r="82" spans="2:17" x14ac:dyDescent="0.2">
      <c r="B82" s="149">
        <v>60</v>
      </c>
      <c r="C82" s="145">
        <f t="shared" si="10"/>
        <v>1.0905000000000001E-3</v>
      </c>
      <c r="D82" s="145">
        <f t="shared" si="12"/>
        <v>2.3083000000000003E-2</v>
      </c>
      <c r="E82" s="146">
        <f t="shared" si="11"/>
        <v>7.8271E-3</v>
      </c>
      <c r="F82" s="146">
        <f t="shared" si="13"/>
        <v>0.1137238</v>
      </c>
    </row>
    <row r="83" spans="2:17" x14ac:dyDescent="0.2">
      <c r="B83" s="149">
        <v>61</v>
      </c>
      <c r="C83" s="145">
        <f t="shared" si="10"/>
        <v>1.0905000000000001E-3</v>
      </c>
      <c r="D83" s="145">
        <f t="shared" si="12"/>
        <v>2.4173500000000004E-2</v>
      </c>
      <c r="E83" s="146">
        <f t="shared" si="11"/>
        <v>7.8271E-3</v>
      </c>
      <c r="F83" s="146">
        <f t="shared" si="13"/>
        <v>0.1215509</v>
      </c>
    </row>
    <row r="84" spans="2:17" x14ac:dyDescent="0.2">
      <c r="B84" s="149">
        <v>62</v>
      </c>
      <c r="C84" s="145">
        <f t="shared" si="10"/>
        <v>1.122E-3</v>
      </c>
      <c r="D84" s="145">
        <f t="shared" si="12"/>
        <v>2.5295500000000005E-2</v>
      </c>
      <c r="E84" s="146">
        <f t="shared" si="11"/>
        <v>7.6187999999999994E-3</v>
      </c>
      <c r="F84" s="146">
        <f t="shared" si="13"/>
        <v>0.1291697</v>
      </c>
    </row>
    <row r="85" spans="2:17" x14ac:dyDescent="0.2">
      <c r="B85" s="149">
        <v>63</v>
      </c>
      <c r="C85" s="145">
        <f t="shared" si="10"/>
        <v>1.1107000000000001E-3</v>
      </c>
      <c r="D85" s="145">
        <f t="shared" si="12"/>
        <v>2.6406200000000005E-2</v>
      </c>
      <c r="E85" s="146">
        <f t="shared" si="11"/>
        <v>7.9920000000000008E-3</v>
      </c>
      <c r="F85" s="146">
        <f t="shared" si="13"/>
        <v>0.1371617</v>
      </c>
    </row>
    <row r="86" spans="2:17" x14ac:dyDescent="0.2">
      <c r="B86" s="149">
        <v>64</v>
      </c>
      <c r="C86" s="145">
        <f t="shared" si="10"/>
        <v>8.8500000000000004E-4</v>
      </c>
      <c r="D86" s="145">
        <f t="shared" si="12"/>
        <v>2.7291200000000005E-2</v>
      </c>
      <c r="E86" s="146">
        <f t="shared" si="11"/>
        <v>7.4669999999999997E-3</v>
      </c>
      <c r="F86" s="146">
        <f t="shared" si="13"/>
        <v>0.1446287</v>
      </c>
    </row>
    <row r="87" spans="2:17" x14ac:dyDescent="0.2">
      <c r="B87" s="149">
        <v>65</v>
      </c>
      <c r="C87" s="145">
        <f t="shared" si="10"/>
        <v>7.4200000000000004E-4</v>
      </c>
      <c r="D87" s="145">
        <f t="shared" si="12"/>
        <v>2.8033200000000005E-2</v>
      </c>
      <c r="E87" s="146">
        <f t="shared" si="11"/>
        <v>7.3918000000000005E-3</v>
      </c>
      <c r="F87" s="146">
        <f t="shared" si="13"/>
        <v>0.1520205</v>
      </c>
    </row>
    <row r="88" spans="2:17" x14ac:dyDescent="0.2">
      <c r="B88" s="149">
        <v>66</v>
      </c>
      <c r="C88" s="145">
        <f t="shared" si="10"/>
        <v>7.9897500000000005E-4</v>
      </c>
      <c r="D88" s="145">
        <f t="shared" si="12"/>
        <v>2.8832175000000005E-2</v>
      </c>
      <c r="E88" s="146">
        <f t="shared" si="11"/>
        <v>7.4763E-3</v>
      </c>
      <c r="F88" s="146">
        <f t="shared" si="13"/>
        <v>0.15949679999999999</v>
      </c>
    </row>
    <row r="89" spans="2:17" x14ac:dyDescent="0.2">
      <c r="B89" s="149">
        <v>67</v>
      </c>
      <c r="C89" s="145">
        <f t="shared" si="10"/>
        <v>7.9897500000000005E-4</v>
      </c>
      <c r="D89" s="145">
        <f t="shared" si="12"/>
        <v>2.9631150000000005E-2</v>
      </c>
      <c r="E89" s="146">
        <f t="shared" si="11"/>
        <v>7.4763E-3</v>
      </c>
      <c r="F89" s="146">
        <f t="shared" si="13"/>
        <v>0.16697309999999999</v>
      </c>
    </row>
    <row r="90" spans="2:17" x14ac:dyDescent="0.2">
      <c r="B90" s="149">
        <v>68</v>
      </c>
      <c r="C90" s="145">
        <f t="shared" si="10"/>
        <v>7.9897500000000005E-4</v>
      </c>
      <c r="D90" s="145">
        <f t="shared" si="12"/>
        <v>3.0430125000000006E-2</v>
      </c>
      <c r="E90" s="146">
        <f t="shared" si="11"/>
        <v>7.4763E-3</v>
      </c>
      <c r="F90" s="146">
        <f t="shared" si="13"/>
        <v>0.17444939999999998</v>
      </c>
    </row>
    <row r="91" spans="2:17" x14ac:dyDescent="0.2">
      <c r="B91" s="149">
        <v>69</v>
      </c>
      <c r="C91" s="145">
        <f t="shared" si="10"/>
        <v>8.4500000000000005E-4</v>
      </c>
      <c r="D91" s="145">
        <f t="shared" si="12"/>
        <v>3.1275125000000008E-2</v>
      </c>
      <c r="E91" s="146">
        <f t="shared" si="11"/>
        <v>7.5608000000000003E-3</v>
      </c>
      <c r="F91" s="146">
        <f t="shared" si="13"/>
        <v>0.18201019999999998</v>
      </c>
    </row>
    <row r="92" spans="2:17" x14ac:dyDescent="0.2">
      <c r="B92" s="149">
        <v>70</v>
      </c>
      <c r="C92" s="145">
        <f t="shared" si="10"/>
        <v>8.4389999999999997E-4</v>
      </c>
      <c r="D92" s="145">
        <f t="shared" si="12"/>
        <v>3.2119025000000009E-2</v>
      </c>
      <c r="E92" s="146">
        <f t="shared" si="11"/>
        <v>6.9160000000000003E-3</v>
      </c>
      <c r="F92" s="146">
        <f t="shared" si="13"/>
        <v>0.18892619999999999</v>
      </c>
    </row>
    <row r="93" spans="2:17" x14ac:dyDescent="0.2">
      <c r="B93" s="81"/>
      <c r="C93" s="82"/>
      <c r="D93" s="178">
        <f>(D92*1)/(0.082*304)</f>
        <v>1.2884717987804882E-3</v>
      </c>
      <c r="E93" s="82"/>
      <c r="F93" s="178">
        <f>(F92*1)/(0.082*304)</f>
        <v>7.5788751604621302E-3</v>
      </c>
      <c r="G93" s="72" t="s">
        <v>32</v>
      </c>
    </row>
    <row r="94" spans="2:17" x14ac:dyDescent="0.2">
      <c r="B94" s="81"/>
      <c r="C94" s="157"/>
      <c r="D94" s="179">
        <f>D93*32.05*1000</f>
        <v>41.295521150914645</v>
      </c>
      <c r="E94" s="157"/>
      <c r="F94" s="122">
        <f>F93*32.05*1000</f>
        <v>242.90294889281125</v>
      </c>
      <c r="G94" s="81" t="s">
        <v>23</v>
      </c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6" spans="2:17" ht="32" x14ac:dyDescent="0.4">
      <c r="B96" s="226" t="s">
        <v>88</v>
      </c>
      <c r="C96" s="226"/>
      <c r="D96" s="226"/>
      <c r="E96" s="226"/>
      <c r="F96" s="226"/>
      <c r="G96" s="226"/>
      <c r="H96" s="226"/>
      <c r="I96" s="226"/>
      <c r="J96" s="226"/>
      <c r="K96" s="226"/>
      <c r="L96" s="226"/>
      <c r="M96" s="226"/>
      <c r="N96" s="226"/>
      <c r="O96" s="226"/>
      <c r="P96" s="226"/>
      <c r="Q96" s="226"/>
    </row>
    <row r="98" spans="2:17" ht="30" x14ac:dyDescent="0.2">
      <c r="B98" s="144" t="s">
        <v>10</v>
      </c>
      <c r="C98" s="166" t="s">
        <v>56</v>
      </c>
      <c r="D98" s="166" t="s">
        <v>57</v>
      </c>
      <c r="E98" s="116" t="s">
        <v>58</v>
      </c>
      <c r="F98" s="116" t="s">
        <v>59</v>
      </c>
    </row>
    <row r="99" spans="2:17" x14ac:dyDescent="0.2">
      <c r="B99" s="149">
        <v>48</v>
      </c>
      <c r="C99" s="196">
        <f>RESUMEN!AC9</f>
        <v>58.3199999999729</v>
      </c>
      <c r="D99" s="197">
        <f>RESUMEN!X11</f>
        <v>65.068133333333336</v>
      </c>
      <c r="E99" s="198">
        <f>RESUMEN!AD9</f>
        <v>201.36738461541026</v>
      </c>
      <c r="F99" s="199">
        <f>RESUMEN!Y11</f>
        <v>134.17493333333334</v>
      </c>
    </row>
    <row r="100" spans="2:17" x14ac:dyDescent="0.2">
      <c r="B100" s="149">
        <v>49</v>
      </c>
      <c r="C100" s="180">
        <f>AVERAGE(C99,C107)</f>
        <v>75.130909090883364</v>
      </c>
      <c r="D100" s="180">
        <f>AVERAGE(D99,D102)</f>
        <v>51.616133333333337</v>
      </c>
      <c r="E100" s="200">
        <f>AVERAGE(E99,E107)</f>
        <v>209.42396257798873</v>
      </c>
      <c r="F100" s="200">
        <f>AVERAGE(F99,F102)</f>
        <v>136.86533333333335</v>
      </c>
    </row>
    <row r="101" spans="2:17" x14ac:dyDescent="0.2">
      <c r="B101" s="149">
        <v>50</v>
      </c>
      <c r="C101" s="180">
        <f>C100</f>
        <v>75.130909090883364</v>
      </c>
      <c r="D101" s="180">
        <f>D100</f>
        <v>51.616133333333337</v>
      </c>
      <c r="E101" s="200">
        <f>E100</f>
        <v>209.42396257798873</v>
      </c>
      <c r="F101" s="200">
        <f>F100</f>
        <v>136.86533333333335</v>
      </c>
    </row>
    <row r="102" spans="2:17" x14ac:dyDescent="0.2">
      <c r="B102" s="149">
        <v>51</v>
      </c>
      <c r="C102" s="180">
        <f t="shared" ref="C102:F106" si="14">C101</f>
        <v>75.130909090883364</v>
      </c>
      <c r="D102" s="201">
        <f>RESUMEN!X12</f>
        <v>38.164133333333339</v>
      </c>
      <c r="E102" s="200">
        <f t="shared" si="14"/>
        <v>209.42396257798873</v>
      </c>
      <c r="F102" s="202">
        <f>RESUMEN!Y12</f>
        <v>139.55573333333336</v>
      </c>
    </row>
    <row r="103" spans="2:17" x14ac:dyDescent="0.2">
      <c r="B103" s="149">
        <v>52</v>
      </c>
      <c r="C103" s="180">
        <f t="shared" si="14"/>
        <v>75.130909090883364</v>
      </c>
      <c r="D103" s="180">
        <f>AVERAGE(D102,D107)</f>
        <v>34.025933333333342</v>
      </c>
      <c r="E103" s="200">
        <f t="shared" si="14"/>
        <v>209.42396257798873</v>
      </c>
      <c r="F103" s="200">
        <f>AVERAGE(F102,F107)</f>
        <v>137.58353333333335</v>
      </c>
    </row>
    <row r="104" spans="2:17" x14ac:dyDescent="0.2">
      <c r="B104" s="149">
        <v>53</v>
      </c>
      <c r="C104" s="180">
        <f t="shared" si="14"/>
        <v>75.130909090883364</v>
      </c>
      <c r="D104" s="180">
        <f>D103</f>
        <v>34.025933333333342</v>
      </c>
      <c r="E104" s="200">
        <f t="shared" si="14"/>
        <v>209.42396257798873</v>
      </c>
      <c r="F104" s="200">
        <f>F103</f>
        <v>137.58353333333335</v>
      </c>
    </row>
    <row r="105" spans="2:17" x14ac:dyDescent="0.2">
      <c r="B105" s="149">
        <v>54</v>
      </c>
      <c r="C105" s="180">
        <f t="shared" si="14"/>
        <v>75.130909090883364</v>
      </c>
      <c r="D105" s="180">
        <f t="shared" si="14"/>
        <v>34.025933333333342</v>
      </c>
      <c r="E105" s="200">
        <f t="shared" si="14"/>
        <v>209.42396257798873</v>
      </c>
      <c r="F105" s="200">
        <f t="shared" si="14"/>
        <v>137.58353333333335</v>
      </c>
    </row>
    <row r="106" spans="2:17" x14ac:dyDescent="0.2">
      <c r="B106" s="149">
        <v>55</v>
      </c>
      <c r="C106" s="180">
        <f t="shared" si="14"/>
        <v>75.130909090883364</v>
      </c>
      <c r="D106" s="180">
        <f t="shared" si="14"/>
        <v>34.025933333333342</v>
      </c>
      <c r="E106" s="200">
        <f t="shared" si="14"/>
        <v>209.42396257798873</v>
      </c>
      <c r="F106" s="200">
        <f t="shared" si="14"/>
        <v>137.58353333333335</v>
      </c>
    </row>
    <row r="107" spans="2:17" x14ac:dyDescent="0.2">
      <c r="B107" s="149">
        <v>56</v>
      </c>
      <c r="C107" s="196">
        <f>RESUMEN!AC10</f>
        <v>91.94181818179382</v>
      </c>
      <c r="D107" s="201">
        <f>RESUMEN!X13</f>
        <v>29.887733333333337</v>
      </c>
      <c r="E107" s="198">
        <f>RESUMEN!AD10</f>
        <v>217.48054054056723</v>
      </c>
      <c r="F107" s="202">
        <f>RESUMEN!Y13</f>
        <v>135.61133333333333</v>
      </c>
    </row>
    <row r="108" spans="2:17" x14ac:dyDescent="0.2">
      <c r="B108" s="149">
        <v>57</v>
      </c>
      <c r="C108" s="180">
        <f>AVERAGE(C107,C120)</f>
        <v>82.962079090896907</v>
      </c>
      <c r="D108" s="180">
        <f>AVERAGE(D107,D113)</f>
        <v>28.314533333333337</v>
      </c>
      <c r="E108" s="200">
        <f>AVERAGE(E107,E120)</f>
        <v>217.40267027028383</v>
      </c>
      <c r="F108" s="200">
        <f>AVERAGE(F107,F113)</f>
        <v>133.95833333333334</v>
      </c>
    </row>
    <row r="109" spans="2:17" x14ac:dyDescent="0.2">
      <c r="B109" s="149">
        <v>58</v>
      </c>
      <c r="C109" s="180">
        <f>C108</f>
        <v>82.962079090896907</v>
      </c>
      <c r="D109" s="180">
        <f>D108</f>
        <v>28.314533333333337</v>
      </c>
      <c r="E109" s="200">
        <f>E108</f>
        <v>217.40267027028383</v>
      </c>
      <c r="F109" s="200">
        <f>F108</f>
        <v>133.95833333333334</v>
      </c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</row>
    <row r="110" spans="2:17" x14ac:dyDescent="0.2">
      <c r="B110" s="149">
        <v>59</v>
      </c>
      <c r="C110" s="180">
        <f t="shared" ref="C110:E119" si="15">C109</f>
        <v>82.962079090896907</v>
      </c>
      <c r="D110" s="180">
        <f t="shared" ref="D110:F112" si="16">D109</f>
        <v>28.314533333333337</v>
      </c>
      <c r="E110" s="200">
        <f t="shared" si="15"/>
        <v>217.40267027028383</v>
      </c>
      <c r="F110" s="200">
        <f t="shared" si="16"/>
        <v>133.95833333333334</v>
      </c>
      <c r="G110" s="128"/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</row>
    <row r="111" spans="2:17" x14ac:dyDescent="0.2">
      <c r="B111" s="149">
        <v>60</v>
      </c>
      <c r="C111" s="180">
        <f t="shared" si="15"/>
        <v>82.962079090896907</v>
      </c>
      <c r="D111" s="180">
        <f t="shared" si="16"/>
        <v>28.314533333333337</v>
      </c>
      <c r="E111" s="200">
        <f t="shared" si="15"/>
        <v>217.40267027028383</v>
      </c>
      <c r="F111" s="200">
        <f t="shared" si="16"/>
        <v>133.95833333333334</v>
      </c>
      <c r="G111" s="128"/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</row>
    <row r="112" spans="2:17" x14ac:dyDescent="0.2">
      <c r="B112" s="149">
        <v>61</v>
      </c>
      <c r="C112" s="180">
        <f t="shared" si="15"/>
        <v>82.962079090896907</v>
      </c>
      <c r="D112" s="180">
        <f t="shared" si="16"/>
        <v>28.314533333333337</v>
      </c>
      <c r="E112" s="200">
        <f t="shared" si="15"/>
        <v>217.40267027028383</v>
      </c>
      <c r="F112" s="200">
        <f t="shared" si="16"/>
        <v>133.95833333333334</v>
      </c>
      <c r="G112" s="128"/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</row>
    <row r="113" spans="2:17" x14ac:dyDescent="0.2">
      <c r="B113" s="149">
        <v>62</v>
      </c>
      <c r="C113" s="180">
        <f t="shared" si="15"/>
        <v>82.962079090896907</v>
      </c>
      <c r="D113" s="159">
        <f>RESUMEN!X14</f>
        <v>26.741333333333337</v>
      </c>
      <c r="E113" s="200">
        <f t="shared" si="15"/>
        <v>217.40267027028383</v>
      </c>
      <c r="F113" s="188">
        <f>RESUMEN!Y14</f>
        <v>132.30533333333335</v>
      </c>
      <c r="G113" s="128"/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</row>
    <row r="114" spans="2:17" x14ac:dyDescent="0.2">
      <c r="B114" s="149">
        <v>63</v>
      </c>
      <c r="C114" s="180">
        <f t="shared" si="15"/>
        <v>82.962079090896907</v>
      </c>
      <c r="D114" s="180">
        <f>AVERAGE(D113,D120)</f>
        <v>28.884533333333337</v>
      </c>
      <c r="E114" s="200">
        <f t="shared" si="15"/>
        <v>217.40267027028383</v>
      </c>
      <c r="F114" s="200">
        <f>AVERAGE(F113,F120)</f>
        <v>131.25653333333335</v>
      </c>
      <c r="G114" s="128"/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</row>
    <row r="115" spans="2:17" x14ac:dyDescent="0.2">
      <c r="B115" s="149">
        <v>64</v>
      </c>
      <c r="C115" s="180">
        <f t="shared" si="15"/>
        <v>82.962079090896907</v>
      </c>
      <c r="D115" s="180">
        <f>D114</f>
        <v>28.884533333333337</v>
      </c>
      <c r="E115" s="200">
        <f t="shared" si="15"/>
        <v>217.40267027028383</v>
      </c>
      <c r="F115" s="200">
        <f>F114</f>
        <v>131.25653333333335</v>
      </c>
      <c r="G115" s="128"/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</row>
    <row r="116" spans="2:17" x14ac:dyDescent="0.2">
      <c r="B116" s="149">
        <v>65</v>
      </c>
      <c r="C116" s="180">
        <f t="shared" si="15"/>
        <v>82.962079090896907</v>
      </c>
      <c r="D116" s="180">
        <f t="shared" ref="D116:F119" si="17">D115</f>
        <v>28.884533333333337</v>
      </c>
      <c r="E116" s="200">
        <f t="shared" si="15"/>
        <v>217.40267027028383</v>
      </c>
      <c r="F116" s="200">
        <f t="shared" si="17"/>
        <v>131.25653333333335</v>
      </c>
      <c r="G116" s="128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</row>
    <row r="117" spans="2:17" x14ac:dyDescent="0.2">
      <c r="B117" s="149">
        <v>66</v>
      </c>
      <c r="C117" s="180">
        <f t="shared" si="15"/>
        <v>82.962079090896907</v>
      </c>
      <c r="D117" s="180">
        <f t="shared" si="17"/>
        <v>28.884533333333337</v>
      </c>
      <c r="E117" s="200">
        <f t="shared" si="15"/>
        <v>217.40267027028383</v>
      </c>
      <c r="F117" s="200">
        <f t="shared" si="17"/>
        <v>131.25653333333335</v>
      </c>
      <c r="G117" s="128"/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</row>
    <row r="118" spans="2:17" x14ac:dyDescent="0.2">
      <c r="B118" s="149">
        <v>67</v>
      </c>
      <c r="C118" s="180">
        <f t="shared" si="15"/>
        <v>82.962079090896907</v>
      </c>
      <c r="D118" s="180">
        <f t="shared" si="17"/>
        <v>28.884533333333337</v>
      </c>
      <c r="E118" s="200">
        <f t="shared" si="15"/>
        <v>217.40267027028383</v>
      </c>
      <c r="F118" s="200">
        <f t="shared" si="17"/>
        <v>131.25653333333335</v>
      </c>
      <c r="G118" s="128"/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</row>
    <row r="119" spans="2:17" x14ac:dyDescent="0.2">
      <c r="B119" s="149">
        <v>68</v>
      </c>
      <c r="C119" s="180">
        <f t="shared" si="15"/>
        <v>82.962079090896907</v>
      </c>
      <c r="D119" s="180">
        <f t="shared" si="17"/>
        <v>28.884533333333337</v>
      </c>
      <c r="E119" s="200">
        <f t="shared" si="15"/>
        <v>217.40267027028383</v>
      </c>
      <c r="F119" s="200">
        <f t="shared" si="17"/>
        <v>131.25653333333335</v>
      </c>
      <c r="G119" s="128"/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</row>
    <row r="120" spans="2:17" x14ac:dyDescent="0.2">
      <c r="B120" s="149">
        <v>69</v>
      </c>
      <c r="C120" s="159">
        <f>RESUMEN!AC11</f>
        <v>73.982339999999994</v>
      </c>
      <c r="D120" s="159">
        <f>RESUMEN!X15</f>
        <v>31.027733333333337</v>
      </c>
      <c r="E120" s="188">
        <f>RESUMEN!AD11</f>
        <v>217.32480000000044</v>
      </c>
      <c r="F120" s="188">
        <f>RESUMEN!Y15</f>
        <v>130.20773333333335</v>
      </c>
      <c r="G120" s="128"/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</row>
    <row r="121" spans="2:17" x14ac:dyDescent="0.2">
      <c r="B121" s="149">
        <v>70</v>
      </c>
      <c r="C121" s="189">
        <f>C120</f>
        <v>73.982339999999994</v>
      </c>
      <c r="D121" s="189">
        <f>D120</f>
        <v>31.027733333333337</v>
      </c>
      <c r="E121" s="190">
        <f>AVERAGE(E120,RESUMEN!AD12)</f>
        <v>211.24578461537072</v>
      </c>
      <c r="F121" s="190">
        <f>AVERAGE(F120,RESUMEN!Y16)</f>
        <v>133.34273333333334</v>
      </c>
      <c r="G121" s="128"/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</row>
    <row r="122" spans="2:17" x14ac:dyDescent="0.2"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</row>
    <row r="123" spans="2:17" ht="45" x14ac:dyDescent="0.2">
      <c r="B123" s="144" t="s">
        <v>10</v>
      </c>
      <c r="C123" s="166" t="s">
        <v>60</v>
      </c>
      <c r="D123" s="166" t="s">
        <v>63</v>
      </c>
      <c r="E123" s="116" t="s">
        <v>62</v>
      </c>
      <c r="F123" s="116" t="s">
        <v>61</v>
      </c>
    </row>
    <row r="124" spans="2:17" x14ac:dyDescent="0.2">
      <c r="B124" s="144">
        <v>48</v>
      </c>
      <c r="C124" s="126">
        <f>C99*3*32.1/96.1</f>
        <v>58.441373569171596</v>
      </c>
      <c r="D124" s="126">
        <f>D99*3</f>
        <v>195.20440000000002</v>
      </c>
      <c r="E124" s="191">
        <f>E99*3*32.1/96.1</f>
        <v>201.78646345956307</v>
      </c>
      <c r="F124" s="191">
        <f>F99*3</f>
        <v>402.52480000000003</v>
      </c>
    </row>
    <row r="125" spans="2:17" x14ac:dyDescent="0.2">
      <c r="B125" s="149">
        <v>70</v>
      </c>
      <c r="C125" s="126">
        <f>C121*3*32.1/96.1</f>
        <v>74.136309490114471</v>
      </c>
      <c r="D125" s="126">
        <f>D121*3</f>
        <v>93.083200000000005</v>
      </c>
      <c r="E125" s="191">
        <f>E121*3*32.1/96.1</f>
        <v>211.68542204433095</v>
      </c>
      <c r="F125" s="191">
        <f>F121*3</f>
        <v>400.02820000000003</v>
      </c>
    </row>
    <row r="126" spans="2:17" x14ac:dyDescent="0.2">
      <c r="B126" s="158"/>
      <c r="C126" s="179">
        <f>C125-C124</f>
        <v>15.694935920942875</v>
      </c>
      <c r="D126" s="179">
        <f>D125-D124</f>
        <v>-102.12120000000002</v>
      </c>
      <c r="E126" s="122">
        <f>E125-E124</f>
        <v>9.8989585847678825</v>
      </c>
      <c r="F126" s="122">
        <f>F125-F124</f>
        <v>-2.4966000000000008</v>
      </c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</row>
    <row r="129" spans="2:17" ht="32" x14ac:dyDescent="0.4">
      <c r="B129" s="227" t="s">
        <v>33</v>
      </c>
      <c r="C129" s="227"/>
      <c r="D129" s="227"/>
      <c r="E129" s="227"/>
      <c r="F129" s="227"/>
      <c r="G129" s="227"/>
      <c r="H129" s="227"/>
      <c r="I129" s="227"/>
      <c r="J129" s="227"/>
      <c r="K129" s="227"/>
      <c r="L129" s="227"/>
      <c r="M129" s="227"/>
      <c r="N129" s="227"/>
      <c r="O129" s="227"/>
      <c r="P129" s="227"/>
      <c r="Q129" s="227"/>
    </row>
    <row r="131" spans="2:17" ht="45" x14ac:dyDescent="0.2">
      <c r="B131" s="144" t="s">
        <v>10</v>
      </c>
      <c r="C131" s="115" t="s">
        <v>60</v>
      </c>
      <c r="D131" s="115" t="s">
        <v>63</v>
      </c>
      <c r="E131" s="116" t="s">
        <v>62</v>
      </c>
      <c r="F131" s="116" t="s">
        <v>61</v>
      </c>
    </row>
    <row r="132" spans="2:17" x14ac:dyDescent="0.2">
      <c r="B132" s="149">
        <v>48</v>
      </c>
      <c r="C132" s="145">
        <f t="shared" ref="C132:C154" si="18">C99*$G$9*32.1/96.1</f>
        <v>1.5973975442240236</v>
      </c>
      <c r="D132" s="145">
        <f t="shared" ref="D132:D154" si="19">D99*$G$9</f>
        <v>5.3355869333333334</v>
      </c>
      <c r="E132" s="146">
        <f t="shared" ref="E132:E154" si="20">E99*$G$9*32.1/96.1</f>
        <v>5.5154966678947233</v>
      </c>
      <c r="F132" s="146">
        <f t="shared" ref="F132:F154" si="21">F99*$G$9</f>
        <v>11.002344533333334</v>
      </c>
    </row>
    <row r="133" spans="2:17" x14ac:dyDescent="0.2">
      <c r="B133" s="149">
        <v>49</v>
      </c>
      <c r="C133" s="145">
        <f t="shared" si="18"/>
        <v>2.0578520177838002</v>
      </c>
      <c r="D133" s="145">
        <f t="shared" si="19"/>
        <v>4.2325229333333336</v>
      </c>
      <c r="E133" s="146">
        <f t="shared" si="20"/>
        <v>5.7361680988322785</v>
      </c>
      <c r="F133" s="146">
        <f t="shared" si="21"/>
        <v>11.222957333333335</v>
      </c>
    </row>
    <row r="134" spans="2:17" x14ac:dyDescent="0.2">
      <c r="B134" s="149">
        <v>50</v>
      </c>
      <c r="C134" s="145">
        <f t="shared" si="18"/>
        <v>2.0578520177838002</v>
      </c>
      <c r="D134" s="145">
        <f t="shared" si="19"/>
        <v>4.2325229333333336</v>
      </c>
      <c r="E134" s="146">
        <f t="shared" si="20"/>
        <v>5.7361680988322785</v>
      </c>
      <c r="F134" s="146">
        <f t="shared" si="21"/>
        <v>11.222957333333335</v>
      </c>
    </row>
    <row r="135" spans="2:17" x14ac:dyDescent="0.2">
      <c r="B135" s="149">
        <v>51</v>
      </c>
      <c r="C135" s="145">
        <f t="shared" si="18"/>
        <v>2.0578520177838002</v>
      </c>
      <c r="D135" s="145">
        <f t="shared" si="19"/>
        <v>3.1294589333333338</v>
      </c>
      <c r="E135" s="146">
        <f t="shared" si="20"/>
        <v>5.7361680988322785</v>
      </c>
      <c r="F135" s="146">
        <f t="shared" si="21"/>
        <v>11.443570133333337</v>
      </c>
    </row>
    <row r="136" spans="2:17" x14ac:dyDescent="0.2">
      <c r="B136" s="149">
        <v>52</v>
      </c>
      <c r="C136" s="145">
        <f t="shared" si="18"/>
        <v>2.0578520177838002</v>
      </c>
      <c r="D136" s="145">
        <f t="shared" si="19"/>
        <v>2.7901265333333343</v>
      </c>
      <c r="E136" s="146">
        <f t="shared" si="20"/>
        <v>5.7361680988322785</v>
      </c>
      <c r="F136" s="146">
        <f t="shared" si="21"/>
        <v>11.281849733333335</v>
      </c>
    </row>
    <row r="137" spans="2:17" x14ac:dyDescent="0.2">
      <c r="B137" s="149">
        <v>53</v>
      </c>
      <c r="C137" s="145">
        <f t="shared" si="18"/>
        <v>2.0578520177838002</v>
      </c>
      <c r="D137" s="145">
        <f t="shared" si="19"/>
        <v>2.7901265333333343</v>
      </c>
      <c r="E137" s="146">
        <f t="shared" si="20"/>
        <v>5.7361680988322785</v>
      </c>
      <c r="F137" s="146">
        <f t="shared" si="21"/>
        <v>11.281849733333335</v>
      </c>
    </row>
    <row r="138" spans="2:17" x14ac:dyDescent="0.2">
      <c r="B138" s="149">
        <v>54</v>
      </c>
      <c r="C138" s="145">
        <f t="shared" si="18"/>
        <v>2.0578520177838002</v>
      </c>
      <c r="D138" s="145">
        <f t="shared" si="19"/>
        <v>2.7901265333333343</v>
      </c>
      <c r="E138" s="146">
        <f t="shared" si="20"/>
        <v>5.7361680988322785</v>
      </c>
      <c r="F138" s="146">
        <f t="shared" si="21"/>
        <v>11.281849733333335</v>
      </c>
    </row>
    <row r="139" spans="2:17" x14ac:dyDescent="0.2">
      <c r="B139" s="149">
        <v>55</v>
      </c>
      <c r="C139" s="145">
        <f t="shared" si="18"/>
        <v>2.0578520177838002</v>
      </c>
      <c r="D139" s="145">
        <f t="shared" si="19"/>
        <v>2.7901265333333343</v>
      </c>
      <c r="E139" s="146">
        <f t="shared" si="20"/>
        <v>5.7361680988322785</v>
      </c>
      <c r="F139" s="146">
        <f t="shared" si="21"/>
        <v>11.281849733333335</v>
      </c>
    </row>
    <row r="140" spans="2:17" x14ac:dyDescent="0.2">
      <c r="B140" s="149">
        <v>56</v>
      </c>
      <c r="C140" s="145">
        <f t="shared" si="18"/>
        <v>2.5183064913435769</v>
      </c>
      <c r="D140" s="145">
        <f t="shared" si="19"/>
        <v>2.4507941333333338</v>
      </c>
      <c r="E140" s="146">
        <f t="shared" si="20"/>
        <v>5.9568395297698338</v>
      </c>
      <c r="F140" s="146">
        <f t="shared" si="21"/>
        <v>11.120129333333335</v>
      </c>
    </row>
    <row r="141" spans="2:17" x14ac:dyDescent="0.2">
      <c r="B141" s="149">
        <v>57</v>
      </c>
      <c r="C141" s="145">
        <f t="shared" si="18"/>
        <v>2.2723494753700195</v>
      </c>
      <c r="D141" s="145">
        <f t="shared" si="19"/>
        <v>2.3217917333333338</v>
      </c>
      <c r="E141" s="146">
        <f t="shared" si="20"/>
        <v>5.9547066460503775</v>
      </c>
      <c r="F141" s="146">
        <f t="shared" si="21"/>
        <v>10.984583333333335</v>
      </c>
    </row>
    <row r="142" spans="2:17" x14ac:dyDescent="0.2">
      <c r="B142" s="149">
        <v>58</v>
      </c>
      <c r="C142" s="145">
        <f t="shared" si="18"/>
        <v>2.2723494753700195</v>
      </c>
      <c r="D142" s="145">
        <f t="shared" si="19"/>
        <v>2.3217917333333338</v>
      </c>
      <c r="E142" s="146">
        <f t="shared" si="20"/>
        <v>5.9547066460503775</v>
      </c>
      <c r="F142" s="146">
        <f t="shared" si="21"/>
        <v>10.984583333333335</v>
      </c>
    </row>
    <row r="143" spans="2:17" x14ac:dyDescent="0.2">
      <c r="B143" s="149">
        <v>59</v>
      </c>
      <c r="C143" s="145">
        <f t="shared" si="18"/>
        <v>2.2723494753700195</v>
      </c>
      <c r="D143" s="145">
        <f t="shared" si="19"/>
        <v>2.3217917333333338</v>
      </c>
      <c r="E143" s="146">
        <f t="shared" si="20"/>
        <v>5.9547066460503775</v>
      </c>
      <c r="F143" s="146">
        <f t="shared" si="21"/>
        <v>10.984583333333335</v>
      </c>
    </row>
    <row r="144" spans="2:17" x14ac:dyDescent="0.2">
      <c r="B144" s="149">
        <v>60</v>
      </c>
      <c r="C144" s="145">
        <f t="shared" si="18"/>
        <v>2.2723494753700195</v>
      </c>
      <c r="D144" s="145">
        <f t="shared" si="19"/>
        <v>2.3217917333333338</v>
      </c>
      <c r="E144" s="146">
        <f t="shared" si="20"/>
        <v>5.9547066460503775</v>
      </c>
      <c r="F144" s="146">
        <f t="shared" si="21"/>
        <v>10.984583333333335</v>
      </c>
    </row>
    <row r="145" spans="2:6" x14ac:dyDescent="0.2">
      <c r="B145" s="149">
        <v>61</v>
      </c>
      <c r="C145" s="145">
        <f t="shared" si="18"/>
        <v>2.2723494753700195</v>
      </c>
      <c r="D145" s="145">
        <f t="shared" si="19"/>
        <v>2.3217917333333338</v>
      </c>
      <c r="E145" s="146">
        <f t="shared" si="20"/>
        <v>5.9547066460503775</v>
      </c>
      <c r="F145" s="146">
        <f t="shared" si="21"/>
        <v>10.984583333333335</v>
      </c>
    </row>
    <row r="146" spans="2:6" x14ac:dyDescent="0.2">
      <c r="B146" s="149">
        <v>62</v>
      </c>
      <c r="C146" s="145">
        <f t="shared" si="18"/>
        <v>2.2723494753700195</v>
      </c>
      <c r="D146" s="145">
        <f t="shared" si="19"/>
        <v>2.1927893333333337</v>
      </c>
      <c r="E146" s="146">
        <f t="shared" si="20"/>
        <v>5.9547066460503775</v>
      </c>
      <c r="F146" s="146">
        <f t="shared" si="21"/>
        <v>10.849037333333335</v>
      </c>
    </row>
    <row r="147" spans="2:6" x14ac:dyDescent="0.2">
      <c r="B147" s="149">
        <v>63</v>
      </c>
      <c r="C147" s="145">
        <f t="shared" si="18"/>
        <v>2.2723494753700195</v>
      </c>
      <c r="D147" s="145">
        <f t="shared" si="19"/>
        <v>2.3685317333333336</v>
      </c>
      <c r="E147" s="146">
        <f t="shared" si="20"/>
        <v>5.9547066460503775</v>
      </c>
      <c r="F147" s="146">
        <f t="shared" si="21"/>
        <v>10.763035733333336</v>
      </c>
    </row>
    <row r="148" spans="2:6" x14ac:dyDescent="0.2">
      <c r="B148" s="149">
        <v>64</v>
      </c>
      <c r="C148" s="145">
        <f t="shared" si="18"/>
        <v>2.2723494753700195</v>
      </c>
      <c r="D148" s="145">
        <f t="shared" si="19"/>
        <v>2.3685317333333336</v>
      </c>
      <c r="E148" s="146">
        <f t="shared" si="20"/>
        <v>5.9547066460503775</v>
      </c>
      <c r="F148" s="146">
        <f t="shared" si="21"/>
        <v>10.763035733333336</v>
      </c>
    </row>
    <row r="149" spans="2:6" x14ac:dyDescent="0.2">
      <c r="B149" s="149">
        <v>65</v>
      </c>
      <c r="C149" s="145">
        <f t="shared" si="18"/>
        <v>2.2723494753700195</v>
      </c>
      <c r="D149" s="145">
        <f t="shared" si="19"/>
        <v>2.3685317333333336</v>
      </c>
      <c r="E149" s="146">
        <f t="shared" si="20"/>
        <v>5.9547066460503775</v>
      </c>
      <c r="F149" s="146">
        <f t="shared" si="21"/>
        <v>10.763035733333336</v>
      </c>
    </row>
    <row r="150" spans="2:6" x14ac:dyDescent="0.2">
      <c r="B150" s="149">
        <v>66</v>
      </c>
      <c r="C150" s="145">
        <f t="shared" si="18"/>
        <v>2.2723494753700195</v>
      </c>
      <c r="D150" s="145">
        <f t="shared" si="19"/>
        <v>2.3685317333333336</v>
      </c>
      <c r="E150" s="146">
        <f t="shared" si="20"/>
        <v>5.9547066460503775</v>
      </c>
      <c r="F150" s="146">
        <f t="shared" si="21"/>
        <v>10.763035733333336</v>
      </c>
    </row>
    <row r="151" spans="2:6" x14ac:dyDescent="0.2">
      <c r="B151" s="149">
        <v>67</v>
      </c>
      <c r="C151" s="145">
        <f t="shared" si="18"/>
        <v>2.2723494753700195</v>
      </c>
      <c r="D151" s="145">
        <f t="shared" si="19"/>
        <v>2.3685317333333336</v>
      </c>
      <c r="E151" s="146">
        <f t="shared" si="20"/>
        <v>5.9547066460503775</v>
      </c>
      <c r="F151" s="146">
        <f t="shared" si="21"/>
        <v>10.763035733333336</v>
      </c>
    </row>
    <row r="152" spans="2:6" x14ac:dyDescent="0.2">
      <c r="B152" s="149">
        <v>68</v>
      </c>
      <c r="C152" s="145">
        <f t="shared" si="18"/>
        <v>2.2723494753700195</v>
      </c>
      <c r="D152" s="145">
        <f t="shared" si="19"/>
        <v>2.3685317333333336</v>
      </c>
      <c r="E152" s="146">
        <f t="shared" si="20"/>
        <v>5.9547066460503775</v>
      </c>
      <c r="F152" s="146">
        <f t="shared" si="21"/>
        <v>10.763035733333336</v>
      </c>
    </row>
    <row r="153" spans="2:6" x14ac:dyDescent="0.2">
      <c r="B153" s="149">
        <v>69</v>
      </c>
      <c r="C153" s="145">
        <f t="shared" si="18"/>
        <v>2.0263924593964622</v>
      </c>
      <c r="D153" s="145">
        <f t="shared" si="19"/>
        <v>2.5442741333333339</v>
      </c>
      <c r="E153" s="146">
        <f t="shared" si="20"/>
        <v>5.9525737623309185</v>
      </c>
      <c r="F153" s="146">
        <f t="shared" si="21"/>
        <v>10.677034133333335</v>
      </c>
    </row>
    <row r="154" spans="2:6" x14ac:dyDescent="0.2">
      <c r="B154" s="149">
        <v>70</v>
      </c>
      <c r="C154" s="145">
        <f t="shared" si="18"/>
        <v>2.0263924593964622</v>
      </c>
      <c r="D154" s="145">
        <f t="shared" si="19"/>
        <v>2.5442741333333339</v>
      </c>
      <c r="E154" s="146">
        <f t="shared" si="20"/>
        <v>5.7860682025450458</v>
      </c>
      <c r="F154" s="146">
        <f t="shared" si="21"/>
        <v>10.934104133333335</v>
      </c>
    </row>
    <row r="155" spans="2:6" x14ac:dyDescent="0.2">
      <c r="B155" s="161"/>
      <c r="C155" s="179">
        <f>SUM(C132:C154)</f>
        <v>49.841646783287374</v>
      </c>
      <c r="D155" s="179">
        <f>SUM(D132:D154)</f>
        <v>63.642878666666689</v>
      </c>
      <c r="E155" s="122">
        <f>SUM(E132:E154)</f>
        <v>134.82063460697105</v>
      </c>
      <c r="F155" s="122">
        <f>SUM(F132:F154)</f>
        <v>253.10066426666677</v>
      </c>
    </row>
    <row r="161" spans="4:14" ht="60" x14ac:dyDescent="0.2">
      <c r="D161" s="161"/>
      <c r="E161" s="133" t="s">
        <v>25</v>
      </c>
      <c r="F161" s="134" t="s">
        <v>26</v>
      </c>
      <c r="G161" s="135" t="s">
        <v>27</v>
      </c>
      <c r="H161" s="135" t="s">
        <v>28</v>
      </c>
      <c r="I161" s="116" t="s">
        <v>29</v>
      </c>
      <c r="J161" s="116" t="s">
        <v>30</v>
      </c>
      <c r="K161" s="144" t="s">
        <v>31</v>
      </c>
      <c r="M161" s="144" t="s">
        <v>66</v>
      </c>
      <c r="N161" s="144" t="s">
        <v>42</v>
      </c>
    </row>
    <row r="162" spans="4:14" x14ac:dyDescent="0.2">
      <c r="D162" s="162" t="s">
        <v>11</v>
      </c>
      <c r="E162" s="136">
        <f>D40</f>
        <v>689.59217481789779</v>
      </c>
      <c r="F162" s="137">
        <f>D94</f>
        <v>41.295521150914645</v>
      </c>
      <c r="G162" s="138">
        <f>C126</f>
        <v>15.694935920942875</v>
      </c>
      <c r="H162" s="138">
        <f>D126</f>
        <v>-102.12120000000002</v>
      </c>
      <c r="I162" s="139">
        <f>C155</f>
        <v>49.841646783287374</v>
      </c>
      <c r="J162" s="140">
        <f>D155</f>
        <v>63.642878666666689</v>
      </c>
      <c r="K162" s="141">
        <f>SUM(F162:J162)</f>
        <v>68.353782521811567</v>
      </c>
      <c r="L162" s="163">
        <f>K162/E162</f>
        <v>9.9122039109364762E-2</v>
      </c>
      <c r="M162" s="164">
        <f>E162-K162</f>
        <v>621.2383922960862</v>
      </c>
      <c r="N162" s="164">
        <f>M162*1.56</f>
        <v>969.13189198189446</v>
      </c>
    </row>
    <row r="163" spans="4:14" x14ac:dyDescent="0.2">
      <c r="D163" s="162" t="s">
        <v>12</v>
      </c>
      <c r="E163" s="136">
        <f>F40</f>
        <v>689.59217481789779</v>
      </c>
      <c r="F163" s="137">
        <f>F94</f>
        <v>242.90294889281125</v>
      </c>
      <c r="G163" s="138">
        <f>E126</f>
        <v>9.8989585847678825</v>
      </c>
      <c r="H163" s="138">
        <f>F126</f>
        <v>-2.4966000000000008</v>
      </c>
      <c r="I163" s="139">
        <f>E155</f>
        <v>134.82063460697105</v>
      </c>
      <c r="J163" s="142">
        <f>F155</f>
        <v>253.10066426666677</v>
      </c>
      <c r="K163" s="141">
        <f>SUM(F163:J163)</f>
        <v>638.2266063512169</v>
      </c>
      <c r="L163" s="163">
        <f>K163/E163</f>
        <v>0.92551312160662913</v>
      </c>
      <c r="N163" s="164"/>
    </row>
    <row r="166" spans="4:14" x14ac:dyDescent="0.2">
      <c r="D166" s="72" t="s">
        <v>87</v>
      </c>
    </row>
    <row r="167" spans="4:14" x14ac:dyDescent="0.2">
      <c r="D167" s="162" t="s">
        <v>67</v>
      </c>
      <c r="E167" s="136">
        <f>E162/23</f>
        <v>29.982268470343381</v>
      </c>
      <c r="F167" s="137">
        <f t="shared" ref="F167:J170" si="22">F162/23</f>
        <v>1.7954574413441151</v>
      </c>
      <c r="G167" s="248">
        <f t="shared" si="22"/>
        <v>0.68238851830186409</v>
      </c>
      <c r="H167" s="248">
        <f t="shared" si="22"/>
        <v>-4.4400521739130445</v>
      </c>
      <c r="I167" s="140">
        <f t="shared" si="22"/>
        <v>2.1670281210124944</v>
      </c>
      <c r="J167" s="140">
        <f t="shared" si="22"/>
        <v>2.7670816811594214</v>
      </c>
      <c r="K167" s="141">
        <f>SUM(F167:J167)</f>
        <v>2.9719035879048503</v>
      </c>
      <c r="L167" s="163">
        <f>K167/E167</f>
        <v>9.9122039109364748E-2</v>
      </c>
      <c r="M167" s="165">
        <f>E167-K167</f>
        <v>27.01036488243853</v>
      </c>
      <c r="N167" s="164">
        <f>M167*1.56</f>
        <v>42.13616921660411</v>
      </c>
    </row>
    <row r="168" spans="4:14" x14ac:dyDescent="0.2">
      <c r="D168" s="162" t="s">
        <v>68</v>
      </c>
      <c r="E168" s="136">
        <f>E163/23</f>
        <v>29.982268470343381</v>
      </c>
      <c r="F168" s="137">
        <f t="shared" ref="F168:J168" si="23">F163/23</f>
        <v>10.560997777948316</v>
      </c>
      <c r="G168" s="138">
        <f t="shared" si="23"/>
        <v>0.43038950368556012</v>
      </c>
      <c r="H168" s="138">
        <f t="shared" si="23"/>
        <v>-0.10854782608695655</v>
      </c>
      <c r="I168" s="139">
        <f t="shared" si="23"/>
        <v>5.86176672204222</v>
      </c>
      <c r="J168" s="142">
        <f t="shared" si="23"/>
        <v>11.004376707246381</v>
      </c>
      <c r="K168" s="141">
        <f>SUM(F168:J168)</f>
        <v>27.74898288483552</v>
      </c>
      <c r="L168" s="163">
        <f>K168/E168</f>
        <v>0.92551312160662924</v>
      </c>
    </row>
    <row r="170" spans="4:14" x14ac:dyDescent="0.2">
      <c r="F170" s="246">
        <v>1.7954574413441151</v>
      </c>
      <c r="G170" s="247">
        <v>0.68238851830186409</v>
      </c>
      <c r="H170" s="247">
        <v>4.4400521739130401</v>
      </c>
      <c r="I170" s="142">
        <v>2.1670281210124944</v>
      </c>
      <c r="J170" s="142">
        <v>2.7670816811594214</v>
      </c>
      <c r="K170" s="141">
        <f>SUM(F170:J170)</f>
        <v>11.852007935730935</v>
      </c>
    </row>
    <row r="171" spans="4:14" x14ac:dyDescent="0.2">
      <c r="F171" s="242">
        <f>F170/$K$170</f>
        <v>0.15148972655774601</v>
      </c>
      <c r="G171" s="243">
        <f t="shared" ref="G171:J171" si="24">G170/$K$170</f>
        <v>5.7575772983127008E-2</v>
      </c>
      <c r="H171" s="243">
        <f t="shared" si="24"/>
        <v>0.3746244685280169</v>
      </c>
      <c r="I171" s="244">
        <f t="shared" si="24"/>
        <v>0.18284058977714901</v>
      </c>
      <c r="J171" s="244">
        <f t="shared" si="24"/>
        <v>0.23346944215396109</v>
      </c>
      <c r="K171" s="245">
        <f>SUM(F171:J171)</f>
        <v>1</v>
      </c>
    </row>
  </sheetData>
  <mergeCells count="4">
    <mergeCell ref="B14:Q14"/>
    <mergeCell ref="B42:Q42"/>
    <mergeCell ref="B96:Q96"/>
    <mergeCell ref="B129:Q129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00748-60B6-4F4C-BD0B-05AF34A4A785}">
  <sheetPr>
    <tabColor rgb="FF7FCAF1"/>
  </sheetPr>
  <dimension ref="B2:Q166"/>
  <sheetViews>
    <sheetView topLeftCell="E155" zoomScale="249" zoomScaleNormal="249" workbookViewId="0">
      <selection activeCell="F163" sqref="F163:J163"/>
    </sheetView>
  </sheetViews>
  <sheetFormatPr baseColWidth="10" defaultRowHeight="14" x14ac:dyDescent="0.2"/>
  <cols>
    <col min="1" max="5" width="10.83203125" style="72"/>
    <col min="6" max="6" width="12" style="72" customWidth="1"/>
    <col min="7" max="16384" width="10.83203125" style="72"/>
  </cols>
  <sheetData>
    <row r="2" spans="2:17" x14ac:dyDescent="0.2">
      <c r="B2" s="1"/>
      <c r="C2" s="1"/>
    </row>
    <row r="3" spans="2:17" x14ac:dyDescent="0.2">
      <c r="B3" s="1"/>
      <c r="C3" s="1"/>
      <c r="F3" s="1"/>
    </row>
    <row r="4" spans="2:17" x14ac:dyDescent="0.2">
      <c r="F4" s="1" t="s">
        <v>17</v>
      </c>
    </row>
    <row r="5" spans="2:17" x14ac:dyDescent="0.2">
      <c r="B5" s="1"/>
      <c r="C5" s="1"/>
      <c r="F5" s="1"/>
    </row>
    <row r="6" spans="2:17" ht="15" thickBot="1" x14ac:dyDescent="0.25">
      <c r="B6" s="1"/>
      <c r="C6" s="1"/>
    </row>
    <row r="7" spans="2:17" ht="15" thickBot="1" x14ac:dyDescent="0.25">
      <c r="C7" s="106"/>
      <c r="F7" s="107" t="s">
        <v>18</v>
      </c>
    </row>
    <row r="8" spans="2:17" x14ac:dyDescent="0.2">
      <c r="D8" s="143"/>
      <c r="F8" s="72" t="s">
        <v>19</v>
      </c>
      <c r="G8" s="143">
        <f>G10/G9</f>
        <v>1094.6341463414635</v>
      </c>
    </row>
    <row r="9" spans="2:17" ht="15" thickBot="1" x14ac:dyDescent="0.25">
      <c r="F9" s="72" t="s">
        <v>20</v>
      </c>
      <c r="G9" s="72">
        <v>8.2000000000000003E-2</v>
      </c>
    </row>
    <row r="10" spans="2:17" ht="15" thickBot="1" x14ac:dyDescent="0.25">
      <c r="C10" s="106"/>
      <c r="D10" s="108"/>
      <c r="F10" s="109" t="s">
        <v>89</v>
      </c>
      <c r="G10" s="110">
        <v>89.76</v>
      </c>
    </row>
    <row r="11" spans="2:17" ht="15" thickBot="1" x14ac:dyDescent="0.25">
      <c r="C11" s="106"/>
      <c r="D11" s="111"/>
      <c r="F11" s="109" t="s">
        <v>21</v>
      </c>
      <c r="G11" s="112">
        <f>G10*32.1/96.1</f>
        <v>29.982268470343396</v>
      </c>
    </row>
    <row r="14" spans="2:17" ht="32" x14ac:dyDescent="0.4">
      <c r="B14" s="223" t="s">
        <v>22</v>
      </c>
      <c r="C14" s="223"/>
      <c r="D14" s="223"/>
      <c r="E14" s="223"/>
      <c r="F14" s="223"/>
      <c r="G14" s="223"/>
      <c r="H14" s="223"/>
      <c r="I14" s="223"/>
      <c r="J14" s="223"/>
      <c r="K14" s="223"/>
      <c r="L14" s="223"/>
      <c r="M14" s="223"/>
      <c r="N14" s="223"/>
      <c r="O14" s="223"/>
      <c r="P14" s="223"/>
      <c r="Q14" s="223"/>
    </row>
    <row r="16" spans="2:17" ht="30" x14ac:dyDescent="0.2">
      <c r="B16" s="144" t="s">
        <v>10</v>
      </c>
      <c r="C16" s="166" t="s">
        <v>44</v>
      </c>
      <c r="D16" s="166" t="s">
        <v>45</v>
      </c>
      <c r="E16" s="116" t="s">
        <v>46</v>
      </c>
      <c r="F16" s="116" t="s">
        <v>47</v>
      </c>
    </row>
    <row r="17" spans="2:6" x14ac:dyDescent="0.2">
      <c r="B17" s="149">
        <v>71</v>
      </c>
      <c r="C17" s="145">
        <f>$G$11</f>
        <v>29.982268470343396</v>
      </c>
      <c r="D17" s="145">
        <f>C17</f>
        <v>29.982268470343396</v>
      </c>
      <c r="E17" s="167">
        <f>$G$11</f>
        <v>29.982268470343396</v>
      </c>
      <c r="F17" s="167">
        <f>E17</f>
        <v>29.982268470343396</v>
      </c>
    </row>
    <row r="18" spans="2:6" x14ac:dyDescent="0.2">
      <c r="B18" s="149">
        <v>72</v>
      </c>
      <c r="C18" s="145">
        <f t="shared" ref="C18:C38" si="0">$G$11</f>
        <v>29.982268470343396</v>
      </c>
      <c r="D18" s="145">
        <f>D17+C18</f>
        <v>59.964536940686791</v>
      </c>
      <c r="E18" s="167">
        <f t="shared" ref="E18:E38" si="1">$G$11</f>
        <v>29.982268470343396</v>
      </c>
      <c r="F18" s="167">
        <f t="shared" ref="F18:F38" si="2">F17+E18</f>
        <v>59.964536940686791</v>
      </c>
    </row>
    <row r="19" spans="2:6" x14ac:dyDescent="0.2">
      <c r="B19" s="149">
        <v>73</v>
      </c>
      <c r="C19" s="145">
        <f t="shared" si="0"/>
        <v>29.982268470343396</v>
      </c>
      <c r="D19" s="145">
        <f t="shared" ref="D19:D38" si="3">D18+C19</f>
        <v>89.946805411030184</v>
      </c>
      <c r="E19" s="167">
        <f t="shared" si="1"/>
        <v>29.982268470343396</v>
      </c>
      <c r="F19" s="167">
        <f t="shared" si="2"/>
        <v>89.946805411030184</v>
      </c>
    </row>
    <row r="20" spans="2:6" x14ac:dyDescent="0.2">
      <c r="B20" s="149">
        <v>74</v>
      </c>
      <c r="C20" s="145">
        <f t="shared" si="0"/>
        <v>29.982268470343396</v>
      </c>
      <c r="D20" s="145">
        <f t="shared" si="3"/>
        <v>119.92907388137358</v>
      </c>
      <c r="E20" s="167">
        <f t="shared" si="1"/>
        <v>29.982268470343396</v>
      </c>
      <c r="F20" s="167">
        <f t="shared" si="2"/>
        <v>119.92907388137358</v>
      </c>
    </row>
    <row r="21" spans="2:6" x14ac:dyDescent="0.2">
      <c r="B21" s="149">
        <v>75</v>
      </c>
      <c r="C21" s="145">
        <f t="shared" si="0"/>
        <v>29.982268470343396</v>
      </c>
      <c r="D21" s="145">
        <f t="shared" si="3"/>
        <v>149.91134235171697</v>
      </c>
      <c r="E21" s="167">
        <f t="shared" si="1"/>
        <v>29.982268470343396</v>
      </c>
      <c r="F21" s="167">
        <f t="shared" si="2"/>
        <v>149.91134235171697</v>
      </c>
    </row>
    <row r="22" spans="2:6" x14ac:dyDescent="0.2">
      <c r="B22" s="149">
        <v>76</v>
      </c>
      <c r="C22" s="145">
        <f t="shared" si="0"/>
        <v>29.982268470343396</v>
      </c>
      <c r="D22" s="145">
        <f t="shared" si="3"/>
        <v>179.89361082206037</v>
      </c>
      <c r="E22" s="167">
        <f t="shared" si="1"/>
        <v>29.982268470343396</v>
      </c>
      <c r="F22" s="167">
        <f t="shared" si="2"/>
        <v>179.89361082206037</v>
      </c>
    </row>
    <row r="23" spans="2:6" x14ac:dyDescent="0.2">
      <c r="B23" s="149">
        <v>77</v>
      </c>
      <c r="C23" s="145">
        <f t="shared" si="0"/>
        <v>29.982268470343396</v>
      </c>
      <c r="D23" s="145">
        <f t="shared" si="3"/>
        <v>209.87587929240377</v>
      </c>
      <c r="E23" s="167">
        <f t="shared" si="1"/>
        <v>29.982268470343396</v>
      </c>
      <c r="F23" s="167">
        <f t="shared" si="2"/>
        <v>209.87587929240377</v>
      </c>
    </row>
    <row r="24" spans="2:6" x14ac:dyDescent="0.2">
      <c r="B24" s="149">
        <v>78</v>
      </c>
      <c r="C24" s="145">
        <f t="shared" si="0"/>
        <v>29.982268470343396</v>
      </c>
      <c r="D24" s="145">
        <f t="shared" si="3"/>
        <v>239.85814776274717</v>
      </c>
      <c r="E24" s="167">
        <f t="shared" si="1"/>
        <v>29.982268470343396</v>
      </c>
      <c r="F24" s="167">
        <f t="shared" si="2"/>
        <v>239.85814776274717</v>
      </c>
    </row>
    <row r="25" spans="2:6" x14ac:dyDescent="0.2">
      <c r="B25" s="149">
        <v>79</v>
      </c>
      <c r="C25" s="145">
        <f t="shared" si="0"/>
        <v>29.982268470343396</v>
      </c>
      <c r="D25" s="145">
        <f t="shared" si="3"/>
        <v>269.84041623309054</v>
      </c>
      <c r="E25" s="167">
        <f t="shared" si="1"/>
        <v>29.982268470343396</v>
      </c>
      <c r="F25" s="167">
        <f t="shared" si="2"/>
        <v>269.84041623309054</v>
      </c>
    </row>
    <row r="26" spans="2:6" x14ac:dyDescent="0.2">
      <c r="B26" s="149">
        <v>80</v>
      </c>
      <c r="C26" s="145">
        <f t="shared" si="0"/>
        <v>29.982268470343396</v>
      </c>
      <c r="D26" s="145">
        <f t="shared" si="3"/>
        <v>299.82268470343394</v>
      </c>
      <c r="E26" s="167">
        <f t="shared" si="1"/>
        <v>29.982268470343396</v>
      </c>
      <c r="F26" s="167">
        <f t="shared" si="2"/>
        <v>299.82268470343394</v>
      </c>
    </row>
    <row r="27" spans="2:6" x14ac:dyDescent="0.2">
      <c r="B27" s="149">
        <v>81</v>
      </c>
      <c r="C27" s="145">
        <f t="shared" si="0"/>
        <v>29.982268470343396</v>
      </c>
      <c r="D27" s="145">
        <f t="shared" si="3"/>
        <v>329.80495317377733</v>
      </c>
      <c r="E27" s="167">
        <f t="shared" si="1"/>
        <v>29.982268470343396</v>
      </c>
      <c r="F27" s="167">
        <f t="shared" si="2"/>
        <v>329.80495317377733</v>
      </c>
    </row>
    <row r="28" spans="2:6" x14ac:dyDescent="0.2">
      <c r="B28" s="149">
        <v>82</v>
      </c>
      <c r="C28" s="145">
        <f t="shared" si="0"/>
        <v>29.982268470343396</v>
      </c>
      <c r="D28" s="145">
        <f t="shared" si="3"/>
        <v>359.78722164412073</v>
      </c>
      <c r="E28" s="167">
        <f t="shared" si="1"/>
        <v>29.982268470343396</v>
      </c>
      <c r="F28" s="167">
        <f t="shared" si="2"/>
        <v>359.78722164412073</v>
      </c>
    </row>
    <row r="29" spans="2:6" x14ac:dyDescent="0.2">
      <c r="B29" s="149">
        <v>83</v>
      </c>
      <c r="C29" s="145">
        <f t="shared" si="0"/>
        <v>29.982268470343396</v>
      </c>
      <c r="D29" s="145">
        <f t="shared" si="3"/>
        <v>389.76949011446413</v>
      </c>
      <c r="E29" s="167">
        <f t="shared" si="1"/>
        <v>29.982268470343396</v>
      </c>
      <c r="F29" s="167">
        <f t="shared" si="2"/>
        <v>389.76949011446413</v>
      </c>
    </row>
    <row r="30" spans="2:6" x14ac:dyDescent="0.2">
      <c r="B30" s="149">
        <v>84</v>
      </c>
      <c r="C30" s="145">
        <f t="shared" si="0"/>
        <v>29.982268470343396</v>
      </c>
      <c r="D30" s="145">
        <f t="shared" si="3"/>
        <v>419.75175858480753</v>
      </c>
      <c r="E30" s="167">
        <f t="shared" si="1"/>
        <v>29.982268470343396</v>
      </c>
      <c r="F30" s="167">
        <f t="shared" si="2"/>
        <v>419.75175858480753</v>
      </c>
    </row>
    <row r="31" spans="2:6" x14ac:dyDescent="0.2">
      <c r="B31" s="149">
        <v>85</v>
      </c>
      <c r="C31" s="145">
        <f t="shared" si="0"/>
        <v>29.982268470343396</v>
      </c>
      <c r="D31" s="145">
        <f t="shared" si="3"/>
        <v>449.73402705515093</v>
      </c>
      <c r="E31" s="167">
        <f t="shared" si="1"/>
        <v>29.982268470343396</v>
      </c>
      <c r="F31" s="167">
        <f t="shared" si="2"/>
        <v>449.73402705515093</v>
      </c>
    </row>
    <row r="32" spans="2:6" x14ac:dyDescent="0.2">
      <c r="B32" s="149">
        <v>86</v>
      </c>
      <c r="C32" s="145">
        <f t="shared" si="0"/>
        <v>29.982268470343396</v>
      </c>
      <c r="D32" s="145">
        <f t="shared" si="3"/>
        <v>479.71629552549433</v>
      </c>
      <c r="E32" s="167">
        <f t="shared" si="1"/>
        <v>29.982268470343396</v>
      </c>
      <c r="F32" s="167">
        <f t="shared" si="2"/>
        <v>479.71629552549433</v>
      </c>
    </row>
    <row r="33" spans="2:17" x14ac:dyDescent="0.2">
      <c r="B33" s="149">
        <v>87</v>
      </c>
      <c r="C33" s="145">
        <f t="shared" si="0"/>
        <v>29.982268470343396</v>
      </c>
      <c r="D33" s="145">
        <f t="shared" si="3"/>
        <v>509.69856399583773</v>
      </c>
      <c r="E33" s="167">
        <f t="shared" si="1"/>
        <v>29.982268470343396</v>
      </c>
      <c r="F33" s="167">
        <f t="shared" si="2"/>
        <v>509.69856399583773</v>
      </c>
    </row>
    <row r="34" spans="2:17" x14ac:dyDescent="0.2">
      <c r="B34" s="149">
        <v>88</v>
      </c>
      <c r="C34" s="145">
        <f t="shared" si="0"/>
        <v>29.982268470343396</v>
      </c>
      <c r="D34" s="145">
        <f t="shared" si="3"/>
        <v>539.68083246618107</v>
      </c>
      <c r="E34" s="167">
        <f t="shared" si="1"/>
        <v>29.982268470343396</v>
      </c>
      <c r="F34" s="167">
        <f t="shared" si="2"/>
        <v>539.68083246618107</v>
      </c>
    </row>
    <row r="35" spans="2:17" x14ac:dyDescent="0.2">
      <c r="B35" s="149">
        <v>89</v>
      </c>
      <c r="C35" s="145">
        <f t="shared" si="0"/>
        <v>29.982268470343396</v>
      </c>
      <c r="D35" s="145">
        <f t="shared" si="3"/>
        <v>569.66310093652442</v>
      </c>
      <c r="E35" s="167">
        <f t="shared" si="1"/>
        <v>29.982268470343396</v>
      </c>
      <c r="F35" s="167">
        <f t="shared" si="2"/>
        <v>569.66310093652442</v>
      </c>
    </row>
    <row r="36" spans="2:17" x14ac:dyDescent="0.2">
      <c r="B36" s="149">
        <v>90</v>
      </c>
      <c r="C36" s="145">
        <f t="shared" si="0"/>
        <v>29.982268470343396</v>
      </c>
      <c r="D36" s="145">
        <f t="shared" si="3"/>
        <v>599.64536940686776</v>
      </c>
      <c r="E36" s="167">
        <f t="shared" si="1"/>
        <v>29.982268470343396</v>
      </c>
      <c r="F36" s="167">
        <f t="shared" si="2"/>
        <v>599.64536940686776</v>
      </c>
    </row>
    <row r="37" spans="2:17" x14ac:dyDescent="0.2">
      <c r="B37" s="149">
        <v>91</v>
      </c>
      <c r="C37" s="145">
        <f t="shared" si="0"/>
        <v>29.982268470343396</v>
      </c>
      <c r="D37" s="145">
        <f t="shared" si="3"/>
        <v>629.6276378772111</v>
      </c>
      <c r="E37" s="167">
        <f t="shared" si="1"/>
        <v>29.982268470343396</v>
      </c>
      <c r="F37" s="167">
        <f t="shared" si="2"/>
        <v>629.6276378772111</v>
      </c>
    </row>
    <row r="38" spans="2:17" x14ac:dyDescent="0.2">
      <c r="B38" s="149">
        <v>92</v>
      </c>
      <c r="C38" s="145">
        <f t="shared" si="0"/>
        <v>29.982268470343396</v>
      </c>
      <c r="D38" s="145">
        <f t="shared" si="3"/>
        <v>659.60990634755444</v>
      </c>
      <c r="E38" s="167">
        <f t="shared" si="1"/>
        <v>29.982268470343396</v>
      </c>
      <c r="F38" s="167">
        <f t="shared" si="2"/>
        <v>659.60990634755444</v>
      </c>
    </row>
    <row r="39" spans="2:17" x14ac:dyDescent="0.2">
      <c r="B39" s="81"/>
      <c r="C39" s="151"/>
      <c r="D39" s="168">
        <f>D38</f>
        <v>659.60990634755444</v>
      </c>
      <c r="E39" s="151"/>
      <c r="F39" s="118">
        <f>F38</f>
        <v>659.60990634755444</v>
      </c>
      <c r="G39" s="81" t="s">
        <v>23</v>
      </c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1" spans="2:17" ht="32" x14ac:dyDescent="0.4">
      <c r="B41" s="228" t="s">
        <v>24</v>
      </c>
      <c r="C41" s="228"/>
      <c r="D41" s="228"/>
      <c r="E41" s="228"/>
      <c r="F41" s="228"/>
      <c r="G41" s="228"/>
      <c r="H41" s="228"/>
      <c r="I41" s="228"/>
      <c r="J41" s="228"/>
      <c r="K41" s="228"/>
      <c r="L41" s="228"/>
      <c r="M41" s="228"/>
      <c r="N41" s="228"/>
      <c r="O41" s="228"/>
      <c r="P41" s="228"/>
      <c r="Q41" s="228"/>
    </row>
    <row r="43" spans="2:17" ht="30" x14ac:dyDescent="0.2">
      <c r="B43" s="144" t="s">
        <v>10</v>
      </c>
      <c r="C43" s="166" t="s">
        <v>48</v>
      </c>
      <c r="D43" s="166" t="s">
        <v>49</v>
      </c>
      <c r="E43" s="116" t="s">
        <v>50</v>
      </c>
      <c r="F43" s="116" t="s">
        <v>51</v>
      </c>
    </row>
    <row r="44" spans="2:17" x14ac:dyDescent="0.2">
      <c r="B44" s="149">
        <v>71</v>
      </c>
      <c r="C44" s="169">
        <f>AVERAGE(RESUMEN!H42,RESUMEN!H41)</f>
        <v>246.5</v>
      </c>
      <c r="D44" s="169">
        <f>AVERAGE(RESUMEN!D42,RESUMEN!D41)</f>
        <v>2.75</v>
      </c>
      <c r="E44" s="170">
        <f>AVERAGE(RESUMEN!P42,RESUMEN!P41)</f>
        <v>2368</v>
      </c>
      <c r="F44" s="170">
        <f>AVERAGE(RESUMEN!L42,RESUMEN!L41)</f>
        <v>2.6500000000000004</v>
      </c>
    </row>
    <row r="45" spans="2:17" x14ac:dyDescent="0.2">
      <c r="B45" s="149">
        <v>72</v>
      </c>
      <c r="C45" s="169">
        <f>C44</f>
        <v>246.5</v>
      </c>
      <c r="D45" s="169">
        <f>D44</f>
        <v>2.75</v>
      </c>
      <c r="E45" s="170">
        <f>E44</f>
        <v>2368</v>
      </c>
      <c r="F45" s="170">
        <f>F44</f>
        <v>2.6500000000000004</v>
      </c>
      <c r="I45" s="164">
        <f>AVERAGE(C44:C65)</f>
        <v>104.61363636363636</v>
      </c>
    </row>
    <row r="46" spans="2:17" x14ac:dyDescent="0.2">
      <c r="B46" s="149">
        <v>73</v>
      </c>
      <c r="C46" s="169">
        <f t="shared" ref="C46:D48" si="4">C45</f>
        <v>246.5</v>
      </c>
      <c r="D46" s="169">
        <f t="shared" si="4"/>
        <v>2.75</v>
      </c>
      <c r="E46" s="170">
        <f t="shared" ref="E46:E48" si="5">E45</f>
        <v>2368</v>
      </c>
      <c r="F46" s="170">
        <f t="shared" ref="F46:F48" si="6">F45</f>
        <v>2.6500000000000004</v>
      </c>
      <c r="I46" s="72">
        <f>_xlfn.STDEV.S(C44:C65)</f>
        <v>95.08779549875922</v>
      </c>
    </row>
    <row r="47" spans="2:17" x14ac:dyDescent="0.2">
      <c r="B47" s="149">
        <v>74</v>
      </c>
      <c r="C47" s="169">
        <f t="shared" si="4"/>
        <v>246.5</v>
      </c>
      <c r="D47" s="169">
        <f t="shared" si="4"/>
        <v>2.75</v>
      </c>
      <c r="E47" s="170">
        <f t="shared" si="5"/>
        <v>2368</v>
      </c>
      <c r="F47" s="170">
        <f t="shared" si="6"/>
        <v>2.6500000000000004</v>
      </c>
    </row>
    <row r="48" spans="2:17" x14ac:dyDescent="0.2">
      <c r="B48" s="149">
        <v>75</v>
      </c>
      <c r="C48" s="169">
        <f t="shared" si="4"/>
        <v>246.5</v>
      </c>
      <c r="D48" s="169">
        <f t="shared" si="4"/>
        <v>2.75</v>
      </c>
      <c r="E48" s="170">
        <f t="shared" si="5"/>
        <v>2368</v>
      </c>
      <c r="F48" s="170">
        <f t="shared" si="6"/>
        <v>2.6500000000000004</v>
      </c>
    </row>
    <row r="49" spans="2:6" x14ac:dyDescent="0.2">
      <c r="B49" s="149">
        <v>76</v>
      </c>
      <c r="C49" s="194">
        <f>RESUMEN!H42</f>
        <v>202</v>
      </c>
      <c r="D49" s="194">
        <f>RESUMEN!D42</f>
        <v>2.6</v>
      </c>
      <c r="E49" s="195">
        <f>RESUMEN!P42</f>
        <v>2076</v>
      </c>
      <c r="F49" s="195">
        <f>RESUMEN!L42</f>
        <v>2.7</v>
      </c>
    </row>
    <row r="50" spans="2:6" x14ac:dyDescent="0.2">
      <c r="B50" s="149">
        <v>77</v>
      </c>
      <c r="C50" s="194">
        <f>RESUMEN!H43</f>
        <v>213</v>
      </c>
      <c r="D50" s="194">
        <f>RESUMEN!D43</f>
        <v>2.6</v>
      </c>
      <c r="E50" s="195">
        <f>RESUMEN!P43</f>
        <v>2337</v>
      </c>
      <c r="F50" s="195">
        <f>RESUMEN!L43</f>
        <v>3.1</v>
      </c>
    </row>
    <row r="51" spans="2:6" x14ac:dyDescent="0.2">
      <c r="B51" s="149">
        <v>78</v>
      </c>
      <c r="C51" s="194">
        <f>RESUMEN!H44</f>
        <v>142</v>
      </c>
      <c r="D51" s="194">
        <f>RESUMEN!D44</f>
        <v>3.1</v>
      </c>
      <c r="E51" s="195">
        <f>RESUMEN!P44</f>
        <v>2756</v>
      </c>
      <c r="F51" s="195">
        <f>RESUMEN!L44</f>
        <v>3</v>
      </c>
    </row>
    <row r="52" spans="2:6" x14ac:dyDescent="0.2">
      <c r="B52" s="149">
        <v>79</v>
      </c>
      <c r="C52" s="194">
        <f>RESUMEN!H45</f>
        <v>57</v>
      </c>
      <c r="D52" s="194">
        <f>RESUMEN!D45</f>
        <v>3.1</v>
      </c>
      <c r="E52" s="195">
        <f>RESUMEN!P45</f>
        <v>2619</v>
      </c>
      <c r="F52" s="195">
        <f>RESUMEN!L45</f>
        <v>2.8</v>
      </c>
    </row>
    <row r="53" spans="2:6" x14ac:dyDescent="0.2">
      <c r="B53" s="149">
        <v>80</v>
      </c>
      <c r="C53" s="171">
        <f>AVERAGE(C52,C56)</f>
        <v>42.5</v>
      </c>
      <c r="D53" s="171">
        <f>AVERAGE(D52,D56)</f>
        <v>3</v>
      </c>
      <c r="E53" s="172">
        <f>AVERAGE(E52,E56)</f>
        <v>2669</v>
      </c>
      <c r="F53" s="172">
        <f>AVERAGE(F52,F56)</f>
        <v>2.75</v>
      </c>
    </row>
    <row r="54" spans="2:6" x14ac:dyDescent="0.2">
      <c r="B54" s="149">
        <v>81</v>
      </c>
      <c r="C54" s="171">
        <f t="shared" ref="C54:F55" si="7">C53</f>
        <v>42.5</v>
      </c>
      <c r="D54" s="171">
        <f t="shared" si="7"/>
        <v>3</v>
      </c>
      <c r="E54" s="172">
        <f t="shared" si="7"/>
        <v>2669</v>
      </c>
      <c r="F54" s="172">
        <f t="shared" si="7"/>
        <v>2.75</v>
      </c>
    </row>
    <row r="55" spans="2:6" x14ac:dyDescent="0.2">
      <c r="B55" s="149">
        <v>82</v>
      </c>
      <c r="C55" s="119">
        <f t="shared" si="7"/>
        <v>42.5</v>
      </c>
      <c r="D55" s="119">
        <f t="shared" si="7"/>
        <v>3</v>
      </c>
      <c r="E55" s="175">
        <f t="shared" si="7"/>
        <v>2669</v>
      </c>
      <c r="F55" s="175">
        <f t="shared" si="7"/>
        <v>2.75</v>
      </c>
    </row>
    <row r="56" spans="2:6" x14ac:dyDescent="0.2">
      <c r="B56" s="149">
        <v>83</v>
      </c>
      <c r="C56" s="145">
        <f>RESUMEN!H46</f>
        <v>28</v>
      </c>
      <c r="D56" s="145">
        <f>RESUMEN!D46</f>
        <v>2.9</v>
      </c>
      <c r="E56" s="167">
        <f>RESUMEN!P46</f>
        <v>2719</v>
      </c>
      <c r="F56" s="167">
        <f>RESUMEN!L46</f>
        <v>2.7</v>
      </c>
    </row>
    <row r="57" spans="2:6" x14ac:dyDescent="0.2">
      <c r="B57" s="149">
        <v>84</v>
      </c>
      <c r="C57" s="145">
        <f>RESUMEN!H47</f>
        <v>19</v>
      </c>
      <c r="D57" s="145">
        <f>RESUMEN!D47</f>
        <v>2.7</v>
      </c>
      <c r="E57" s="167">
        <f>RESUMEN!P47</f>
        <v>2854</v>
      </c>
      <c r="F57" s="167">
        <f>RESUMEN!L47</f>
        <v>2.8</v>
      </c>
    </row>
    <row r="58" spans="2:6" x14ac:dyDescent="0.2">
      <c r="B58" s="149">
        <v>85</v>
      </c>
      <c r="C58" s="145">
        <f>RESUMEN!H48</f>
        <v>23</v>
      </c>
      <c r="D58" s="145">
        <f>RESUMEN!D48</f>
        <v>2.7</v>
      </c>
      <c r="E58" s="167">
        <f>RESUMEN!P48</f>
        <v>2505</v>
      </c>
      <c r="F58" s="167">
        <f>RESUMEN!L48</f>
        <v>2.9</v>
      </c>
    </row>
    <row r="59" spans="2:6" x14ac:dyDescent="0.2">
      <c r="B59" s="149">
        <v>86</v>
      </c>
      <c r="C59" s="145">
        <f>RESUMEN!H49</f>
        <v>23</v>
      </c>
      <c r="D59" s="145">
        <f>RESUMEN!D49</f>
        <v>2.5</v>
      </c>
      <c r="E59" s="167">
        <f>RESUMEN!P49</f>
        <v>2556</v>
      </c>
      <c r="F59" s="167">
        <f>RESUMEN!L49</f>
        <v>2.7</v>
      </c>
    </row>
    <row r="60" spans="2:6" x14ac:dyDescent="0.2">
      <c r="B60" s="149">
        <v>87</v>
      </c>
      <c r="C60" s="171">
        <f>AVERAGE(C59,C63)</f>
        <v>39.5</v>
      </c>
      <c r="D60" s="171">
        <f>AVERAGE(D59,D63)</f>
        <v>2.4500000000000002</v>
      </c>
      <c r="E60" s="172">
        <f>AVERAGE(E59,E63)</f>
        <v>2641</v>
      </c>
      <c r="F60" s="172">
        <f>AVERAGE(F59,F63)</f>
        <v>2.6500000000000004</v>
      </c>
    </row>
    <row r="61" spans="2:6" x14ac:dyDescent="0.2">
      <c r="B61" s="149">
        <v>88</v>
      </c>
      <c r="C61" s="171">
        <f t="shared" ref="C61:F62" si="8">C60</f>
        <v>39.5</v>
      </c>
      <c r="D61" s="171">
        <f t="shared" si="8"/>
        <v>2.4500000000000002</v>
      </c>
      <c r="E61" s="172">
        <f t="shared" si="8"/>
        <v>2641</v>
      </c>
      <c r="F61" s="172">
        <f t="shared" si="8"/>
        <v>2.6500000000000004</v>
      </c>
    </row>
    <row r="62" spans="2:6" x14ac:dyDescent="0.2">
      <c r="B62" s="149">
        <v>89</v>
      </c>
      <c r="C62" s="119">
        <f t="shared" si="8"/>
        <v>39.5</v>
      </c>
      <c r="D62" s="119">
        <f t="shared" si="8"/>
        <v>2.4500000000000002</v>
      </c>
      <c r="E62" s="175">
        <f t="shared" si="8"/>
        <v>2641</v>
      </c>
      <c r="F62" s="175">
        <f t="shared" si="8"/>
        <v>2.6500000000000004</v>
      </c>
    </row>
    <row r="63" spans="2:6" x14ac:dyDescent="0.2">
      <c r="B63" s="149">
        <v>90</v>
      </c>
      <c r="C63" s="145">
        <f>RESUMEN!H50</f>
        <v>56</v>
      </c>
      <c r="D63" s="145">
        <f>RESUMEN!D50</f>
        <v>2.4</v>
      </c>
      <c r="E63" s="167">
        <f>RESUMEN!P50</f>
        <v>2726</v>
      </c>
      <c r="F63" s="167">
        <f>RESUMEN!L50</f>
        <v>2.6</v>
      </c>
    </row>
    <row r="64" spans="2:6" x14ac:dyDescent="0.2">
      <c r="B64" s="149">
        <v>91</v>
      </c>
      <c r="C64" s="145">
        <f>RESUMEN!H51</f>
        <v>28</v>
      </c>
      <c r="D64" s="145">
        <f>RESUMEN!D51</f>
        <v>2.4</v>
      </c>
      <c r="E64" s="167">
        <f>RESUMEN!P51</f>
        <v>2696</v>
      </c>
      <c r="F64" s="167">
        <f>RESUMEN!L51</f>
        <v>2.5</v>
      </c>
    </row>
    <row r="65" spans="2:6" x14ac:dyDescent="0.2">
      <c r="B65" s="149">
        <v>92</v>
      </c>
      <c r="C65" s="145">
        <f>RESUMEN!H52</f>
        <v>32</v>
      </c>
      <c r="D65" s="145">
        <f>RESUMEN!D52</f>
        <v>2.5</v>
      </c>
      <c r="E65" s="167">
        <f>RESUMEN!P52</f>
        <v>2851</v>
      </c>
      <c r="F65" s="167">
        <f>RESUMEN!L52</f>
        <v>2.6</v>
      </c>
    </row>
    <row r="67" spans="2:6" ht="45" x14ac:dyDescent="0.2">
      <c r="B67" s="144" t="s">
        <v>10</v>
      </c>
      <c r="C67" s="166" t="s">
        <v>55</v>
      </c>
      <c r="D67" s="166" t="s">
        <v>54</v>
      </c>
      <c r="E67" s="116" t="s">
        <v>53</v>
      </c>
      <c r="F67" s="116" t="s">
        <v>52</v>
      </c>
    </row>
    <row r="68" spans="2:6" x14ac:dyDescent="0.2">
      <c r="B68" s="149">
        <v>71</v>
      </c>
      <c r="C68" s="153">
        <f t="shared" ref="C68:C89" si="9">C44*D44/1000000</f>
        <v>6.7787499999999998E-4</v>
      </c>
      <c r="D68" s="154">
        <f>C68</f>
        <v>6.7787499999999998E-4</v>
      </c>
      <c r="E68" s="176">
        <f t="shared" ref="E68:E89" si="10">E44*F44/1000000</f>
        <v>6.2752000000000007E-3</v>
      </c>
      <c r="F68" s="177">
        <f>E68</f>
        <v>6.2752000000000007E-3</v>
      </c>
    </row>
    <row r="69" spans="2:6" x14ac:dyDescent="0.2">
      <c r="B69" s="149">
        <v>72</v>
      </c>
      <c r="C69" s="153">
        <f t="shared" si="9"/>
        <v>6.7787499999999998E-4</v>
      </c>
      <c r="D69" s="154">
        <f>D68+C69</f>
        <v>1.35575E-3</v>
      </c>
      <c r="E69" s="176">
        <f t="shared" si="10"/>
        <v>6.2752000000000007E-3</v>
      </c>
      <c r="F69" s="177">
        <f>F68+E69</f>
        <v>1.2550400000000001E-2</v>
      </c>
    </row>
    <row r="70" spans="2:6" x14ac:dyDescent="0.2">
      <c r="B70" s="149">
        <v>73</v>
      </c>
      <c r="C70" s="153">
        <f t="shared" si="9"/>
        <v>6.7787499999999998E-4</v>
      </c>
      <c r="D70" s="154">
        <f t="shared" ref="D70:D89" si="11">D69+C70</f>
        <v>2.0336249999999998E-3</v>
      </c>
      <c r="E70" s="176">
        <f t="shared" si="10"/>
        <v>6.2752000000000007E-3</v>
      </c>
      <c r="F70" s="177">
        <f t="shared" ref="F70:F89" si="12">F69+E70</f>
        <v>1.8825600000000001E-2</v>
      </c>
    </row>
    <row r="71" spans="2:6" x14ac:dyDescent="0.2">
      <c r="B71" s="149">
        <v>74</v>
      </c>
      <c r="C71" s="153">
        <f t="shared" si="9"/>
        <v>6.7787499999999998E-4</v>
      </c>
      <c r="D71" s="154">
        <f t="shared" si="11"/>
        <v>2.7114999999999999E-3</v>
      </c>
      <c r="E71" s="176">
        <f t="shared" si="10"/>
        <v>6.2752000000000007E-3</v>
      </c>
      <c r="F71" s="177">
        <f t="shared" si="12"/>
        <v>2.5100800000000003E-2</v>
      </c>
    </row>
    <row r="72" spans="2:6" x14ac:dyDescent="0.2">
      <c r="B72" s="149">
        <v>75</v>
      </c>
      <c r="C72" s="153">
        <f t="shared" si="9"/>
        <v>6.7787499999999998E-4</v>
      </c>
      <c r="D72" s="154">
        <f t="shared" si="11"/>
        <v>3.389375E-3</v>
      </c>
      <c r="E72" s="176">
        <f t="shared" si="10"/>
        <v>6.2752000000000007E-3</v>
      </c>
      <c r="F72" s="177">
        <f t="shared" si="12"/>
        <v>3.1376000000000001E-2</v>
      </c>
    </row>
    <row r="73" spans="2:6" x14ac:dyDescent="0.2">
      <c r="B73" s="149">
        <v>76</v>
      </c>
      <c r="C73" s="153">
        <f t="shared" si="9"/>
        <v>5.2520000000000008E-4</v>
      </c>
      <c r="D73" s="154">
        <f t="shared" si="11"/>
        <v>3.914575E-3</v>
      </c>
      <c r="E73" s="176">
        <f t="shared" si="10"/>
        <v>5.6052000000000012E-3</v>
      </c>
      <c r="F73" s="177">
        <f t="shared" si="12"/>
        <v>3.6981200000000006E-2</v>
      </c>
    </row>
    <row r="74" spans="2:6" x14ac:dyDescent="0.2">
      <c r="B74" s="149">
        <v>77</v>
      </c>
      <c r="C74" s="153">
        <f t="shared" si="9"/>
        <v>5.5380000000000002E-4</v>
      </c>
      <c r="D74" s="154">
        <f t="shared" si="11"/>
        <v>4.4683750000000001E-3</v>
      </c>
      <c r="E74" s="176">
        <f t="shared" si="10"/>
        <v>7.2446999999999998E-3</v>
      </c>
      <c r="F74" s="177">
        <f t="shared" si="12"/>
        <v>4.4225900000000005E-2</v>
      </c>
    </row>
    <row r="75" spans="2:6" x14ac:dyDescent="0.2">
      <c r="B75" s="149">
        <v>78</v>
      </c>
      <c r="C75" s="153">
        <f t="shared" si="9"/>
        <v>4.4019999999999997E-4</v>
      </c>
      <c r="D75" s="154">
        <f t="shared" si="11"/>
        <v>4.9085750000000001E-3</v>
      </c>
      <c r="E75" s="176">
        <f t="shared" si="10"/>
        <v>8.2679999999999993E-3</v>
      </c>
      <c r="F75" s="177">
        <f t="shared" si="12"/>
        <v>5.2493900000000003E-2</v>
      </c>
    </row>
    <row r="76" spans="2:6" x14ac:dyDescent="0.2">
      <c r="B76" s="149">
        <v>79</v>
      </c>
      <c r="C76" s="153">
        <f t="shared" si="9"/>
        <v>1.7670000000000001E-4</v>
      </c>
      <c r="D76" s="154">
        <f t="shared" si="11"/>
        <v>5.0852750000000002E-3</v>
      </c>
      <c r="E76" s="176">
        <f t="shared" si="10"/>
        <v>7.3331999999999998E-3</v>
      </c>
      <c r="F76" s="177">
        <f t="shared" si="12"/>
        <v>5.9827100000000001E-2</v>
      </c>
    </row>
    <row r="77" spans="2:6" x14ac:dyDescent="0.2">
      <c r="B77" s="149">
        <v>80</v>
      </c>
      <c r="C77" s="153">
        <f t="shared" si="9"/>
        <v>1.2750000000000001E-4</v>
      </c>
      <c r="D77" s="154">
        <f t="shared" si="11"/>
        <v>5.2127750000000002E-3</v>
      </c>
      <c r="E77" s="176">
        <f t="shared" si="10"/>
        <v>7.3397499999999999E-3</v>
      </c>
      <c r="F77" s="177">
        <f t="shared" si="12"/>
        <v>6.716685E-2</v>
      </c>
    </row>
    <row r="78" spans="2:6" x14ac:dyDescent="0.2">
      <c r="B78" s="149">
        <v>81</v>
      </c>
      <c r="C78" s="153">
        <f t="shared" si="9"/>
        <v>1.2750000000000001E-4</v>
      </c>
      <c r="D78" s="154">
        <f t="shared" si="11"/>
        <v>5.3402750000000002E-3</v>
      </c>
      <c r="E78" s="176">
        <f t="shared" si="10"/>
        <v>7.3397499999999999E-3</v>
      </c>
      <c r="F78" s="177">
        <f t="shared" si="12"/>
        <v>7.4506600000000006E-2</v>
      </c>
    </row>
    <row r="79" spans="2:6" x14ac:dyDescent="0.2">
      <c r="B79" s="149">
        <v>82</v>
      </c>
      <c r="C79" s="153">
        <f t="shared" si="9"/>
        <v>1.2750000000000001E-4</v>
      </c>
      <c r="D79" s="154">
        <f t="shared" si="11"/>
        <v>5.4677750000000002E-3</v>
      </c>
      <c r="E79" s="176">
        <f t="shared" si="10"/>
        <v>7.3397499999999999E-3</v>
      </c>
      <c r="F79" s="177">
        <f t="shared" si="12"/>
        <v>8.1846350000000012E-2</v>
      </c>
    </row>
    <row r="80" spans="2:6" x14ac:dyDescent="0.2">
      <c r="B80" s="149">
        <v>83</v>
      </c>
      <c r="C80" s="153">
        <f t="shared" si="9"/>
        <v>8.1200000000000009E-5</v>
      </c>
      <c r="D80" s="154">
        <f t="shared" si="11"/>
        <v>5.5489750000000003E-3</v>
      </c>
      <c r="E80" s="176">
        <f t="shared" si="10"/>
        <v>7.3413000000000003E-3</v>
      </c>
      <c r="F80" s="177">
        <f t="shared" si="12"/>
        <v>8.9187650000000007E-2</v>
      </c>
    </row>
    <row r="81" spans="2:17" x14ac:dyDescent="0.2">
      <c r="B81" s="149">
        <v>84</v>
      </c>
      <c r="C81" s="153">
        <f t="shared" si="9"/>
        <v>5.1300000000000007E-5</v>
      </c>
      <c r="D81" s="153">
        <f t="shared" si="11"/>
        <v>5.600275E-3</v>
      </c>
      <c r="E81" s="176">
        <f t="shared" si="10"/>
        <v>7.9912000000000004E-3</v>
      </c>
      <c r="F81" s="176">
        <f t="shared" si="12"/>
        <v>9.7178850000000011E-2</v>
      </c>
    </row>
    <row r="82" spans="2:17" x14ac:dyDescent="0.2">
      <c r="B82" s="149">
        <v>85</v>
      </c>
      <c r="C82" s="153">
        <f t="shared" si="9"/>
        <v>6.2100000000000005E-5</v>
      </c>
      <c r="D82" s="154">
        <f t="shared" si="11"/>
        <v>5.6623749999999999E-3</v>
      </c>
      <c r="E82" s="176">
        <f t="shared" si="10"/>
        <v>7.2645000000000001E-3</v>
      </c>
      <c r="F82" s="177">
        <f t="shared" si="12"/>
        <v>0.10444335000000002</v>
      </c>
    </row>
    <row r="83" spans="2:17" x14ac:dyDescent="0.2">
      <c r="B83" s="149">
        <v>86</v>
      </c>
      <c r="C83" s="153">
        <f t="shared" si="9"/>
        <v>5.7500000000000002E-5</v>
      </c>
      <c r="D83" s="154">
        <f t="shared" si="11"/>
        <v>5.7198750000000001E-3</v>
      </c>
      <c r="E83" s="176">
        <f t="shared" si="10"/>
        <v>6.9012000000000006E-3</v>
      </c>
      <c r="F83" s="177">
        <f t="shared" si="12"/>
        <v>0.11134455000000001</v>
      </c>
    </row>
    <row r="84" spans="2:17" x14ac:dyDescent="0.2">
      <c r="B84" s="149">
        <v>87</v>
      </c>
      <c r="C84" s="153">
        <f t="shared" si="9"/>
        <v>9.6775000000000008E-5</v>
      </c>
      <c r="D84" s="154">
        <f t="shared" si="11"/>
        <v>5.8166500000000005E-3</v>
      </c>
      <c r="E84" s="176">
        <f t="shared" si="10"/>
        <v>6.9986500000000004E-3</v>
      </c>
      <c r="F84" s="177">
        <f t="shared" si="12"/>
        <v>0.11834320000000001</v>
      </c>
    </row>
    <row r="85" spans="2:17" x14ac:dyDescent="0.2">
      <c r="B85" s="149">
        <v>88</v>
      </c>
      <c r="C85" s="153">
        <f t="shared" si="9"/>
        <v>9.6775000000000008E-5</v>
      </c>
      <c r="D85" s="154">
        <f t="shared" si="11"/>
        <v>5.9134250000000008E-3</v>
      </c>
      <c r="E85" s="176">
        <f t="shared" si="10"/>
        <v>6.9986500000000004E-3</v>
      </c>
      <c r="F85" s="177">
        <f t="shared" si="12"/>
        <v>0.12534185</v>
      </c>
    </row>
    <row r="86" spans="2:17" x14ac:dyDescent="0.2">
      <c r="B86" s="149">
        <v>89</v>
      </c>
      <c r="C86" s="153">
        <f t="shared" si="9"/>
        <v>9.6775000000000008E-5</v>
      </c>
      <c r="D86" s="154">
        <f t="shared" si="11"/>
        <v>6.0102000000000011E-3</v>
      </c>
      <c r="E86" s="176">
        <f t="shared" si="10"/>
        <v>6.9986500000000004E-3</v>
      </c>
      <c r="F86" s="177">
        <f t="shared" si="12"/>
        <v>0.1323405</v>
      </c>
    </row>
    <row r="87" spans="2:17" x14ac:dyDescent="0.2">
      <c r="B87" s="149">
        <v>90</v>
      </c>
      <c r="C87" s="153">
        <f t="shared" si="9"/>
        <v>1.3440000000000001E-4</v>
      </c>
      <c r="D87" s="154">
        <f t="shared" si="11"/>
        <v>6.1446000000000009E-3</v>
      </c>
      <c r="E87" s="176">
        <f t="shared" si="10"/>
        <v>7.0876000000000003E-3</v>
      </c>
      <c r="F87" s="177">
        <f t="shared" si="12"/>
        <v>0.1394281</v>
      </c>
    </row>
    <row r="88" spans="2:17" x14ac:dyDescent="0.2">
      <c r="B88" s="149">
        <v>91</v>
      </c>
      <c r="C88" s="153">
        <f t="shared" si="9"/>
        <v>6.7200000000000007E-5</v>
      </c>
      <c r="D88" s="154">
        <f t="shared" si="11"/>
        <v>6.2118000000000008E-3</v>
      </c>
      <c r="E88" s="176">
        <f t="shared" si="10"/>
        <v>6.7400000000000003E-3</v>
      </c>
      <c r="F88" s="177">
        <f t="shared" si="12"/>
        <v>0.1461681</v>
      </c>
    </row>
    <row r="89" spans="2:17" x14ac:dyDescent="0.2">
      <c r="B89" s="149">
        <v>92</v>
      </c>
      <c r="C89" s="153">
        <f t="shared" si="9"/>
        <v>8.0000000000000007E-5</v>
      </c>
      <c r="D89" s="154">
        <f t="shared" si="11"/>
        <v>6.291800000000001E-3</v>
      </c>
      <c r="E89" s="176">
        <f t="shared" si="10"/>
        <v>7.4126000000000001E-3</v>
      </c>
      <c r="F89" s="177">
        <f t="shared" si="12"/>
        <v>0.15358069999999999</v>
      </c>
    </row>
    <row r="90" spans="2:17" x14ac:dyDescent="0.2">
      <c r="B90" s="81"/>
      <c r="C90" s="82"/>
      <c r="D90" s="178">
        <f>(D89*1)/(0.082*304)</f>
        <v>2.5239890885750968E-4</v>
      </c>
      <c r="E90" s="82"/>
      <c r="F90" s="178">
        <f>(F89*1)/(0.082*304)</f>
        <v>6.1609715982028235E-3</v>
      </c>
      <c r="G90" s="72" t="s">
        <v>32</v>
      </c>
    </row>
    <row r="91" spans="2:17" x14ac:dyDescent="0.2">
      <c r="B91" s="81"/>
      <c r="C91" s="157"/>
      <c r="D91" s="179">
        <f>D90*32.05*1000</f>
        <v>8.0893850288831857</v>
      </c>
      <c r="E91" s="157"/>
      <c r="F91" s="122">
        <f>F90*32.05*1000</f>
        <v>197.45913972240047</v>
      </c>
      <c r="G91" s="81" t="s">
        <v>23</v>
      </c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3" spans="2:17" ht="32" x14ac:dyDescent="0.4">
      <c r="B93" s="226" t="s">
        <v>88</v>
      </c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  <c r="N93" s="226"/>
      <c r="O93" s="226"/>
      <c r="P93" s="226"/>
      <c r="Q93" s="226"/>
    </row>
    <row r="95" spans="2:17" ht="30" x14ac:dyDescent="0.2">
      <c r="B95" s="144" t="s">
        <v>10</v>
      </c>
      <c r="C95" s="166" t="s">
        <v>56</v>
      </c>
      <c r="D95" s="166" t="s">
        <v>57</v>
      </c>
      <c r="E95" s="116" t="s">
        <v>58</v>
      </c>
      <c r="F95" s="116" t="s">
        <v>59</v>
      </c>
    </row>
    <row r="96" spans="2:17" x14ac:dyDescent="0.2">
      <c r="B96" s="149">
        <v>71</v>
      </c>
      <c r="C96" s="180">
        <f>AVERAGE(RESUMEN!AC12,RESUMEN!AC11)</f>
        <v>65.439993529409975</v>
      </c>
      <c r="D96" s="203">
        <f>AVERAGE(RESUMEN!X16,RESUMEN!X15)</f>
        <v>23.423933333333338</v>
      </c>
      <c r="E96" s="182">
        <f>AVERAGE(RESUMEN!AD12,RESUMEN!AD11)</f>
        <v>211.24578461537072</v>
      </c>
      <c r="F96" s="183">
        <f>AVERAGE(RESUMEN!Y16,RESUMEN!Y15)</f>
        <v>133.34273333333334</v>
      </c>
    </row>
    <row r="97" spans="2:17" x14ac:dyDescent="0.2">
      <c r="B97" s="149">
        <v>72</v>
      </c>
      <c r="C97" s="180">
        <f>C96</f>
        <v>65.439993529409975</v>
      </c>
      <c r="D97" s="180">
        <f>D96</f>
        <v>23.423933333333338</v>
      </c>
      <c r="E97" s="200">
        <f>E96</f>
        <v>211.24578461537072</v>
      </c>
      <c r="F97" s="200">
        <f>F96</f>
        <v>133.34273333333334</v>
      </c>
    </row>
    <row r="98" spans="2:17" x14ac:dyDescent="0.2">
      <c r="B98" s="149">
        <v>73</v>
      </c>
      <c r="C98" s="180">
        <f t="shared" ref="C98:C108" si="13">C97</f>
        <v>65.439993529409975</v>
      </c>
      <c r="D98" s="180">
        <f t="shared" ref="D98:F100" si="14">D97</f>
        <v>23.423933333333338</v>
      </c>
      <c r="E98" s="200">
        <f t="shared" ref="E98:E108" si="15">E97</f>
        <v>211.24578461537072</v>
      </c>
      <c r="F98" s="200">
        <f t="shared" si="14"/>
        <v>133.34273333333334</v>
      </c>
    </row>
    <row r="99" spans="2:17" x14ac:dyDescent="0.2">
      <c r="B99" s="149">
        <v>74</v>
      </c>
      <c r="C99" s="180">
        <f t="shared" si="13"/>
        <v>65.439993529409975</v>
      </c>
      <c r="D99" s="180">
        <f t="shared" si="14"/>
        <v>23.423933333333338</v>
      </c>
      <c r="E99" s="200">
        <f t="shared" si="15"/>
        <v>211.24578461537072</v>
      </c>
      <c r="F99" s="200">
        <f t="shared" si="14"/>
        <v>133.34273333333334</v>
      </c>
    </row>
    <row r="100" spans="2:17" x14ac:dyDescent="0.2">
      <c r="B100" s="149">
        <v>75</v>
      </c>
      <c r="C100" s="180">
        <f t="shared" si="13"/>
        <v>65.439993529409975</v>
      </c>
      <c r="D100" s="180">
        <f t="shared" si="14"/>
        <v>23.423933333333338</v>
      </c>
      <c r="E100" s="200">
        <f t="shared" si="15"/>
        <v>211.24578461537072</v>
      </c>
      <c r="F100" s="200">
        <f t="shared" si="14"/>
        <v>133.34273333333334</v>
      </c>
    </row>
    <row r="101" spans="2:17" x14ac:dyDescent="0.2">
      <c r="B101" s="149">
        <v>76</v>
      </c>
      <c r="C101" s="180">
        <f t="shared" si="13"/>
        <v>65.439993529409975</v>
      </c>
      <c r="D101" s="196">
        <f>RESUMEN!X16</f>
        <v>15.820133333333334</v>
      </c>
      <c r="E101" s="200">
        <f t="shared" si="15"/>
        <v>211.24578461537072</v>
      </c>
      <c r="F101" s="204">
        <f>RESUMEN!Y16</f>
        <v>136.47773333333336</v>
      </c>
    </row>
    <row r="102" spans="2:17" x14ac:dyDescent="0.2">
      <c r="B102" s="149">
        <v>77</v>
      </c>
      <c r="C102" s="180">
        <f t="shared" si="13"/>
        <v>65.439993529409975</v>
      </c>
      <c r="D102" s="180">
        <f>AVERAGE(RESUMEN!X16,RESUMEN!X17)</f>
        <v>12.297533333333334</v>
      </c>
      <c r="E102" s="200">
        <f t="shared" si="15"/>
        <v>211.24578461537072</v>
      </c>
      <c r="F102" s="200">
        <f>AVERAGE(RESUMEN!Y16,RESUMEN!Y17)</f>
        <v>137.27573333333336</v>
      </c>
    </row>
    <row r="103" spans="2:17" x14ac:dyDescent="0.2">
      <c r="B103" s="149">
        <v>78</v>
      </c>
      <c r="C103" s="180">
        <f t="shared" si="13"/>
        <v>65.439993529409975</v>
      </c>
      <c r="D103" s="196">
        <f>RESUMEN!X17</f>
        <v>8.7749333333333333</v>
      </c>
      <c r="E103" s="200">
        <f t="shared" si="15"/>
        <v>211.24578461537072</v>
      </c>
      <c r="F103" s="204">
        <f>RESUMEN!Y17</f>
        <v>138.07373333333337</v>
      </c>
    </row>
    <row r="104" spans="2:17" x14ac:dyDescent="0.2">
      <c r="B104" s="149">
        <v>79</v>
      </c>
      <c r="C104" s="180">
        <f t="shared" si="13"/>
        <v>65.439993529409975</v>
      </c>
      <c r="D104" s="184">
        <f>AVERAGE(RESUMEN!X17,RESUMEN!X18)</f>
        <v>8.5925333333333338</v>
      </c>
      <c r="E104" s="200">
        <f t="shared" si="15"/>
        <v>211.24578461537072</v>
      </c>
      <c r="F104" s="185">
        <f>AVERAGE(RESUMEN!Y17,RESUMEN!Y18)</f>
        <v>137.02493333333337</v>
      </c>
    </row>
    <row r="105" spans="2:17" x14ac:dyDescent="0.2">
      <c r="B105" s="149">
        <v>80</v>
      </c>
      <c r="C105" s="180">
        <f t="shared" si="13"/>
        <v>65.439993529409975</v>
      </c>
      <c r="D105" s="180">
        <f>D104</f>
        <v>8.5925333333333338</v>
      </c>
      <c r="E105" s="200">
        <f t="shared" si="15"/>
        <v>211.24578461537072</v>
      </c>
      <c r="F105" s="200">
        <f>F104</f>
        <v>137.02493333333337</v>
      </c>
    </row>
    <row r="106" spans="2:17" x14ac:dyDescent="0.2">
      <c r="B106" s="149">
        <v>81</v>
      </c>
      <c r="C106" s="180">
        <f t="shared" si="13"/>
        <v>65.439993529409975</v>
      </c>
      <c r="D106" s="180">
        <f t="shared" ref="D106:F108" si="16">D105</f>
        <v>8.5925333333333338</v>
      </c>
      <c r="E106" s="200">
        <f t="shared" si="15"/>
        <v>211.24578461537072</v>
      </c>
      <c r="F106" s="200">
        <f t="shared" si="16"/>
        <v>137.02493333333337</v>
      </c>
      <c r="G106" s="128"/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</row>
    <row r="107" spans="2:17" x14ac:dyDescent="0.2">
      <c r="B107" s="149">
        <v>82</v>
      </c>
      <c r="C107" s="180">
        <f t="shared" si="13"/>
        <v>65.439993529409975</v>
      </c>
      <c r="D107" s="180">
        <f t="shared" si="16"/>
        <v>8.5925333333333338</v>
      </c>
      <c r="E107" s="200">
        <f t="shared" si="15"/>
        <v>211.24578461537072</v>
      </c>
      <c r="F107" s="200">
        <f t="shared" si="16"/>
        <v>137.02493333333337</v>
      </c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</row>
    <row r="108" spans="2:17" x14ac:dyDescent="0.2">
      <c r="B108" s="149">
        <v>83</v>
      </c>
      <c r="C108" s="180">
        <f t="shared" si="13"/>
        <v>65.439993529409975</v>
      </c>
      <c r="D108" s="180">
        <f t="shared" si="16"/>
        <v>8.5925333333333338</v>
      </c>
      <c r="E108" s="200">
        <f t="shared" si="15"/>
        <v>211.24578461537072</v>
      </c>
      <c r="F108" s="200">
        <f t="shared" si="16"/>
        <v>137.02493333333337</v>
      </c>
      <c r="G108" s="128"/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</row>
    <row r="109" spans="2:17" x14ac:dyDescent="0.2">
      <c r="B109" s="149">
        <v>84</v>
      </c>
      <c r="C109" s="196">
        <f>RESUMEN!AC12</f>
        <v>56.897647058819949</v>
      </c>
      <c r="D109" s="196">
        <f>RESUMEN!X18</f>
        <v>8.4101333333333343</v>
      </c>
      <c r="E109" s="204">
        <f>RESUMEN!AD12</f>
        <v>205.16676923074101</v>
      </c>
      <c r="F109" s="204">
        <f>RESUMEN!Y18</f>
        <v>135.97613333333334</v>
      </c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</row>
    <row r="110" spans="2:17" x14ac:dyDescent="0.2">
      <c r="B110" s="149">
        <v>85</v>
      </c>
      <c r="C110" s="180">
        <f>AVERAGE(RESUMEN!AC12,RESUMEN!AC13)</f>
        <v>53.897647058819928</v>
      </c>
      <c r="D110" s="189">
        <f>AVERAGE(RESUMEN!X18,RESUMEN!X19)</f>
        <v>7.2815333333333339</v>
      </c>
      <c r="E110" s="200">
        <f>AVERAGE(RESUMEN!AD12,RESUMEN!AD13)</f>
        <v>206.41883916081571</v>
      </c>
      <c r="F110" s="190">
        <f>AVERAGE(RESUMEN!Y18,RESUMEN!Y19)</f>
        <v>137.74313333333333</v>
      </c>
      <c r="G110" s="128"/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</row>
    <row r="111" spans="2:17" x14ac:dyDescent="0.2">
      <c r="B111" s="149">
        <v>86</v>
      </c>
      <c r="C111" s="180">
        <f>C110</f>
        <v>53.897647058819928</v>
      </c>
      <c r="D111" s="180">
        <f>D110</f>
        <v>7.2815333333333339</v>
      </c>
      <c r="E111" s="200">
        <f>E110</f>
        <v>206.41883916081571</v>
      </c>
      <c r="F111" s="200">
        <f>F110</f>
        <v>137.74313333333333</v>
      </c>
      <c r="G111" s="128"/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</row>
    <row r="112" spans="2:17" x14ac:dyDescent="0.2">
      <c r="B112" s="149">
        <v>87</v>
      </c>
      <c r="C112" s="180">
        <f t="shared" ref="C112:C117" si="17">C111</f>
        <v>53.897647058819928</v>
      </c>
      <c r="D112" s="180">
        <f t="shared" ref="D112:F117" si="18">D111</f>
        <v>7.2815333333333339</v>
      </c>
      <c r="E112" s="200">
        <f t="shared" ref="E112:E117" si="19">E111</f>
        <v>206.41883916081571</v>
      </c>
      <c r="F112" s="200">
        <f t="shared" si="18"/>
        <v>137.74313333333333</v>
      </c>
      <c r="G112" s="128"/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</row>
    <row r="113" spans="2:17" x14ac:dyDescent="0.2">
      <c r="B113" s="149">
        <v>88</v>
      </c>
      <c r="C113" s="180">
        <f t="shared" si="17"/>
        <v>53.897647058819928</v>
      </c>
      <c r="D113" s="180">
        <f t="shared" si="18"/>
        <v>7.2815333333333339</v>
      </c>
      <c r="E113" s="200">
        <f t="shared" si="19"/>
        <v>206.41883916081571</v>
      </c>
      <c r="F113" s="200">
        <f t="shared" si="18"/>
        <v>137.74313333333333</v>
      </c>
      <c r="G113" s="128"/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</row>
    <row r="114" spans="2:17" x14ac:dyDescent="0.2">
      <c r="B114" s="149">
        <v>89</v>
      </c>
      <c r="C114" s="180">
        <f t="shared" si="17"/>
        <v>53.897647058819928</v>
      </c>
      <c r="D114" s="180">
        <f t="shared" si="18"/>
        <v>7.2815333333333339</v>
      </c>
      <c r="E114" s="200">
        <f t="shared" si="19"/>
        <v>206.41883916081571</v>
      </c>
      <c r="F114" s="200">
        <f t="shared" si="18"/>
        <v>137.74313333333333</v>
      </c>
      <c r="G114" s="128"/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</row>
    <row r="115" spans="2:17" x14ac:dyDescent="0.2">
      <c r="B115" s="149">
        <v>90</v>
      </c>
      <c r="C115" s="180">
        <f t="shared" si="17"/>
        <v>53.897647058819928</v>
      </c>
      <c r="D115" s="180">
        <f t="shared" si="18"/>
        <v>7.2815333333333339</v>
      </c>
      <c r="E115" s="200">
        <f t="shared" si="19"/>
        <v>206.41883916081571</v>
      </c>
      <c r="F115" s="200">
        <f t="shared" si="18"/>
        <v>137.74313333333333</v>
      </c>
      <c r="G115" s="128"/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</row>
    <row r="116" spans="2:17" x14ac:dyDescent="0.2">
      <c r="B116" s="149">
        <v>91</v>
      </c>
      <c r="C116" s="180">
        <f t="shared" si="17"/>
        <v>53.897647058819928</v>
      </c>
      <c r="D116" s="180">
        <f t="shared" si="18"/>
        <v>7.2815333333333339</v>
      </c>
      <c r="E116" s="200">
        <f t="shared" si="19"/>
        <v>206.41883916081571</v>
      </c>
      <c r="F116" s="200">
        <f t="shared" si="18"/>
        <v>137.74313333333333</v>
      </c>
      <c r="G116" s="128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</row>
    <row r="117" spans="2:17" x14ac:dyDescent="0.2">
      <c r="B117" s="149">
        <v>92</v>
      </c>
      <c r="C117" s="180">
        <f t="shared" si="17"/>
        <v>53.897647058819928</v>
      </c>
      <c r="D117" s="180">
        <f t="shared" si="18"/>
        <v>7.2815333333333339</v>
      </c>
      <c r="E117" s="200">
        <f t="shared" si="19"/>
        <v>206.41883916081571</v>
      </c>
      <c r="F117" s="200">
        <f t="shared" si="18"/>
        <v>137.74313333333333</v>
      </c>
      <c r="G117" s="128"/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</row>
    <row r="118" spans="2:17" x14ac:dyDescent="0.2"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</row>
    <row r="119" spans="2:17" ht="45" x14ac:dyDescent="0.2">
      <c r="B119" s="144" t="s">
        <v>10</v>
      </c>
      <c r="C119" s="166" t="s">
        <v>60</v>
      </c>
      <c r="D119" s="166" t="s">
        <v>63</v>
      </c>
      <c r="E119" s="116" t="s">
        <v>62</v>
      </c>
      <c r="F119" s="116" t="s">
        <v>61</v>
      </c>
    </row>
    <row r="120" spans="2:17" x14ac:dyDescent="0.2">
      <c r="B120" s="144">
        <v>71</v>
      </c>
      <c r="C120" s="126">
        <f>C96*3*32.1/96.1</f>
        <v>65.576184983165263</v>
      </c>
      <c r="D120" s="126">
        <f>D96*3</f>
        <v>70.271800000000013</v>
      </c>
      <c r="E120" s="191">
        <f>E96*3*32.1/96.1</f>
        <v>211.68542204433095</v>
      </c>
      <c r="F120" s="191">
        <f>F96*3</f>
        <v>400.02820000000003</v>
      </c>
    </row>
    <row r="121" spans="2:17" x14ac:dyDescent="0.2">
      <c r="B121" s="149">
        <v>92</v>
      </c>
      <c r="C121" s="126">
        <f>C117*3*32.1/96.1</f>
        <v>54.009816979858059</v>
      </c>
      <c r="D121" s="126">
        <f>D117*3</f>
        <v>21.8446</v>
      </c>
      <c r="E121" s="191">
        <f>E117*3*32.1/96.1</f>
        <v>206.84843091765407</v>
      </c>
      <c r="F121" s="191">
        <f>F117*3</f>
        <v>413.2294</v>
      </c>
    </row>
    <row r="122" spans="2:17" x14ac:dyDescent="0.2">
      <c r="B122" s="158"/>
      <c r="C122" s="179">
        <f>C121-C120</f>
        <v>-11.566368003307204</v>
      </c>
      <c r="D122" s="179">
        <f>D121-D120</f>
        <v>-48.427200000000013</v>
      </c>
      <c r="E122" s="122">
        <f>E121-E120</f>
        <v>-4.8369911266768781</v>
      </c>
      <c r="F122" s="122">
        <f>F121-F120</f>
        <v>13.201199999999972</v>
      </c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</row>
    <row r="125" spans="2:17" ht="32" x14ac:dyDescent="0.4">
      <c r="B125" s="227" t="s">
        <v>33</v>
      </c>
      <c r="C125" s="227"/>
      <c r="D125" s="227"/>
      <c r="E125" s="227"/>
      <c r="F125" s="227"/>
      <c r="G125" s="227"/>
      <c r="H125" s="227"/>
      <c r="I125" s="227"/>
      <c r="J125" s="227"/>
      <c r="K125" s="227"/>
      <c r="L125" s="227"/>
      <c r="M125" s="227"/>
      <c r="N125" s="227"/>
      <c r="O125" s="227"/>
      <c r="P125" s="227"/>
      <c r="Q125" s="227"/>
    </row>
    <row r="127" spans="2:17" ht="45" x14ac:dyDescent="0.2">
      <c r="B127" s="144" t="s">
        <v>10</v>
      </c>
      <c r="C127" s="166" t="s">
        <v>60</v>
      </c>
      <c r="D127" s="166" t="s">
        <v>63</v>
      </c>
      <c r="E127" s="116" t="s">
        <v>62</v>
      </c>
      <c r="F127" s="116" t="s">
        <v>61</v>
      </c>
    </row>
    <row r="128" spans="2:17" x14ac:dyDescent="0.2">
      <c r="B128" s="149">
        <v>71</v>
      </c>
      <c r="C128" s="159">
        <f t="shared" ref="C128:C141" si="20">C96*$G$9*32.1/96.1</f>
        <v>1.7924157228731836</v>
      </c>
      <c r="D128" s="159">
        <f>D96*$G$9</f>
        <v>1.9207625333333338</v>
      </c>
      <c r="E128" s="188">
        <f>E96*$G$9*32.1/96.1</f>
        <v>5.7860682025450458</v>
      </c>
      <c r="F128" s="188">
        <f>F96*$G$9</f>
        <v>10.934104133333335</v>
      </c>
    </row>
    <row r="129" spans="2:6" x14ac:dyDescent="0.2">
      <c r="B129" s="149">
        <v>72</v>
      </c>
      <c r="C129" s="159">
        <f t="shared" si="20"/>
        <v>1.7924157228731836</v>
      </c>
      <c r="D129" s="159">
        <f t="shared" ref="D129:D149" si="21">D97*$G$9</f>
        <v>1.9207625333333338</v>
      </c>
      <c r="E129" s="188">
        <f t="shared" ref="E129:E149" si="22">E97*$G$9*32.1/96.1</f>
        <v>5.7860682025450458</v>
      </c>
      <c r="F129" s="188">
        <f t="shared" ref="F129:F149" si="23">F97*$G$9</f>
        <v>10.934104133333335</v>
      </c>
    </row>
    <row r="130" spans="2:6" x14ac:dyDescent="0.2">
      <c r="B130" s="149">
        <v>73</v>
      </c>
      <c r="C130" s="159">
        <f t="shared" si="20"/>
        <v>1.7924157228731836</v>
      </c>
      <c r="D130" s="159">
        <f t="shared" si="21"/>
        <v>1.9207625333333338</v>
      </c>
      <c r="E130" s="188">
        <f t="shared" si="22"/>
        <v>5.7860682025450458</v>
      </c>
      <c r="F130" s="188">
        <f t="shared" si="23"/>
        <v>10.934104133333335</v>
      </c>
    </row>
    <row r="131" spans="2:6" x14ac:dyDescent="0.2">
      <c r="B131" s="149">
        <v>74</v>
      </c>
      <c r="C131" s="159">
        <f t="shared" si="20"/>
        <v>1.7924157228731836</v>
      </c>
      <c r="D131" s="159">
        <f t="shared" si="21"/>
        <v>1.9207625333333338</v>
      </c>
      <c r="E131" s="188">
        <f t="shared" si="22"/>
        <v>5.7860682025450458</v>
      </c>
      <c r="F131" s="188">
        <f t="shared" si="23"/>
        <v>10.934104133333335</v>
      </c>
    </row>
    <row r="132" spans="2:6" x14ac:dyDescent="0.2">
      <c r="B132" s="149">
        <v>75</v>
      </c>
      <c r="C132" s="159">
        <f t="shared" si="20"/>
        <v>1.7924157228731836</v>
      </c>
      <c r="D132" s="159">
        <f t="shared" si="21"/>
        <v>1.9207625333333338</v>
      </c>
      <c r="E132" s="188">
        <f t="shared" si="22"/>
        <v>5.7860682025450458</v>
      </c>
      <c r="F132" s="188">
        <f t="shared" si="23"/>
        <v>10.934104133333335</v>
      </c>
    </row>
    <row r="133" spans="2:6" x14ac:dyDescent="0.2">
      <c r="B133" s="149">
        <v>76</v>
      </c>
      <c r="C133" s="159">
        <f t="shared" si="20"/>
        <v>1.7924157228731836</v>
      </c>
      <c r="D133" s="159">
        <f t="shared" si="21"/>
        <v>1.2972509333333335</v>
      </c>
      <c r="E133" s="188">
        <f t="shared" si="22"/>
        <v>5.7860682025450458</v>
      </c>
      <c r="F133" s="188">
        <f t="shared" si="23"/>
        <v>11.191174133333336</v>
      </c>
    </row>
    <row r="134" spans="2:6" x14ac:dyDescent="0.2">
      <c r="B134" s="149">
        <v>77</v>
      </c>
      <c r="C134" s="159">
        <f t="shared" si="20"/>
        <v>1.7924157228731836</v>
      </c>
      <c r="D134" s="159">
        <f t="shared" si="21"/>
        <v>1.0083977333333334</v>
      </c>
      <c r="E134" s="188">
        <f t="shared" si="22"/>
        <v>5.7860682025450458</v>
      </c>
      <c r="F134" s="188">
        <f t="shared" si="23"/>
        <v>11.256610133333336</v>
      </c>
    </row>
    <row r="135" spans="2:6" x14ac:dyDescent="0.2">
      <c r="B135" s="149">
        <v>78</v>
      </c>
      <c r="C135" s="159">
        <f t="shared" si="20"/>
        <v>1.7924157228731836</v>
      </c>
      <c r="D135" s="159">
        <f t="shared" si="21"/>
        <v>0.71954453333333335</v>
      </c>
      <c r="E135" s="188">
        <f t="shared" si="22"/>
        <v>5.7860682025450458</v>
      </c>
      <c r="F135" s="188">
        <f t="shared" si="23"/>
        <v>11.322046133333336</v>
      </c>
    </row>
    <row r="136" spans="2:6" x14ac:dyDescent="0.2">
      <c r="B136" s="149">
        <v>79</v>
      </c>
      <c r="C136" s="159">
        <f t="shared" si="20"/>
        <v>1.7924157228731836</v>
      </c>
      <c r="D136" s="159">
        <f t="shared" si="21"/>
        <v>0.70458773333333335</v>
      </c>
      <c r="E136" s="188">
        <f t="shared" si="22"/>
        <v>5.7860682025450458</v>
      </c>
      <c r="F136" s="188">
        <f t="shared" si="23"/>
        <v>11.236044533333336</v>
      </c>
    </row>
    <row r="137" spans="2:6" x14ac:dyDescent="0.2">
      <c r="B137" s="149">
        <v>80</v>
      </c>
      <c r="C137" s="159">
        <f t="shared" si="20"/>
        <v>1.7924157228731836</v>
      </c>
      <c r="D137" s="159">
        <f t="shared" si="21"/>
        <v>0.70458773333333335</v>
      </c>
      <c r="E137" s="188">
        <f t="shared" si="22"/>
        <v>5.7860682025450458</v>
      </c>
      <c r="F137" s="188">
        <f t="shared" si="23"/>
        <v>11.236044533333336</v>
      </c>
    </row>
    <row r="138" spans="2:6" x14ac:dyDescent="0.2">
      <c r="B138" s="149">
        <v>81</v>
      </c>
      <c r="C138" s="159">
        <f t="shared" si="20"/>
        <v>1.7924157228731836</v>
      </c>
      <c r="D138" s="159">
        <f t="shared" si="21"/>
        <v>0.70458773333333335</v>
      </c>
      <c r="E138" s="188">
        <f t="shared" si="22"/>
        <v>5.7860682025450458</v>
      </c>
      <c r="F138" s="188">
        <f t="shared" si="23"/>
        <v>11.236044533333336</v>
      </c>
    </row>
    <row r="139" spans="2:6" x14ac:dyDescent="0.2">
      <c r="B139" s="149">
        <v>82</v>
      </c>
      <c r="C139" s="159">
        <f t="shared" si="20"/>
        <v>1.7924157228731836</v>
      </c>
      <c r="D139" s="159">
        <f t="shared" si="21"/>
        <v>0.70458773333333335</v>
      </c>
      <c r="E139" s="188">
        <f t="shared" si="22"/>
        <v>5.7860682025450458</v>
      </c>
      <c r="F139" s="188">
        <f t="shared" si="23"/>
        <v>11.236044533333336</v>
      </c>
    </row>
    <row r="140" spans="2:6" x14ac:dyDescent="0.2">
      <c r="B140" s="149">
        <v>83</v>
      </c>
      <c r="C140" s="159">
        <f t="shared" si="20"/>
        <v>1.7924157228731836</v>
      </c>
      <c r="D140" s="159">
        <f t="shared" si="21"/>
        <v>0.70458773333333335</v>
      </c>
      <c r="E140" s="188">
        <f t="shared" si="22"/>
        <v>5.7860682025450458</v>
      </c>
      <c r="F140" s="188">
        <f t="shared" si="23"/>
        <v>11.236044533333336</v>
      </c>
    </row>
    <row r="141" spans="2:6" x14ac:dyDescent="0.2">
      <c r="B141" s="149">
        <v>84</v>
      </c>
      <c r="C141" s="159">
        <f t="shared" si="20"/>
        <v>1.5584389863499051</v>
      </c>
      <c r="D141" s="159">
        <f t="shared" si="21"/>
        <v>0.68963093333333347</v>
      </c>
      <c r="E141" s="188">
        <f t="shared" si="22"/>
        <v>5.6195626427591741</v>
      </c>
      <c r="F141" s="188">
        <f t="shared" si="23"/>
        <v>11.150042933333333</v>
      </c>
    </row>
    <row r="142" spans="2:6" x14ac:dyDescent="0.2">
      <c r="B142" s="149">
        <v>85</v>
      </c>
      <c r="C142" s="159">
        <f>C110*$G$9*32.1/96.1</f>
        <v>1.4762683307827871</v>
      </c>
      <c r="D142" s="159">
        <f t="shared" si="21"/>
        <v>0.59708573333333337</v>
      </c>
      <c r="E142" s="188">
        <f t="shared" si="22"/>
        <v>5.653857111749212</v>
      </c>
      <c r="F142" s="188">
        <f t="shared" si="23"/>
        <v>11.294936933333334</v>
      </c>
    </row>
    <row r="143" spans="2:6" x14ac:dyDescent="0.2">
      <c r="B143" s="149">
        <v>86</v>
      </c>
      <c r="C143" s="159">
        <f t="shared" ref="C143:C149" si="24">C111*$G$9*32.1/96.1</f>
        <v>1.4762683307827871</v>
      </c>
      <c r="D143" s="159">
        <f t="shared" si="21"/>
        <v>0.59708573333333337</v>
      </c>
      <c r="E143" s="188">
        <f t="shared" si="22"/>
        <v>5.653857111749212</v>
      </c>
      <c r="F143" s="188">
        <f t="shared" si="23"/>
        <v>11.294936933333334</v>
      </c>
    </row>
    <row r="144" spans="2:6" x14ac:dyDescent="0.2">
      <c r="B144" s="149">
        <v>87</v>
      </c>
      <c r="C144" s="159">
        <f t="shared" si="24"/>
        <v>1.4762683307827871</v>
      </c>
      <c r="D144" s="159">
        <f t="shared" si="21"/>
        <v>0.59708573333333337</v>
      </c>
      <c r="E144" s="188">
        <f t="shared" si="22"/>
        <v>5.653857111749212</v>
      </c>
      <c r="F144" s="188">
        <f t="shared" si="23"/>
        <v>11.294936933333334</v>
      </c>
    </row>
    <row r="145" spans="2:14" x14ac:dyDescent="0.2">
      <c r="B145" s="149">
        <v>88</v>
      </c>
      <c r="C145" s="159">
        <f t="shared" si="24"/>
        <v>1.4762683307827871</v>
      </c>
      <c r="D145" s="159">
        <f t="shared" si="21"/>
        <v>0.59708573333333337</v>
      </c>
      <c r="E145" s="188">
        <f t="shared" si="22"/>
        <v>5.653857111749212</v>
      </c>
      <c r="F145" s="188">
        <f t="shared" si="23"/>
        <v>11.294936933333334</v>
      </c>
    </row>
    <row r="146" spans="2:14" x14ac:dyDescent="0.2">
      <c r="B146" s="149">
        <v>89</v>
      </c>
      <c r="C146" s="159">
        <f t="shared" si="24"/>
        <v>1.4762683307827871</v>
      </c>
      <c r="D146" s="159">
        <f t="shared" si="21"/>
        <v>0.59708573333333337</v>
      </c>
      <c r="E146" s="188">
        <f t="shared" si="22"/>
        <v>5.653857111749212</v>
      </c>
      <c r="F146" s="188">
        <f t="shared" si="23"/>
        <v>11.294936933333334</v>
      </c>
    </row>
    <row r="147" spans="2:14" x14ac:dyDescent="0.2">
      <c r="B147" s="149">
        <v>90</v>
      </c>
      <c r="C147" s="159">
        <f t="shared" si="24"/>
        <v>1.4762683307827871</v>
      </c>
      <c r="D147" s="159">
        <f t="shared" si="21"/>
        <v>0.59708573333333337</v>
      </c>
      <c r="E147" s="188">
        <f t="shared" si="22"/>
        <v>5.653857111749212</v>
      </c>
      <c r="F147" s="188">
        <f t="shared" si="23"/>
        <v>11.294936933333334</v>
      </c>
    </row>
    <row r="148" spans="2:14" x14ac:dyDescent="0.2">
      <c r="B148" s="149">
        <v>91</v>
      </c>
      <c r="C148" s="159">
        <f t="shared" si="24"/>
        <v>1.4762683307827871</v>
      </c>
      <c r="D148" s="159">
        <f t="shared" si="21"/>
        <v>0.59708573333333337</v>
      </c>
      <c r="E148" s="188">
        <f t="shared" si="22"/>
        <v>5.653857111749212</v>
      </c>
      <c r="F148" s="188">
        <f t="shared" si="23"/>
        <v>11.294936933333334</v>
      </c>
    </row>
    <row r="149" spans="2:14" x14ac:dyDescent="0.2">
      <c r="B149" s="149">
        <v>92</v>
      </c>
      <c r="C149" s="159">
        <f t="shared" si="24"/>
        <v>1.4762683307827871</v>
      </c>
      <c r="D149" s="159">
        <f t="shared" si="21"/>
        <v>0.59708573333333337</v>
      </c>
      <c r="E149" s="188">
        <f t="shared" si="22"/>
        <v>5.653857111749212</v>
      </c>
      <c r="F149" s="188">
        <f t="shared" si="23"/>
        <v>11.294936933333334</v>
      </c>
    </row>
    <row r="150" spans="2:14" x14ac:dyDescent="0.2">
      <c r="B150" s="161"/>
      <c r="C150" s="179">
        <f>SUM(C128:C149)</f>
        <v>36.669990029963586</v>
      </c>
      <c r="D150" s="179">
        <f>SUM(D128:D149)</f>
        <v>21.61826133333334</v>
      </c>
      <c r="E150" s="122">
        <f>SUM(E128:E149)</f>
        <v>126.06930616983851</v>
      </c>
      <c r="F150" s="122">
        <f>SUM(F128:F149)</f>
        <v>246.13011213333337</v>
      </c>
    </row>
    <row r="156" spans="2:14" ht="60" x14ac:dyDescent="0.2">
      <c r="D156" s="161"/>
      <c r="E156" s="133" t="s">
        <v>25</v>
      </c>
      <c r="F156" s="134" t="s">
        <v>26</v>
      </c>
      <c r="G156" s="135" t="s">
        <v>27</v>
      </c>
      <c r="H156" s="135" t="s">
        <v>28</v>
      </c>
      <c r="I156" s="116" t="s">
        <v>29</v>
      </c>
      <c r="J156" s="116" t="s">
        <v>30</v>
      </c>
      <c r="K156" s="144" t="s">
        <v>31</v>
      </c>
      <c r="M156" s="144" t="s">
        <v>66</v>
      </c>
      <c r="N156" s="144" t="s">
        <v>42</v>
      </c>
    </row>
    <row r="157" spans="2:14" x14ac:dyDescent="0.2">
      <c r="D157" s="162" t="s">
        <v>11</v>
      </c>
      <c r="E157" s="136">
        <f>D39</f>
        <v>659.60990634755444</v>
      </c>
      <c r="F157" s="137">
        <f>D91</f>
        <v>8.0893850288831857</v>
      </c>
      <c r="G157" s="138">
        <f>C122</f>
        <v>-11.566368003307204</v>
      </c>
      <c r="H157" s="138">
        <f>D122</f>
        <v>-48.427200000000013</v>
      </c>
      <c r="I157" s="139">
        <f>C150</f>
        <v>36.669990029963586</v>
      </c>
      <c r="J157" s="140">
        <f>D150</f>
        <v>21.61826133333334</v>
      </c>
      <c r="K157" s="141">
        <f>SUM(F157:J157)</f>
        <v>6.384068388872894</v>
      </c>
      <c r="L157" s="163">
        <f>K157/E157</f>
        <v>9.6785514096100773E-3</v>
      </c>
      <c r="M157" s="164">
        <f>E157-K157</f>
        <v>653.2258379586815</v>
      </c>
      <c r="N157" s="164">
        <f>M157*1.56</f>
        <v>1019.0323072155431</v>
      </c>
    </row>
    <row r="158" spans="2:14" x14ac:dyDescent="0.2">
      <c r="D158" s="162" t="s">
        <v>12</v>
      </c>
      <c r="E158" s="136">
        <f>F39</f>
        <v>659.60990634755444</v>
      </c>
      <c r="F158" s="137">
        <f>F91</f>
        <v>197.45913972240047</v>
      </c>
      <c r="G158" s="138">
        <f>E122</f>
        <v>-4.8369911266768781</v>
      </c>
      <c r="H158" s="138">
        <f>F122</f>
        <v>13.201199999999972</v>
      </c>
      <c r="I158" s="139">
        <f>E150</f>
        <v>126.06930616983851</v>
      </c>
      <c r="J158" s="142">
        <f>F150</f>
        <v>246.13011213333337</v>
      </c>
      <c r="K158" s="141">
        <f>SUM(F158:J158)</f>
        <v>578.02276689889538</v>
      </c>
      <c r="L158" s="163">
        <f>K158/E158</f>
        <v>0.87631001495955385</v>
      </c>
      <c r="N158" s="164"/>
    </row>
    <row r="161" spans="4:14" x14ac:dyDescent="0.2">
      <c r="D161" s="72" t="s">
        <v>87</v>
      </c>
    </row>
    <row r="162" spans="4:14" x14ac:dyDescent="0.2">
      <c r="D162" s="162" t="s">
        <v>67</v>
      </c>
      <c r="E162" s="136">
        <f>E157/22</f>
        <v>29.982268470343385</v>
      </c>
      <c r="F162" s="137">
        <f t="shared" ref="F162:J162" si="25">F157/22</f>
        <v>0.36769931949469026</v>
      </c>
      <c r="G162" s="138">
        <f t="shared" si="25"/>
        <v>-0.52574400015032741</v>
      </c>
      <c r="H162" s="138">
        <f t="shared" si="25"/>
        <v>-2.2012363636363643</v>
      </c>
      <c r="I162" s="139">
        <f t="shared" si="25"/>
        <v>1.6668177286347083</v>
      </c>
      <c r="J162" s="140">
        <f t="shared" si="25"/>
        <v>0.98264824242424276</v>
      </c>
      <c r="K162" s="141">
        <f>SUM(F162:J162)</f>
        <v>0.29018492676694974</v>
      </c>
      <c r="L162" s="163">
        <f>K162/E162</f>
        <v>9.6785514096100773E-3</v>
      </c>
      <c r="M162" s="165">
        <f>E162-K162</f>
        <v>29.692083543576434</v>
      </c>
      <c r="N162" s="164">
        <f>M162*1.56</f>
        <v>46.31965032797924</v>
      </c>
    </row>
    <row r="163" spans="4:14" x14ac:dyDescent="0.2">
      <c r="D163" s="162" t="s">
        <v>68</v>
      </c>
      <c r="E163" s="136">
        <f>E158/22</f>
        <v>29.982268470343385</v>
      </c>
      <c r="F163" s="137">
        <f t="shared" ref="F163:J163" si="26">F158/22</f>
        <v>8.9754154419272947</v>
      </c>
      <c r="G163" s="138">
        <f t="shared" si="26"/>
        <v>-0.21986323303076719</v>
      </c>
      <c r="H163" s="138">
        <f t="shared" si="26"/>
        <v>0.60005454545454417</v>
      </c>
      <c r="I163" s="139">
        <f t="shared" si="26"/>
        <v>5.7304230077199323</v>
      </c>
      <c r="J163" s="142">
        <f t="shared" si="26"/>
        <v>11.187732369696972</v>
      </c>
      <c r="K163" s="141">
        <f>SUM(F163:J163)</f>
        <v>26.273762131767974</v>
      </c>
      <c r="L163" s="163">
        <f>K163/E163</f>
        <v>0.87631001495955396</v>
      </c>
    </row>
    <row r="165" spans="4:14" x14ac:dyDescent="0.2">
      <c r="F165" s="137">
        <f>F162</f>
        <v>0.36769931949469026</v>
      </c>
      <c r="G165" s="138">
        <f>-G162</f>
        <v>0.52574400015032741</v>
      </c>
      <c r="H165" s="138">
        <f>-H162</f>
        <v>2.2012363636363643</v>
      </c>
      <c r="I165" s="139">
        <f t="shared" ref="G165:J165" si="27">I162</f>
        <v>1.6668177286347083</v>
      </c>
      <c r="J165" s="140">
        <f t="shared" si="27"/>
        <v>0.98264824242424276</v>
      </c>
      <c r="K165" s="141">
        <f>SUM(F165:J165)</f>
        <v>5.7441456543403326</v>
      </c>
    </row>
    <row r="166" spans="4:14" x14ac:dyDescent="0.2">
      <c r="F166" s="242">
        <f>F165/$K$165</f>
        <v>6.4012882266808999E-2</v>
      </c>
      <c r="G166" s="243">
        <f>G165/$K$165</f>
        <v>9.152692702927373E-2</v>
      </c>
      <c r="H166" s="243">
        <f>H165/$K$165</f>
        <v>0.3832138835081747</v>
      </c>
      <c r="I166" s="244">
        <f>I165/$K$165</f>
        <v>0.29017678675596337</v>
      </c>
      <c r="J166" s="244">
        <f>J165/$K$165</f>
        <v>0.17106952043977927</v>
      </c>
      <c r="K166" s="245">
        <f>SUM(F166:J166)</f>
        <v>1</v>
      </c>
    </row>
  </sheetData>
  <mergeCells count="4">
    <mergeCell ref="B14:Q14"/>
    <mergeCell ref="B41:Q41"/>
    <mergeCell ref="B93:Q93"/>
    <mergeCell ref="B125:Q12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029E3-4AB5-D54A-ABE6-E1DB027AF393}">
  <sheetPr>
    <tabColor rgb="FFC366DF"/>
  </sheetPr>
  <dimension ref="B2:Q162"/>
  <sheetViews>
    <sheetView tabSelected="1" topLeftCell="A178" zoomScale="125" zoomScaleNormal="254" workbookViewId="0">
      <selection activeCell="F158" sqref="F158:J158"/>
    </sheetView>
  </sheetViews>
  <sheetFormatPr baseColWidth="10" defaultRowHeight="14" x14ac:dyDescent="0.2"/>
  <cols>
    <col min="1" max="5" width="10.83203125" style="72"/>
    <col min="6" max="6" width="11.6640625" style="72" customWidth="1"/>
    <col min="7" max="16384" width="10.83203125" style="72"/>
  </cols>
  <sheetData>
    <row r="2" spans="2:17" x14ac:dyDescent="0.2">
      <c r="B2" s="1"/>
      <c r="C2" s="1"/>
    </row>
    <row r="3" spans="2:17" x14ac:dyDescent="0.2">
      <c r="B3" s="1"/>
      <c r="C3" s="1"/>
      <c r="F3" s="1"/>
    </row>
    <row r="4" spans="2:17" x14ac:dyDescent="0.2">
      <c r="F4" s="1" t="s">
        <v>17</v>
      </c>
    </row>
    <row r="5" spans="2:17" x14ac:dyDescent="0.2">
      <c r="B5" s="1"/>
      <c r="C5" s="1"/>
      <c r="F5" s="1"/>
    </row>
    <row r="6" spans="2:17" ht="15" thickBot="1" x14ac:dyDescent="0.25">
      <c r="B6" s="1"/>
      <c r="C6" s="1"/>
    </row>
    <row r="7" spans="2:17" ht="15" thickBot="1" x14ac:dyDescent="0.25">
      <c r="C7" s="106"/>
      <c r="F7" s="107" t="s">
        <v>18</v>
      </c>
    </row>
    <row r="8" spans="2:17" x14ac:dyDescent="0.2">
      <c r="D8" s="143"/>
      <c r="F8" s="72" t="s">
        <v>19</v>
      </c>
      <c r="G8" s="143">
        <f>G10/G9</f>
        <v>1094.6341463414635</v>
      </c>
    </row>
    <row r="9" spans="2:17" ht="15" thickBot="1" x14ac:dyDescent="0.25">
      <c r="F9" s="72" t="s">
        <v>20</v>
      </c>
      <c r="G9" s="72">
        <v>8.2000000000000003E-2</v>
      </c>
    </row>
    <row r="10" spans="2:17" ht="15" thickBot="1" x14ac:dyDescent="0.25">
      <c r="C10" s="106"/>
      <c r="D10" s="108"/>
      <c r="F10" s="109" t="s">
        <v>89</v>
      </c>
      <c r="G10" s="110">
        <v>89.76</v>
      </c>
    </row>
    <row r="11" spans="2:17" ht="15" thickBot="1" x14ac:dyDescent="0.25">
      <c r="C11" s="106"/>
      <c r="D11" s="111"/>
      <c r="F11" s="109" t="s">
        <v>21</v>
      </c>
      <c r="G11" s="112">
        <f>G10*32.1/96.1</f>
        <v>29.982268470343396</v>
      </c>
    </row>
    <row r="14" spans="2:17" ht="32" x14ac:dyDescent="0.4">
      <c r="B14" s="223" t="s">
        <v>22</v>
      </c>
      <c r="C14" s="223"/>
      <c r="D14" s="223"/>
      <c r="E14" s="223"/>
      <c r="F14" s="223"/>
      <c r="G14" s="223"/>
      <c r="H14" s="223"/>
      <c r="I14" s="223"/>
      <c r="J14" s="223"/>
      <c r="K14" s="223"/>
      <c r="L14" s="223"/>
      <c r="M14" s="223"/>
      <c r="N14" s="223"/>
      <c r="O14" s="223"/>
      <c r="P14" s="223"/>
      <c r="Q14" s="223"/>
    </row>
    <row r="16" spans="2:17" ht="30" x14ac:dyDescent="0.2">
      <c r="B16" s="144" t="s">
        <v>10</v>
      </c>
      <c r="C16" s="166" t="s">
        <v>44</v>
      </c>
      <c r="D16" s="166" t="s">
        <v>45</v>
      </c>
      <c r="E16" s="116" t="s">
        <v>46</v>
      </c>
      <c r="F16" s="116" t="s">
        <v>47</v>
      </c>
    </row>
    <row r="17" spans="2:6" x14ac:dyDescent="0.2">
      <c r="B17" s="149">
        <v>93</v>
      </c>
      <c r="C17" s="145">
        <f>$G$11</f>
        <v>29.982268470343396</v>
      </c>
      <c r="D17" s="145">
        <f>C17</f>
        <v>29.982268470343396</v>
      </c>
      <c r="E17" s="167">
        <f>$G$11</f>
        <v>29.982268470343396</v>
      </c>
      <c r="F17" s="167">
        <f>E17</f>
        <v>29.982268470343396</v>
      </c>
    </row>
    <row r="18" spans="2:6" x14ac:dyDescent="0.2">
      <c r="B18" s="149">
        <v>94</v>
      </c>
      <c r="C18" s="145">
        <f t="shared" ref="C18:C37" si="0">$G$11</f>
        <v>29.982268470343396</v>
      </c>
      <c r="D18" s="145">
        <f>D17+C18</f>
        <v>59.964536940686791</v>
      </c>
      <c r="E18" s="167">
        <f t="shared" ref="E18:E37" si="1">$G$11</f>
        <v>29.982268470343396</v>
      </c>
      <c r="F18" s="167">
        <f t="shared" ref="F18:F37" si="2">F17+E18</f>
        <v>59.964536940686791</v>
      </c>
    </row>
    <row r="19" spans="2:6" x14ac:dyDescent="0.2">
      <c r="B19" s="149">
        <v>95</v>
      </c>
      <c r="C19" s="145">
        <f t="shared" si="0"/>
        <v>29.982268470343396</v>
      </c>
      <c r="D19" s="145">
        <f t="shared" ref="D19:D37" si="3">D18+C19</f>
        <v>89.946805411030184</v>
      </c>
      <c r="E19" s="167">
        <f t="shared" si="1"/>
        <v>29.982268470343396</v>
      </c>
      <c r="F19" s="167">
        <f t="shared" si="2"/>
        <v>89.946805411030184</v>
      </c>
    </row>
    <row r="20" spans="2:6" x14ac:dyDescent="0.2">
      <c r="B20" s="149">
        <v>96</v>
      </c>
      <c r="C20" s="145">
        <f t="shared" si="0"/>
        <v>29.982268470343396</v>
      </c>
      <c r="D20" s="145">
        <f t="shared" si="3"/>
        <v>119.92907388137358</v>
      </c>
      <c r="E20" s="167">
        <f t="shared" si="1"/>
        <v>29.982268470343396</v>
      </c>
      <c r="F20" s="167">
        <f t="shared" si="2"/>
        <v>119.92907388137358</v>
      </c>
    </row>
    <row r="21" spans="2:6" x14ac:dyDescent="0.2">
      <c r="B21" s="149">
        <v>97</v>
      </c>
      <c r="C21" s="145">
        <f t="shared" si="0"/>
        <v>29.982268470343396</v>
      </c>
      <c r="D21" s="145">
        <f t="shared" si="3"/>
        <v>149.91134235171697</v>
      </c>
      <c r="E21" s="167">
        <f t="shared" si="1"/>
        <v>29.982268470343396</v>
      </c>
      <c r="F21" s="167">
        <f t="shared" si="2"/>
        <v>149.91134235171697</v>
      </c>
    </row>
    <row r="22" spans="2:6" x14ac:dyDescent="0.2">
      <c r="B22" s="149">
        <v>98</v>
      </c>
      <c r="C22" s="145">
        <f t="shared" si="0"/>
        <v>29.982268470343396</v>
      </c>
      <c r="D22" s="145">
        <f t="shared" si="3"/>
        <v>179.89361082206037</v>
      </c>
      <c r="E22" s="167">
        <f t="shared" si="1"/>
        <v>29.982268470343396</v>
      </c>
      <c r="F22" s="167">
        <f t="shared" si="2"/>
        <v>179.89361082206037</v>
      </c>
    </row>
    <row r="23" spans="2:6" x14ac:dyDescent="0.2">
      <c r="B23" s="149">
        <v>99</v>
      </c>
      <c r="C23" s="145">
        <f t="shared" si="0"/>
        <v>29.982268470343396</v>
      </c>
      <c r="D23" s="145">
        <f t="shared" si="3"/>
        <v>209.87587929240377</v>
      </c>
      <c r="E23" s="167">
        <f t="shared" si="1"/>
        <v>29.982268470343396</v>
      </c>
      <c r="F23" s="167">
        <f t="shared" si="2"/>
        <v>209.87587929240377</v>
      </c>
    </row>
    <row r="24" spans="2:6" x14ac:dyDescent="0.2">
      <c r="B24" s="149">
        <v>100</v>
      </c>
      <c r="C24" s="145">
        <f t="shared" si="0"/>
        <v>29.982268470343396</v>
      </c>
      <c r="D24" s="145">
        <f t="shared" si="3"/>
        <v>239.85814776274717</v>
      </c>
      <c r="E24" s="167">
        <f t="shared" si="1"/>
        <v>29.982268470343396</v>
      </c>
      <c r="F24" s="167">
        <f t="shared" si="2"/>
        <v>239.85814776274717</v>
      </c>
    </row>
    <row r="25" spans="2:6" x14ac:dyDescent="0.2">
      <c r="B25" s="149">
        <v>101</v>
      </c>
      <c r="C25" s="145">
        <f t="shared" si="0"/>
        <v>29.982268470343396</v>
      </c>
      <c r="D25" s="145">
        <f t="shared" si="3"/>
        <v>269.84041623309054</v>
      </c>
      <c r="E25" s="167">
        <f t="shared" si="1"/>
        <v>29.982268470343396</v>
      </c>
      <c r="F25" s="167">
        <f t="shared" si="2"/>
        <v>269.84041623309054</v>
      </c>
    </row>
    <row r="26" spans="2:6" x14ac:dyDescent="0.2">
      <c r="B26" s="149">
        <v>102</v>
      </c>
      <c r="C26" s="145">
        <f t="shared" si="0"/>
        <v>29.982268470343396</v>
      </c>
      <c r="D26" s="145">
        <f t="shared" si="3"/>
        <v>299.82268470343394</v>
      </c>
      <c r="E26" s="167">
        <f t="shared" si="1"/>
        <v>29.982268470343396</v>
      </c>
      <c r="F26" s="167">
        <f t="shared" si="2"/>
        <v>299.82268470343394</v>
      </c>
    </row>
    <row r="27" spans="2:6" x14ac:dyDescent="0.2">
      <c r="B27" s="149">
        <v>103</v>
      </c>
      <c r="C27" s="145">
        <f t="shared" si="0"/>
        <v>29.982268470343396</v>
      </c>
      <c r="D27" s="145">
        <f t="shared" si="3"/>
        <v>329.80495317377733</v>
      </c>
      <c r="E27" s="167">
        <f t="shared" si="1"/>
        <v>29.982268470343396</v>
      </c>
      <c r="F27" s="167">
        <f t="shared" si="2"/>
        <v>329.80495317377733</v>
      </c>
    </row>
    <row r="28" spans="2:6" x14ac:dyDescent="0.2">
      <c r="B28" s="149">
        <v>104</v>
      </c>
      <c r="C28" s="145">
        <f t="shared" si="0"/>
        <v>29.982268470343396</v>
      </c>
      <c r="D28" s="145">
        <f t="shared" si="3"/>
        <v>359.78722164412073</v>
      </c>
      <c r="E28" s="167">
        <f t="shared" si="1"/>
        <v>29.982268470343396</v>
      </c>
      <c r="F28" s="167">
        <f t="shared" si="2"/>
        <v>359.78722164412073</v>
      </c>
    </row>
    <row r="29" spans="2:6" x14ac:dyDescent="0.2">
      <c r="B29" s="149">
        <v>105</v>
      </c>
      <c r="C29" s="145">
        <f t="shared" si="0"/>
        <v>29.982268470343396</v>
      </c>
      <c r="D29" s="145">
        <f t="shared" si="3"/>
        <v>389.76949011446413</v>
      </c>
      <c r="E29" s="167">
        <f t="shared" si="1"/>
        <v>29.982268470343396</v>
      </c>
      <c r="F29" s="167">
        <f t="shared" si="2"/>
        <v>389.76949011446413</v>
      </c>
    </row>
    <row r="30" spans="2:6" x14ac:dyDescent="0.2">
      <c r="B30" s="149">
        <v>106</v>
      </c>
      <c r="C30" s="145">
        <f t="shared" si="0"/>
        <v>29.982268470343396</v>
      </c>
      <c r="D30" s="145">
        <f t="shared" si="3"/>
        <v>419.75175858480753</v>
      </c>
      <c r="E30" s="167">
        <f t="shared" si="1"/>
        <v>29.982268470343396</v>
      </c>
      <c r="F30" s="167">
        <f t="shared" si="2"/>
        <v>419.75175858480753</v>
      </c>
    </row>
    <row r="31" spans="2:6" x14ac:dyDescent="0.2">
      <c r="B31" s="149">
        <v>107</v>
      </c>
      <c r="C31" s="145">
        <f t="shared" si="0"/>
        <v>29.982268470343396</v>
      </c>
      <c r="D31" s="145">
        <f t="shared" si="3"/>
        <v>449.73402705515093</v>
      </c>
      <c r="E31" s="167">
        <f t="shared" si="1"/>
        <v>29.982268470343396</v>
      </c>
      <c r="F31" s="167">
        <f t="shared" si="2"/>
        <v>449.73402705515093</v>
      </c>
    </row>
    <row r="32" spans="2:6" x14ac:dyDescent="0.2">
      <c r="B32" s="149">
        <v>108</v>
      </c>
      <c r="C32" s="145">
        <f t="shared" si="0"/>
        <v>29.982268470343396</v>
      </c>
      <c r="D32" s="145">
        <f t="shared" si="3"/>
        <v>479.71629552549433</v>
      </c>
      <c r="E32" s="167">
        <f t="shared" si="1"/>
        <v>29.982268470343396</v>
      </c>
      <c r="F32" s="167">
        <f t="shared" si="2"/>
        <v>479.71629552549433</v>
      </c>
    </row>
    <row r="33" spans="2:17" x14ac:dyDescent="0.2">
      <c r="B33" s="149">
        <v>109</v>
      </c>
      <c r="C33" s="145">
        <f t="shared" si="0"/>
        <v>29.982268470343396</v>
      </c>
      <c r="D33" s="145">
        <f t="shared" si="3"/>
        <v>509.69856399583773</v>
      </c>
      <c r="E33" s="167">
        <f t="shared" si="1"/>
        <v>29.982268470343396</v>
      </c>
      <c r="F33" s="167">
        <f t="shared" si="2"/>
        <v>509.69856399583773</v>
      </c>
    </row>
    <row r="34" spans="2:17" x14ac:dyDescent="0.2">
      <c r="B34" s="149">
        <v>110</v>
      </c>
      <c r="C34" s="145">
        <f t="shared" si="0"/>
        <v>29.982268470343396</v>
      </c>
      <c r="D34" s="145">
        <f t="shared" si="3"/>
        <v>539.68083246618107</v>
      </c>
      <c r="E34" s="167">
        <f t="shared" si="1"/>
        <v>29.982268470343396</v>
      </c>
      <c r="F34" s="167">
        <f t="shared" si="2"/>
        <v>539.68083246618107</v>
      </c>
    </row>
    <row r="35" spans="2:17" x14ac:dyDescent="0.2">
      <c r="B35" s="149">
        <v>111</v>
      </c>
      <c r="C35" s="145">
        <f t="shared" si="0"/>
        <v>29.982268470343396</v>
      </c>
      <c r="D35" s="145">
        <f t="shared" si="3"/>
        <v>569.66310093652442</v>
      </c>
      <c r="E35" s="167">
        <f t="shared" si="1"/>
        <v>29.982268470343396</v>
      </c>
      <c r="F35" s="167">
        <f t="shared" si="2"/>
        <v>569.66310093652442</v>
      </c>
    </row>
    <row r="36" spans="2:17" x14ac:dyDescent="0.2">
      <c r="B36" s="149">
        <v>112</v>
      </c>
      <c r="C36" s="145">
        <f t="shared" si="0"/>
        <v>29.982268470343396</v>
      </c>
      <c r="D36" s="145">
        <f t="shared" si="3"/>
        <v>599.64536940686776</v>
      </c>
      <c r="E36" s="167">
        <f t="shared" si="1"/>
        <v>29.982268470343396</v>
      </c>
      <c r="F36" s="167">
        <f t="shared" si="2"/>
        <v>599.64536940686776</v>
      </c>
    </row>
    <row r="37" spans="2:17" x14ac:dyDescent="0.2">
      <c r="B37" s="149">
        <v>113</v>
      </c>
      <c r="C37" s="145">
        <f t="shared" si="0"/>
        <v>29.982268470343396</v>
      </c>
      <c r="D37" s="145">
        <f t="shared" si="3"/>
        <v>629.6276378772111</v>
      </c>
      <c r="E37" s="167">
        <f t="shared" si="1"/>
        <v>29.982268470343396</v>
      </c>
      <c r="F37" s="167">
        <f t="shared" si="2"/>
        <v>629.6276378772111</v>
      </c>
    </row>
    <row r="38" spans="2:17" x14ac:dyDescent="0.2">
      <c r="B38" s="81"/>
      <c r="C38" s="151"/>
      <c r="D38" s="168">
        <f>D37</f>
        <v>629.6276378772111</v>
      </c>
      <c r="E38" s="151"/>
      <c r="F38" s="118">
        <f>F37</f>
        <v>629.6276378772111</v>
      </c>
      <c r="G38" s="81" t="s">
        <v>23</v>
      </c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40" spans="2:17" ht="32" x14ac:dyDescent="0.4">
      <c r="B40" s="228" t="s">
        <v>24</v>
      </c>
      <c r="C40" s="228"/>
      <c r="D40" s="228"/>
      <c r="E40" s="228"/>
      <c r="F40" s="228"/>
      <c r="G40" s="228"/>
      <c r="H40" s="228"/>
      <c r="I40" s="228"/>
      <c r="J40" s="228"/>
      <c r="K40" s="228"/>
      <c r="L40" s="228"/>
      <c r="M40" s="228"/>
      <c r="N40" s="228"/>
      <c r="O40" s="228"/>
      <c r="P40" s="228"/>
      <c r="Q40" s="228"/>
    </row>
    <row r="42" spans="2:17" ht="30" x14ac:dyDescent="0.2">
      <c r="B42" s="144" t="s">
        <v>10</v>
      </c>
      <c r="C42" s="166" t="s">
        <v>48</v>
      </c>
      <c r="D42" s="166" t="s">
        <v>49</v>
      </c>
      <c r="E42" s="116" t="s">
        <v>50</v>
      </c>
      <c r="F42" s="116" t="s">
        <v>51</v>
      </c>
    </row>
    <row r="43" spans="2:17" x14ac:dyDescent="0.2">
      <c r="B43" s="149">
        <v>93</v>
      </c>
      <c r="C43" s="192">
        <f>RESUMEN!H53</f>
        <v>34</v>
      </c>
      <c r="D43" s="192">
        <f>RESUMEN!D53</f>
        <v>2.6</v>
      </c>
      <c r="E43" s="193">
        <f>RESUMEN!P53</f>
        <v>2961</v>
      </c>
      <c r="F43" s="193">
        <f>RESUMEN!L53</f>
        <v>2.5</v>
      </c>
      <c r="H43" s="164"/>
    </row>
    <row r="44" spans="2:17" x14ac:dyDescent="0.2">
      <c r="B44" s="149">
        <v>94</v>
      </c>
      <c r="C44" s="169">
        <f>AVERAGE(C43,C47)</f>
        <v>392.5</v>
      </c>
      <c r="D44" s="169">
        <f>AVERAGE(D43,D47)</f>
        <v>2.8</v>
      </c>
      <c r="E44" s="170">
        <f>AVERAGE(E43,E47)</f>
        <v>3120.5</v>
      </c>
      <c r="F44" s="170">
        <f>AVERAGE(F43,F47)</f>
        <v>2.85</v>
      </c>
    </row>
    <row r="45" spans="2:17" x14ac:dyDescent="0.2">
      <c r="B45" s="149">
        <v>95</v>
      </c>
      <c r="C45" s="169">
        <f t="shared" ref="C45:F46" si="4">C44</f>
        <v>392.5</v>
      </c>
      <c r="D45" s="169">
        <f t="shared" si="4"/>
        <v>2.8</v>
      </c>
      <c r="E45" s="170">
        <f t="shared" si="4"/>
        <v>3120.5</v>
      </c>
      <c r="F45" s="170">
        <f t="shared" si="4"/>
        <v>2.85</v>
      </c>
    </row>
    <row r="46" spans="2:17" x14ac:dyDescent="0.2">
      <c r="B46" s="149">
        <v>96</v>
      </c>
      <c r="C46" s="169">
        <f t="shared" si="4"/>
        <v>392.5</v>
      </c>
      <c r="D46" s="169">
        <f t="shared" si="4"/>
        <v>2.8</v>
      </c>
      <c r="E46" s="170">
        <f t="shared" si="4"/>
        <v>3120.5</v>
      </c>
      <c r="F46" s="170">
        <f t="shared" si="4"/>
        <v>2.85</v>
      </c>
    </row>
    <row r="47" spans="2:17" x14ac:dyDescent="0.2">
      <c r="B47" s="149">
        <v>97</v>
      </c>
      <c r="C47" s="192">
        <f>RESUMEN!H54</f>
        <v>751</v>
      </c>
      <c r="D47" s="192">
        <f>RESUMEN!D54</f>
        <v>3</v>
      </c>
      <c r="E47" s="193">
        <f>RESUMEN!P54</f>
        <v>3280</v>
      </c>
      <c r="F47" s="193">
        <f>RESUMEN!L54</f>
        <v>3.2</v>
      </c>
    </row>
    <row r="48" spans="2:17" x14ac:dyDescent="0.2">
      <c r="B48" s="149">
        <v>98</v>
      </c>
      <c r="C48" s="192">
        <f>RESUMEN!H55</f>
        <v>929</v>
      </c>
      <c r="D48" s="192">
        <f>RESUMEN!D55</f>
        <v>2.6</v>
      </c>
      <c r="E48" s="193">
        <f>RESUMEN!P55</f>
        <v>3320</v>
      </c>
      <c r="F48" s="193">
        <f>RESUMEN!L55</f>
        <v>3.1</v>
      </c>
    </row>
    <row r="49" spans="2:6" x14ac:dyDescent="0.2">
      <c r="B49" s="149">
        <v>99</v>
      </c>
      <c r="C49" s="192">
        <f>RESUMEN!H56</f>
        <v>1180</v>
      </c>
      <c r="D49" s="192">
        <f>RESUMEN!D56</f>
        <v>2.5</v>
      </c>
      <c r="E49" s="193">
        <f>RESUMEN!P56</f>
        <v>3285</v>
      </c>
      <c r="F49" s="193">
        <f>RESUMEN!L56</f>
        <v>3.3</v>
      </c>
    </row>
    <row r="50" spans="2:6" x14ac:dyDescent="0.2">
      <c r="B50" s="149">
        <v>100</v>
      </c>
      <c r="C50" s="192">
        <f>RESUMEN!H57</f>
        <v>1535</v>
      </c>
      <c r="D50" s="192">
        <f>RESUMEN!D57</f>
        <v>2.4</v>
      </c>
      <c r="E50" s="193">
        <f>RESUMEN!P57</f>
        <v>2790</v>
      </c>
      <c r="F50" s="193">
        <f>RESUMEN!L57</f>
        <v>3.1</v>
      </c>
    </row>
    <row r="51" spans="2:6" x14ac:dyDescent="0.2">
      <c r="B51" s="149">
        <v>101</v>
      </c>
      <c r="C51" s="169">
        <f>AVERAGE(C50,C54)</f>
        <v>1994.5</v>
      </c>
      <c r="D51" s="169">
        <f>AVERAGE(D50,D54)</f>
        <v>2.5999999999999996</v>
      </c>
      <c r="E51" s="170">
        <f>AVERAGE(E50,E54)</f>
        <v>2707</v>
      </c>
      <c r="F51" s="170">
        <f>AVERAGE(F50,F54)</f>
        <v>3.1</v>
      </c>
    </row>
    <row r="52" spans="2:6" x14ac:dyDescent="0.2">
      <c r="B52" s="149">
        <v>102</v>
      </c>
      <c r="C52" s="169">
        <f t="shared" ref="C52:F53" si="5">C51</f>
        <v>1994.5</v>
      </c>
      <c r="D52" s="169">
        <f t="shared" si="5"/>
        <v>2.5999999999999996</v>
      </c>
      <c r="E52" s="170">
        <f t="shared" si="5"/>
        <v>2707</v>
      </c>
      <c r="F52" s="170">
        <f t="shared" si="5"/>
        <v>3.1</v>
      </c>
    </row>
    <row r="53" spans="2:6" x14ac:dyDescent="0.2">
      <c r="B53" s="149">
        <v>103</v>
      </c>
      <c r="C53" s="169">
        <f t="shared" si="5"/>
        <v>1994.5</v>
      </c>
      <c r="D53" s="169">
        <f t="shared" si="5"/>
        <v>2.5999999999999996</v>
      </c>
      <c r="E53" s="170">
        <f t="shared" si="5"/>
        <v>2707</v>
      </c>
      <c r="F53" s="170">
        <f t="shared" si="5"/>
        <v>3.1</v>
      </c>
    </row>
    <row r="54" spans="2:6" x14ac:dyDescent="0.2">
      <c r="B54" s="149">
        <v>104</v>
      </c>
      <c r="C54" s="145">
        <f>RESUMEN!H58</f>
        <v>2454</v>
      </c>
      <c r="D54" s="145">
        <f>RESUMEN!D58</f>
        <v>2.8</v>
      </c>
      <c r="E54" s="167">
        <f>RESUMEN!P58</f>
        <v>2624</v>
      </c>
      <c r="F54" s="167">
        <f>RESUMEN!L58</f>
        <v>3.1</v>
      </c>
    </row>
    <row r="55" spans="2:6" x14ac:dyDescent="0.2">
      <c r="B55" s="149">
        <v>105</v>
      </c>
      <c r="C55" s="145">
        <f>RESUMEN!H59</f>
        <v>2588</v>
      </c>
      <c r="D55" s="145">
        <f>RESUMEN!D59</f>
        <v>3</v>
      </c>
      <c r="E55" s="167">
        <f>RESUMEN!P59</f>
        <v>2677</v>
      </c>
      <c r="F55" s="167">
        <f>RESUMEN!L59</f>
        <v>3</v>
      </c>
    </row>
    <row r="56" spans="2:6" x14ac:dyDescent="0.2">
      <c r="B56" s="149">
        <v>106</v>
      </c>
      <c r="C56" s="145">
        <f>RESUMEN!H60</f>
        <v>2523</v>
      </c>
      <c r="D56" s="145">
        <f>RESUMEN!D60</f>
        <v>3.2</v>
      </c>
      <c r="E56" s="167">
        <f>RESUMEN!P60</f>
        <v>2721</v>
      </c>
      <c r="F56" s="167">
        <f>RESUMEN!L60</f>
        <v>2.8</v>
      </c>
    </row>
    <row r="57" spans="2:6" x14ac:dyDescent="0.2">
      <c r="B57" s="149">
        <v>107</v>
      </c>
      <c r="C57" s="169">
        <f>AVERAGE(C56,C61)</f>
        <v>2583</v>
      </c>
      <c r="D57" s="169">
        <f>AVERAGE(D56,D61)</f>
        <v>3.2</v>
      </c>
      <c r="E57" s="170">
        <f>AVERAGE(E56,E61)</f>
        <v>2692.5</v>
      </c>
      <c r="F57" s="170">
        <f>AVERAGE(F56,F61)</f>
        <v>2.9</v>
      </c>
    </row>
    <row r="58" spans="2:6" x14ac:dyDescent="0.2">
      <c r="B58" s="149">
        <v>108</v>
      </c>
      <c r="C58" s="169">
        <f t="shared" ref="C58:F60" si="6">C57</f>
        <v>2583</v>
      </c>
      <c r="D58" s="169">
        <f t="shared" si="6"/>
        <v>3.2</v>
      </c>
      <c r="E58" s="170">
        <f t="shared" si="6"/>
        <v>2692.5</v>
      </c>
      <c r="F58" s="170">
        <f t="shared" si="6"/>
        <v>2.9</v>
      </c>
    </row>
    <row r="59" spans="2:6" x14ac:dyDescent="0.2">
      <c r="B59" s="149">
        <v>109</v>
      </c>
      <c r="C59" s="169">
        <f t="shared" si="6"/>
        <v>2583</v>
      </c>
      <c r="D59" s="169">
        <f t="shared" si="6"/>
        <v>3.2</v>
      </c>
      <c r="E59" s="170">
        <f t="shared" si="6"/>
        <v>2692.5</v>
      </c>
      <c r="F59" s="170">
        <f t="shared" si="6"/>
        <v>2.9</v>
      </c>
    </row>
    <row r="60" spans="2:6" x14ac:dyDescent="0.2">
      <c r="B60" s="149">
        <v>110</v>
      </c>
      <c r="C60" s="169">
        <f t="shared" si="6"/>
        <v>2583</v>
      </c>
      <c r="D60" s="169">
        <f t="shared" si="6"/>
        <v>3.2</v>
      </c>
      <c r="E60" s="170">
        <f t="shared" si="6"/>
        <v>2692.5</v>
      </c>
      <c r="F60" s="170">
        <f t="shared" si="6"/>
        <v>2.9</v>
      </c>
    </row>
    <row r="61" spans="2:6" x14ac:dyDescent="0.2">
      <c r="B61" s="149">
        <v>111</v>
      </c>
      <c r="C61" s="145">
        <f>RESUMEN!H61</f>
        <v>2643</v>
      </c>
      <c r="D61" s="145">
        <f>RESUMEN!D61</f>
        <v>3.2</v>
      </c>
      <c r="E61" s="167">
        <f>RESUMEN!P61</f>
        <v>2664</v>
      </c>
      <c r="F61" s="167">
        <f>RESUMEN!L61</f>
        <v>3</v>
      </c>
    </row>
    <row r="62" spans="2:6" x14ac:dyDescent="0.2">
      <c r="B62" s="149">
        <v>112</v>
      </c>
      <c r="C62" s="145">
        <f>RESUMEN!H62</f>
        <v>2605</v>
      </c>
      <c r="D62" s="145">
        <f>RESUMEN!D62</f>
        <v>3.2</v>
      </c>
      <c r="E62" s="167">
        <f>RESUMEN!P62</f>
        <v>2489</v>
      </c>
      <c r="F62" s="167">
        <f>RESUMEN!L62</f>
        <v>3</v>
      </c>
    </row>
    <row r="63" spans="2:6" x14ac:dyDescent="0.2">
      <c r="B63" s="149">
        <v>113</v>
      </c>
      <c r="C63" s="145">
        <f>RESUMEN!H63</f>
        <v>2643</v>
      </c>
      <c r="D63" s="145">
        <f>RESUMEN!D63</f>
        <v>3.1</v>
      </c>
      <c r="E63" s="167">
        <f>RESUMEN!P63</f>
        <v>2843</v>
      </c>
      <c r="F63" s="167">
        <f>RESUMEN!L63</f>
        <v>2.6</v>
      </c>
    </row>
    <row r="65" spans="2:6" ht="45" x14ac:dyDescent="0.2">
      <c r="B65" s="144" t="s">
        <v>10</v>
      </c>
      <c r="C65" s="166" t="s">
        <v>55</v>
      </c>
      <c r="D65" s="166" t="s">
        <v>54</v>
      </c>
      <c r="E65" s="116" t="s">
        <v>53</v>
      </c>
      <c r="F65" s="116" t="s">
        <v>52</v>
      </c>
    </row>
    <row r="66" spans="2:6" x14ac:dyDescent="0.2">
      <c r="B66" s="149">
        <v>93</v>
      </c>
      <c r="C66" s="153">
        <f t="shared" ref="C66:C86" si="7">C43*D43/1000000</f>
        <v>8.8400000000000007E-5</v>
      </c>
      <c r="D66" s="154">
        <f>C66</f>
        <v>8.8400000000000007E-5</v>
      </c>
      <c r="E66" s="176">
        <f t="shared" ref="E66:E86" si="8">E43*F43/1000000</f>
        <v>7.4025000000000002E-3</v>
      </c>
      <c r="F66" s="177">
        <f>E66</f>
        <v>7.4025000000000002E-3</v>
      </c>
    </row>
    <row r="67" spans="2:6" x14ac:dyDescent="0.2">
      <c r="B67" s="149">
        <v>94</v>
      </c>
      <c r="C67" s="153">
        <f t="shared" si="7"/>
        <v>1.0989999999999999E-3</v>
      </c>
      <c r="D67" s="154">
        <f>D66+C67</f>
        <v>1.1873999999999999E-3</v>
      </c>
      <c r="E67" s="176">
        <f t="shared" si="8"/>
        <v>8.8934250000000017E-3</v>
      </c>
      <c r="F67" s="177">
        <f>F66+E67</f>
        <v>1.6295925000000003E-2</v>
      </c>
    </row>
    <row r="68" spans="2:6" x14ac:dyDescent="0.2">
      <c r="B68" s="149">
        <v>95</v>
      </c>
      <c r="C68" s="153">
        <f t="shared" si="7"/>
        <v>1.0989999999999999E-3</v>
      </c>
      <c r="D68" s="154">
        <f t="shared" ref="D68:D86" si="9">D67+C68</f>
        <v>2.2864000000000001E-3</v>
      </c>
      <c r="E68" s="176">
        <f t="shared" si="8"/>
        <v>8.8934250000000017E-3</v>
      </c>
      <c r="F68" s="177">
        <f t="shared" ref="F68:F86" si="10">F67+E68</f>
        <v>2.5189350000000006E-2</v>
      </c>
    </row>
    <row r="69" spans="2:6" x14ac:dyDescent="0.2">
      <c r="B69" s="149">
        <v>96</v>
      </c>
      <c r="C69" s="153">
        <f t="shared" si="7"/>
        <v>1.0989999999999999E-3</v>
      </c>
      <c r="D69" s="154">
        <f t="shared" si="9"/>
        <v>3.3854000000000002E-3</v>
      </c>
      <c r="E69" s="176">
        <f t="shared" si="8"/>
        <v>8.8934250000000017E-3</v>
      </c>
      <c r="F69" s="177">
        <f t="shared" si="10"/>
        <v>3.408277500000001E-2</v>
      </c>
    </row>
    <row r="70" spans="2:6" x14ac:dyDescent="0.2">
      <c r="B70" s="149">
        <v>97</v>
      </c>
      <c r="C70" s="153">
        <f t="shared" si="7"/>
        <v>2.2529999999999998E-3</v>
      </c>
      <c r="D70" s="154">
        <f t="shared" si="9"/>
        <v>5.6384E-3</v>
      </c>
      <c r="E70" s="176">
        <f t="shared" si="8"/>
        <v>1.0496E-2</v>
      </c>
      <c r="F70" s="177">
        <f t="shared" si="10"/>
        <v>4.4578775000000008E-2</v>
      </c>
    </row>
    <row r="71" spans="2:6" x14ac:dyDescent="0.2">
      <c r="B71" s="149">
        <v>98</v>
      </c>
      <c r="C71" s="153">
        <f t="shared" si="7"/>
        <v>2.4154000000000003E-3</v>
      </c>
      <c r="D71" s="154">
        <f t="shared" si="9"/>
        <v>8.0537999999999998E-3</v>
      </c>
      <c r="E71" s="176">
        <f t="shared" si="8"/>
        <v>1.0292000000000001E-2</v>
      </c>
      <c r="F71" s="177">
        <f t="shared" si="10"/>
        <v>5.4870775000000011E-2</v>
      </c>
    </row>
    <row r="72" spans="2:6" x14ac:dyDescent="0.2">
      <c r="B72" s="149">
        <v>99</v>
      </c>
      <c r="C72" s="153">
        <f t="shared" si="7"/>
        <v>2.9499999999999999E-3</v>
      </c>
      <c r="D72" s="154">
        <f t="shared" si="9"/>
        <v>1.1003799999999999E-2</v>
      </c>
      <c r="E72" s="176">
        <f t="shared" si="8"/>
        <v>1.0840499999999999E-2</v>
      </c>
      <c r="F72" s="177">
        <f t="shared" si="10"/>
        <v>6.5711275000000013E-2</v>
      </c>
    </row>
    <row r="73" spans="2:6" x14ac:dyDescent="0.2">
      <c r="B73" s="149">
        <v>100</v>
      </c>
      <c r="C73" s="153">
        <f t="shared" si="7"/>
        <v>3.6840000000000002E-3</v>
      </c>
      <c r="D73" s="154">
        <f t="shared" si="9"/>
        <v>1.4687799999999999E-2</v>
      </c>
      <c r="E73" s="176">
        <f t="shared" si="8"/>
        <v>8.6490000000000004E-3</v>
      </c>
      <c r="F73" s="177">
        <f t="shared" si="10"/>
        <v>7.4360275000000017E-2</v>
      </c>
    </row>
    <row r="74" spans="2:6" x14ac:dyDescent="0.2">
      <c r="B74" s="149">
        <v>101</v>
      </c>
      <c r="C74" s="153">
        <f t="shared" si="7"/>
        <v>5.1856999999999988E-3</v>
      </c>
      <c r="D74" s="154">
        <f t="shared" si="9"/>
        <v>1.9873499999999999E-2</v>
      </c>
      <c r="E74" s="176">
        <f t="shared" si="8"/>
        <v>8.3917000000000002E-3</v>
      </c>
      <c r="F74" s="177">
        <f t="shared" si="10"/>
        <v>8.2751975000000019E-2</v>
      </c>
    </row>
    <row r="75" spans="2:6" x14ac:dyDescent="0.2">
      <c r="B75" s="149">
        <v>102</v>
      </c>
      <c r="C75" s="153">
        <f t="shared" si="7"/>
        <v>5.1856999999999988E-3</v>
      </c>
      <c r="D75" s="154">
        <f t="shared" si="9"/>
        <v>2.5059199999999997E-2</v>
      </c>
      <c r="E75" s="176">
        <f t="shared" si="8"/>
        <v>8.3917000000000002E-3</v>
      </c>
      <c r="F75" s="177">
        <f t="shared" si="10"/>
        <v>9.1143675000000021E-2</v>
      </c>
    </row>
    <row r="76" spans="2:6" x14ac:dyDescent="0.2">
      <c r="B76" s="149">
        <v>103</v>
      </c>
      <c r="C76" s="153">
        <f t="shared" si="7"/>
        <v>5.1856999999999988E-3</v>
      </c>
      <c r="D76" s="154">
        <f t="shared" si="9"/>
        <v>3.0244899999999995E-2</v>
      </c>
      <c r="E76" s="176">
        <f t="shared" si="8"/>
        <v>8.3917000000000002E-3</v>
      </c>
      <c r="F76" s="177">
        <f t="shared" si="10"/>
        <v>9.9535375000000023E-2</v>
      </c>
    </row>
    <row r="77" spans="2:6" x14ac:dyDescent="0.2">
      <c r="B77" s="149">
        <v>104</v>
      </c>
      <c r="C77" s="153">
        <f t="shared" si="7"/>
        <v>6.8712000000000001E-3</v>
      </c>
      <c r="D77" s="154">
        <f t="shared" si="9"/>
        <v>3.7116099999999992E-2</v>
      </c>
      <c r="E77" s="176">
        <f t="shared" si="8"/>
        <v>8.1344E-3</v>
      </c>
      <c r="F77" s="177">
        <f t="shared" si="10"/>
        <v>0.10766977500000002</v>
      </c>
    </row>
    <row r="78" spans="2:6" x14ac:dyDescent="0.2">
      <c r="B78" s="149">
        <v>105</v>
      </c>
      <c r="C78" s="153">
        <f t="shared" si="7"/>
        <v>7.7640000000000001E-3</v>
      </c>
      <c r="D78" s="154">
        <f t="shared" si="9"/>
        <v>4.4880099999999992E-2</v>
      </c>
      <c r="E78" s="176">
        <f t="shared" si="8"/>
        <v>8.0309999999999999E-3</v>
      </c>
      <c r="F78" s="177">
        <f t="shared" si="10"/>
        <v>0.11570077500000002</v>
      </c>
    </row>
    <row r="79" spans="2:6" x14ac:dyDescent="0.2">
      <c r="B79" s="149">
        <v>106</v>
      </c>
      <c r="C79" s="153">
        <f t="shared" si="7"/>
        <v>8.0736000000000002E-3</v>
      </c>
      <c r="D79" s="153">
        <f t="shared" si="9"/>
        <v>5.2953699999999992E-2</v>
      </c>
      <c r="E79" s="176">
        <f t="shared" si="8"/>
        <v>7.6187999999999994E-3</v>
      </c>
      <c r="F79" s="176">
        <f t="shared" si="10"/>
        <v>0.12331957500000001</v>
      </c>
    </row>
    <row r="80" spans="2:6" x14ac:dyDescent="0.2">
      <c r="B80" s="149">
        <v>107</v>
      </c>
      <c r="C80" s="153">
        <f t="shared" si="7"/>
        <v>8.2655999999999997E-3</v>
      </c>
      <c r="D80" s="154">
        <f t="shared" si="9"/>
        <v>6.121929999999999E-2</v>
      </c>
      <c r="E80" s="176">
        <f t="shared" si="8"/>
        <v>7.8082500000000001E-3</v>
      </c>
      <c r="F80" s="177">
        <f t="shared" si="10"/>
        <v>0.131127825</v>
      </c>
    </row>
    <row r="81" spans="2:17" x14ac:dyDescent="0.2">
      <c r="B81" s="149">
        <v>108</v>
      </c>
      <c r="C81" s="153">
        <f t="shared" si="7"/>
        <v>8.2655999999999997E-3</v>
      </c>
      <c r="D81" s="154">
        <f t="shared" si="9"/>
        <v>6.9484899999999988E-2</v>
      </c>
      <c r="E81" s="176">
        <f t="shared" si="8"/>
        <v>7.8082500000000001E-3</v>
      </c>
      <c r="F81" s="177">
        <f t="shared" si="10"/>
        <v>0.13893607499999999</v>
      </c>
    </row>
    <row r="82" spans="2:17" x14ac:dyDescent="0.2">
      <c r="B82" s="149">
        <v>109</v>
      </c>
      <c r="C82" s="153">
        <f t="shared" si="7"/>
        <v>8.2655999999999997E-3</v>
      </c>
      <c r="D82" s="154">
        <f t="shared" si="9"/>
        <v>7.7750499999999986E-2</v>
      </c>
      <c r="E82" s="176">
        <f t="shared" si="8"/>
        <v>7.8082500000000001E-3</v>
      </c>
      <c r="F82" s="177">
        <f t="shared" si="10"/>
        <v>0.14674432499999998</v>
      </c>
    </row>
    <row r="83" spans="2:17" x14ac:dyDescent="0.2">
      <c r="B83" s="149">
        <v>110</v>
      </c>
      <c r="C83" s="153">
        <f t="shared" si="7"/>
        <v>8.2655999999999997E-3</v>
      </c>
      <c r="D83" s="154">
        <f t="shared" si="9"/>
        <v>8.6016099999999984E-2</v>
      </c>
      <c r="E83" s="176">
        <f t="shared" si="8"/>
        <v>7.8082500000000001E-3</v>
      </c>
      <c r="F83" s="177">
        <f t="shared" si="10"/>
        <v>0.15455257499999997</v>
      </c>
    </row>
    <row r="84" spans="2:17" x14ac:dyDescent="0.2">
      <c r="B84" s="149">
        <v>111</v>
      </c>
      <c r="C84" s="153">
        <f t="shared" si="7"/>
        <v>8.4576000000000009E-3</v>
      </c>
      <c r="D84" s="154">
        <f t="shared" si="9"/>
        <v>9.447369999999998E-2</v>
      </c>
      <c r="E84" s="176">
        <f t="shared" si="8"/>
        <v>7.9920000000000008E-3</v>
      </c>
      <c r="F84" s="177">
        <f t="shared" si="10"/>
        <v>0.16254457499999997</v>
      </c>
    </row>
    <row r="85" spans="2:17" x14ac:dyDescent="0.2">
      <c r="B85" s="149">
        <v>112</v>
      </c>
      <c r="C85" s="153">
        <f t="shared" si="7"/>
        <v>8.3359999999999997E-3</v>
      </c>
      <c r="D85" s="154">
        <f t="shared" si="9"/>
        <v>0.10280969999999998</v>
      </c>
      <c r="E85" s="176">
        <f t="shared" si="8"/>
        <v>7.4669999999999997E-3</v>
      </c>
      <c r="F85" s="177">
        <f t="shared" si="10"/>
        <v>0.17001157499999997</v>
      </c>
    </row>
    <row r="86" spans="2:17" x14ac:dyDescent="0.2">
      <c r="B86" s="149">
        <v>113</v>
      </c>
      <c r="C86" s="153">
        <f t="shared" si="7"/>
        <v>8.1933000000000006E-3</v>
      </c>
      <c r="D86" s="154">
        <f t="shared" si="9"/>
        <v>0.11100299999999998</v>
      </c>
      <c r="E86" s="176">
        <f t="shared" si="8"/>
        <v>7.3918000000000005E-3</v>
      </c>
      <c r="F86" s="177">
        <f t="shared" si="10"/>
        <v>0.17740337499999997</v>
      </c>
    </row>
    <row r="87" spans="2:17" x14ac:dyDescent="0.2">
      <c r="B87" s="81"/>
      <c r="C87" s="82"/>
      <c r="D87" s="178">
        <f>(D86*1)/(0.082*304)</f>
        <v>4.4529444801026949E-3</v>
      </c>
      <c r="E87" s="82"/>
      <c r="F87" s="178">
        <f>(F86*1)/(0.082*304)</f>
        <v>7.1166308969833111E-3</v>
      </c>
      <c r="G87" s="72" t="s">
        <v>32</v>
      </c>
    </row>
    <row r="88" spans="2:17" x14ac:dyDescent="0.2">
      <c r="B88" s="81"/>
      <c r="C88" s="157"/>
      <c r="D88" s="179">
        <f>D87*32.05*1000</f>
        <v>142.71687058729134</v>
      </c>
      <c r="E88" s="157"/>
      <c r="F88" s="122">
        <f>F87*32.05*1000</f>
        <v>228.0880202483151</v>
      </c>
      <c r="G88" s="81" t="s">
        <v>23</v>
      </c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90" spans="2:17" ht="32" x14ac:dyDescent="0.4">
      <c r="B90" s="226" t="s">
        <v>88</v>
      </c>
      <c r="C90" s="226"/>
      <c r="D90" s="226"/>
      <c r="E90" s="226"/>
      <c r="F90" s="226"/>
      <c r="G90" s="226"/>
      <c r="H90" s="226"/>
      <c r="I90" s="226"/>
      <c r="J90" s="226"/>
      <c r="K90" s="226"/>
      <c r="L90" s="226"/>
      <c r="M90" s="226"/>
      <c r="N90" s="226"/>
      <c r="O90" s="226"/>
      <c r="P90" s="226"/>
      <c r="Q90" s="226"/>
    </row>
    <row r="92" spans="2:17" ht="30" x14ac:dyDescent="0.2">
      <c r="B92" s="144" t="s">
        <v>10</v>
      </c>
      <c r="C92" s="166" t="s">
        <v>56</v>
      </c>
      <c r="D92" s="166" t="s">
        <v>57</v>
      </c>
      <c r="E92" s="116" t="s">
        <v>58</v>
      </c>
      <c r="F92" s="116" t="s">
        <v>59</v>
      </c>
    </row>
    <row r="93" spans="2:17" x14ac:dyDescent="0.2">
      <c r="B93" s="149">
        <v>93</v>
      </c>
      <c r="C93" s="180">
        <f>AVERAGE(RESUMEN!AC13,RESUMEN!AC12)</f>
        <v>53.897647058819928</v>
      </c>
      <c r="D93" s="203">
        <f>AVERAGE(RESUMEN!X20,RESUMEN!X19)</f>
        <v>27.106133333333336</v>
      </c>
      <c r="E93" s="198">
        <f>AVERAGE(RESUMEN!AD13,RESUMEN!AD12)</f>
        <v>206.41883916081571</v>
      </c>
      <c r="F93" s="183">
        <f>AVERAGE(RESUMEN!Y20,RESUMEN!Y19)</f>
        <v>147.79793333333333</v>
      </c>
    </row>
    <row r="94" spans="2:17" x14ac:dyDescent="0.2">
      <c r="B94" s="149">
        <v>94</v>
      </c>
      <c r="C94" s="180">
        <f>C93</f>
        <v>53.897647058819928</v>
      </c>
      <c r="D94" s="180">
        <f>D93</f>
        <v>27.106133333333336</v>
      </c>
      <c r="E94" s="200">
        <f>E93</f>
        <v>206.41883916081571</v>
      </c>
      <c r="F94" s="200">
        <f>F93</f>
        <v>147.79793333333333</v>
      </c>
    </row>
    <row r="95" spans="2:17" x14ac:dyDescent="0.2">
      <c r="B95" s="149">
        <v>95</v>
      </c>
      <c r="C95" s="180">
        <f t="shared" ref="C95:F96" si="11">C94</f>
        <v>53.897647058819928</v>
      </c>
      <c r="D95" s="180">
        <f t="shared" si="11"/>
        <v>27.106133333333336</v>
      </c>
      <c r="E95" s="200">
        <f t="shared" si="11"/>
        <v>206.41883916081571</v>
      </c>
      <c r="F95" s="200">
        <f t="shared" si="11"/>
        <v>147.79793333333333</v>
      </c>
    </row>
    <row r="96" spans="2:17" x14ac:dyDescent="0.2">
      <c r="B96" s="149">
        <v>96</v>
      </c>
      <c r="C96" s="180">
        <f t="shared" si="11"/>
        <v>53.897647058819928</v>
      </c>
      <c r="D96" s="180">
        <f t="shared" si="11"/>
        <v>27.106133333333336</v>
      </c>
      <c r="E96" s="200">
        <f t="shared" si="11"/>
        <v>206.41883916081571</v>
      </c>
      <c r="F96" s="200">
        <f t="shared" si="11"/>
        <v>147.79793333333333</v>
      </c>
    </row>
    <row r="97" spans="2:17" x14ac:dyDescent="0.2">
      <c r="B97" s="149">
        <v>97</v>
      </c>
      <c r="C97" s="196">
        <f>RESUMEN!AC13</f>
        <v>50.897647058819899</v>
      </c>
      <c r="D97" s="196">
        <f>RESUMEN!X20</f>
        <v>48.059333333333335</v>
      </c>
      <c r="E97" s="204">
        <f>RESUMEN!AD13</f>
        <v>207.67090909089038</v>
      </c>
      <c r="F97" s="204">
        <f>RESUMEN!Y20</f>
        <v>156.08573333333334</v>
      </c>
    </row>
    <row r="98" spans="2:17" x14ac:dyDescent="0.2">
      <c r="B98" s="149">
        <v>98</v>
      </c>
      <c r="C98" s="180">
        <f>C97</f>
        <v>50.897647058819899</v>
      </c>
      <c r="D98" s="180">
        <f>AVERAGE(D97,D100)</f>
        <v>66.116933333333336</v>
      </c>
      <c r="E98" s="200">
        <f>E97</f>
        <v>207.67090909089038</v>
      </c>
      <c r="F98" s="200">
        <f>AVERAGE(F97,F100)</f>
        <v>145.07333333333332</v>
      </c>
    </row>
    <row r="99" spans="2:17" x14ac:dyDescent="0.2">
      <c r="B99" s="149">
        <v>99</v>
      </c>
      <c r="C99" s="180">
        <f t="shared" ref="C99:F113" si="12">C98</f>
        <v>50.897647058819899</v>
      </c>
      <c r="D99" s="180">
        <f>D98</f>
        <v>66.116933333333336</v>
      </c>
      <c r="E99" s="200">
        <f t="shared" si="12"/>
        <v>207.67090909089038</v>
      </c>
      <c r="F99" s="200">
        <f>F98</f>
        <v>145.07333333333332</v>
      </c>
    </row>
    <row r="100" spans="2:17" x14ac:dyDescent="0.2">
      <c r="B100" s="149">
        <v>100</v>
      </c>
      <c r="C100" s="180">
        <f t="shared" si="12"/>
        <v>50.897647058819899</v>
      </c>
      <c r="D100" s="196">
        <f>RESUMEN!X21</f>
        <v>84.174533333333343</v>
      </c>
      <c r="E100" s="200">
        <f t="shared" si="12"/>
        <v>207.67090909089038</v>
      </c>
      <c r="F100" s="204">
        <f>RESUMEN!Y21</f>
        <v>134.06093333333334</v>
      </c>
    </row>
    <row r="101" spans="2:17" x14ac:dyDescent="0.2">
      <c r="B101" s="149">
        <v>101</v>
      </c>
      <c r="C101" s="180">
        <f t="shared" si="12"/>
        <v>50.897647058819899</v>
      </c>
      <c r="D101" s="180">
        <f>AVERAGE(D100,D104)</f>
        <v>88.241333333333174</v>
      </c>
      <c r="E101" s="200">
        <f t="shared" si="12"/>
        <v>207.67090909089038</v>
      </c>
      <c r="F101" s="200">
        <f>AVERAGE(F100,F104)</f>
        <v>138.39293333333336</v>
      </c>
    </row>
    <row r="102" spans="2:17" x14ac:dyDescent="0.2">
      <c r="B102" s="149">
        <v>102</v>
      </c>
      <c r="C102" s="180">
        <f t="shared" si="12"/>
        <v>50.897647058819899</v>
      </c>
      <c r="D102" s="180">
        <f>D101</f>
        <v>88.241333333333174</v>
      </c>
      <c r="E102" s="200">
        <f t="shared" si="12"/>
        <v>207.67090909089038</v>
      </c>
      <c r="F102" s="200">
        <f>F101</f>
        <v>138.39293333333336</v>
      </c>
    </row>
    <row r="103" spans="2:17" x14ac:dyDescent="0.2">
      <c r="B103" s="149">
        <v>103</v>
      </c>
      <c r="C103" s="180">
        <f t="shared" si="12"/>
        <v>50.897647058819899</v>
      </c>
      <c r="D103" s="180">
        <f>D102</f>
        <v>88.241333333333174</v>
      </c>
      <c r="E103" s="200">
        <f t="shared" si="12"/>
        <v>207.67090909089038</v>
      </c>
      <c r="F103" s="200">
        <f>F102</f>
        <v>138.39293333333336</v>
      </c>
      <c r="G103" s="128"/>
      <c r="H103" s="128"/>
      <c r="I103" s="128"/>
      <c r="J103" s="128"/>
      <c r="K103" s="128"/>
      <c r="L103" s="128"/>
      <c r="M103" s="128"/>
      <c r="N103" s="128"/>
      <c r="O103" s="128"/>
      <c r="P103" s="128"/>
      <c r="Q103" s="128"/>
    </row>
    <row r="104" spans="2:17" x14ac:dyDescent="0.2">
      <c r="B104" s="149">
        <v>104</v>
      </c>
      <c r="C104" s="180">
        <f t="shared" si="12"/>
        <v>50.897647058819899</v>
      </c>
      <c r="D104" s="196">
        <f>RESUMEN!X22</f>
        <v>92.308133333333004</v>
      </c>
      <c r="E104" s="200">
        <f t="shared" si="12"/>
        <v>207.67090909089038</v>
      </c>
      <c r="F104" s="204">
        <f>RESUMEN!Y22</f>
        <v>142.72493333333335</v>
      </c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</row>
    <row r="105" spans="2:17" x14ac:dyDescent="0.2">
      <c r="B105" s="149">
        <v>105</v>
      </c>
      <c r="C105" s="180">
        <f t="shared" si="12"/>
        <v>50.897647058819899</v>
      </c>
      <c r="D105" s="180">
        <f>AVERAGE(D104,D106)</f>
        <v>96.420333333333005</v>
      </c>
      <c r="E105" s="200">
        <f t="shared" si="12"/>
        <v>207.67090909089038</v>
      </c>
      <c r="F105" s="200">
        <f>AVERAGE(F104,F106)</f>
        <v>141.11753333333334</v>
      </c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</row>
    <row r="106" spans="2:17" x14ac:dyDescent="0.2">
      <c r="B106" s="149">
        <v>106</v>
      </c>
      <c r="C106" s="180">
        <f t="shared" si="12"/>
        <v>50.897647058819899</v>
      </c>
      <c r="D106" s="196">
        <f>RESUMEN!X23</f>
        <v>100.53253333333301</v>
      </c>
      <c r="E106" s="200">
        <f t="shared" si="12"/>
        <v>207.67090909089038</v>
      </c>
      <c r="F106" s="204">
        <f>RESUMEN!Y23</f>
        <v>139.51013333333333</v>
      </c>
      <c r="G106" s="128"/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</row>
    <row r="107" spans="2:17" x14ac:dyDescent="0.2">
      <c r="B107" s="149">
        <v>107</v>
      </c>
      <c r="C107" s="180">
        <f t="shared" si="12"/>
        <v>50.897647058819899</v>
      </c>
      <c r="D107" s="180">
        <f>AVERAGE(D106,D112)</f>
        <v>117.44493333333318</v>
      </c>
      <c r="E107" s="200">
        <f t="shared" si="12"/>
        <v>207.67090909089038</v>
      </c>
      <c r="F107" s="200">
        <f>AVERAGE(F106,F112)</f>
        <v>147.79793333333333</v>
      </c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</row>
    <row r="108" spans="2:17" x14ac:dyDescent="0.2">
      <c r="B108" s="149">
        <v>108</v>
      </c>
      <c r="C108" s="180">
        <f t="shared" si="12"/>
        <v>50.897647058819899</v>
      </c>
      <c r="D108" s="180">
        <f>D107</f>
        <v>117.44493333333318</v>
      </c>
      <c r="E108" s="200">
        <f t="shared" si="12"/>
        <v>207.67090909089038</v>
      </c>
      <c r="F108" s="200">
        <f>F107</f>
        <v>147.79793333333333</v>
      </c>
      <c r="G108" s="128"/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</row>
    <row r="109" spans="2:17" x14ac:dyDescent="0.2">
      <c r="B109" s="149">
        <v>109</v>
      </c>
      <c r="C109" s="180">
        <f t="shared" si="12"/>
        <v>50.897647058819899</v>
      </c>
      <c r="D109" s="180">
        <f>D108</f>
        <v>117.44493333333318</v>
      </c>
      <c r="E109" s="200">
        <f t="shared" si="12"/>
        <v>207.67090909089038</v>
      </c>
      <c r="F109" s="200">
        <f>F108</f>
        <v>147.79793333333333</v>
      </c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</row>
    <row r="110" spans="2:17" x14ac:dyDescent="0.2">
      <c r="B110" s="149">
        <v>110</v>
      </c>
      <c r="C110" s="180">
        <f t="shared" si="12"/>
        <v>50.897647058819899</v>
      </c>
      <c r="D110" s="180">
        <f t="shared" ref="D110:F111" si="13">D109</f>
        <v>117.44493333333318</v>
      </c>
      <c r="E110" s="200">
        <f t="shared" si="12"/>
        <v>207.67090909089038</v>
      </c>
      <c r="F110" s="200">
        <f t="shared" si="13"/>
        <v>147.79793333333333</v>
      </c>
      <c r="G110" s="128"/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</row>
    <row r="111" spans="2:17" x14ac:dyDescent="0.2">
      <c r="B111" s="149">
        <v>111</v>
      </c>
      <c r="C111" s="180">
        <f t="shared" si="12"/>
        <v>50.897647058819899</v>
      </c>
      <c r="D111" s="180">
        <f t="shared" si="13"/>
        <v>117.44493333333318</v>
      </c>
      <c r="E111" s="200">
        <f t="shared" si="12"/>
        <v>207.67090909089038</v>
      </c>
      <c r="F111" s="200">
        <f t="shared" si="13"/>
        <v>147.79793333333333</v>
      </c>
      <c r="G111" s="128"/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</row>
    <row r="112" spans="2:17" x14ac:dyDescent="0.2">
      <c r="B112" s="149">
        <v>112</v>
      </c>
      <c r="C112" s="180">
        <f t="shared" si="12"/>
        <v>50.897647058819899</v>
      </c>
      <c r="D112" s="196">
        <f>RESUMEN!X24</f>
        <v>134.35733333333337</v>
      </c>
      <c r="E112" s="200">
        <f t="shared" si="12"/>
        <v>207.67090909089038</v>
      </c>
      <c r="F112" s="204">
        <f>RESUMEN!Y24</f>
        <v>156.08573333333334</v>
      </c>
      <c r="G112" s="128"/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</row>
    <row r="113" spans="2:17" x14ac:dyDescent="0.2">
      <c r="B113" s="149">
        <v>113</v>
      </c>
      <c r="C113" s="180">
        <f t="shared" si="12"/>
        <v>50.897647058819899</v>
      </c>
      <c r="D113" s="180">
        <f t="shared" si="12"/>
        <v>134.35733333333337</v>
      </c>
      <c r="E113" s="200">
        <f t="shared" si="12"/>
        <v>207.67090909089038</v>
      </c>
      <c r="F113" s="200">
        <f t="shared" si="12"/>
        <v>156.08573333333334</v>
      </c>
      <c r="G113" s="128"/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</row>
    <row r="114" spans="2:17" x14ac:dyDescent="0.2"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</row>
    <row r="115" spans="2:17" ht="45" x14ac:dyDescent="0.2">
      <c r="B115" s="144" t="s">
        <v>10</v>
      </c>
      <c r="C115" s="166" t="s">
        <v>60</v>
      </c>
      <c r="D115" s="166" t="s">
        <v>63</v>
      </c>
      <c r="E115" s="116" t="s">
        <v>62</v>
      </c>
      <c r="F115" s="116" t="s">
        <v>61</v>
      </c>
    </row>
    <row r="116" spans="2:17" x14ac:dyDescent="0.2">
      <c r="B116" s="144">
        <v>93</v>
      </c>
      <c r="C116" s="126">
        <f>C93*3*32.1/96.1</f>
        <v>54.009816979858059</v>
      </c>
      <c r="D116" s="126">
        <f>D93*3</f>
        <v>81.318400000000011</v>
      </c>
      <c r="E116" s="191">
        <f>E93*3*32.1/96.1</f>
        <v>206.84843091765407</v>
      </c>
      <c r="F116" s="191">
        <f>F93*3</f>
        <v>443.3938</v>
      </c>
    </row>
    <row r="117" spans="2:17" x14ac:dyDescent="0.2">
      <c r="B117" s="149">
        <v>113</v>
      </c>
      <c r="C117" s="126">
        <f>C113*3*32.1/96.1</f>
        <v>51.003573483500077</v>
      </c>
      <c r="D117" s="126">
        <f>D113*3</f>
        <v>403.07200000000012</v>
      </c>
      <c r="E117" s="191">
        <f>E113*3*32.1/96.1</f>
        <v>208.10310661241149</v>
      </c>
      <c r="F117" s="191">
        <f>3*F113</f>
        <v>468.25720000000001</v>
      </c>
    </row>
    <row r="118" spans="2:17" x14ac:dyDescent="0.2">
      <c r="B118" s="158"/>
      <c r="C118" s="179">
        <f>C117-C116</f>
        <v>-3.0062434963579818</v>
      </c>
      <c r="D118" s="179">
        <f>D117-D116</f>
        <v>321.75360000000012</v>
      </c>
      <c r="E118" s="122">
        <f>E117-E116</f>
        <v>1.2546756947574238</v>
      </c>
      <c r="F118" s="122">
        <f>F117-F116</f>
        <v>24.863400000000013</v>
      </c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</row>
    <row r="121" spans="2:17" ht="32" x14ac:dyDescent="0.4">
      <c r="B121" s="227" t="s">
        <v>33</v>
      </c>
      <c r="C121" s="227"/>
      <c r="D121" s="227"/>
      <c r="E121" s="227"/>
      <c r="F121" s="227"/>
      <c r="G121" s="227"/>
      <c r="H121" s="227"/>
      <c r="I121" s="227"/>
      <c r="J121" s="227"/>
      <c r="K121" s="227"/>
      <c r="L121" s="227"/>
      <c r="M121" s="227"/>
      <c r="N121" s="227"/>
      <c r="O121" s="227"/>
      <c r="P121" s="227"/>
      <c r="Q121" s="227"/>
    </row>
    <row r="123" spans="2:17" ht="45" x14ac:dyDescent="0.2">
      <c r="B123" s="144" t="s">
        <v>10</v>
      </c>
      <c r="C123" s="166" t="s">
        <v>60</v>
      </c>
      <c r="D123" s="166" t="s">
        <v>63</v>
      </c>
      <c r="E123" s="116" t="s">
        <v>62</v>
      </c>
      <c r="F123" s="116" t="s">
        <v>61</v>
      </c>
    </row>
    <row r="124" spans="2:17" x14ac:dyDescent="0.2">
      <c r="B124" s="149">
        <v>93</v>
      </c>
      <c r="C124" s="159">
        <f t="shared" ref="C124:C144" si="14">C93*$G$9*32.1/96.1</f>
        <v>1.4762683307827871</v>
      </c>
      <c r="D124" s="159">
        <f t="shared" ref="D124:D144" si="15">D93*$G$9</f>
        <v>2.2227029333333337</v>
      </c>
      <c r="E124" s="188">
        <f t="shared" ref="E124:E144" si="16">E93*$G$9*32.1/96.1</f>
        <v>5.653857111749212</v>
      </c>
      <c r="F124" s="188">
        <f t="shared" ref="F124:F144" si="17">F93*$G$9</f>
        <v>12.119430533333334</v>
      </c>
    </row>
    <row r="125" spans="2:17" x14ac:dyDescent="0.2">
      <c r="B125" s="149">
        <v>94</v>
      </c>
      <c r="C125" s="159">
        <f t="shared" si="14"/>
        <v>1.4762683307827871</v>
      </c>
      <c r="D125" s="159">
        <f t="shared" si="15"/>
        <v>2.2227029333333337</v>
      </c>
      <c r="E125" s="188">
        <f t="shared" si="16"/>
        <v>5.653857111749212</v>
      </c>
      <c r="F125" s="188">
        <f t="shared" si="17"/>
        <v>12.119430533333334</v>
      </c>
    </row>
    <row r="126" spans="2:17" x14ac:dyDescent="0.2">
      <c r="B126" s="149">
        <v>95</v>
      </c>
      <c r="C126" s="159">
        <f t="shared" si="14"/>
        <v>1.4762683307827871</v>
      </c>
      <c r="D126" s="159">
        <f t="shared" si="15"/>
        <v>2.2227029333333337</v>
      </c>
      <c r="E126" s="188">
        <f t="shared" si="16"/>
        <v>5.653857111749212</v>
      </c>
      <c r="F126" s="188">
        <f t="shared" si="17"/>
        <v>12.119430533333334</v>
      </c>
    </row>
    <row r="127" spans="2:17" x14ac:dyDescent="0.2">
      <c r="B127" s="149">
        <v>96</v>
      </c>
      <c r="C127" s="159">
        <f t="shared" si="14"/>
        <v>1.4762683307827871</v>
      </c>
      <c r="D127" s="159">
        <f t="shared" si="15"/>
        <v>2.2227029333333337</v>
      </c>
      <c r="E127" s="188">
        <f t="shared" si="16"/>
        <v>5.653857111749212</v>
      </c>
      <c r="F127" s="188">
        <f t="shared" si="17"/>
        <v>12.119430533333334</v>
      </c>
    </row>
    <row r="128" spans="2:17" x14ac:dyDescent="0.2">
      <c r="B128" s="149">
        <v>97</v>
      </c>
      <c r="C128" s="159">
        <f t="shared" si="14"/>
        <v>1.3940976752156686</v>
      </c>
      <c r="D128" s="159">
        <f t="shared" si="15"/>
        <v>3.9408653333333334</v>
      </c>
      <c r="E128" s="188">
        <f t="shared" si="16"/>
        <v>5.6881515807392482</v>
      </c>
      <c r="F128" s="188">
        <f t="shared" si="17"/>
        <v>12.799030133333334</v>
      </c>
    </row>
    <row r="129" spans="2:6" x14ac:dyDescent="0.2">
      <c r="B129" s="149">
        <v>98</v>
      </c>
      <c r="C129" s="159">
        <f t="shared" si="14"/>
        <v>1.3940976752156686</v>
      </c>
      <c r="D129" s="159">
        <f t="shared" si="15"/>
        <v>5.4215885333333338</v>
      </c>
      <c r="E129" s="188">
        <f t="shared" si="16"/>
        <v>5.6881515807392482</v>
      </c>
      <c r="F129" s="188">
        <f t="shared" si="17"/>
        <v>11.896013333333332</v>
      </c>
    </row>
    <row r="130" spans="2:6" x14ac:dyDescent="0.2">
      <c r="B130" s="149">
        <v>99</v>
      </c>
      <c r="C130" s="159">
        <f t="shared" si="14"/>
        <v>1.3940976752156686</v>
      </c>
      <c r="D130" s="159">
        <f t="shared" si="15"/>
        <v>5.4215885333333338</v>
      </c>
      <c r="E130" s="188">
        <f t="shared" si="16"/>
        <v>5.6881515807392482</v>
      </c>
      <c r="F130" s="188">
        <f t="shared" si="17"/>
        <v>11.896013333333332</v>
      </c>
    </row>
    <row r="131" spans="2:6" x14ac:dyDescent="0.2">
      <c r="B131" s="149">
        <v>100</v>
      </c>
      <c r="C131" s="159">
        <f t="shared" si="14"/>
        <v>1.3940976752156686</v>
      </c>
      <c r="D131" s="159">
        <f t="shared" si="15"/>
        <v>6.9023117333333346</v>
      </c>
      <c r="E131" s="188">
        <f t="shared" si="16"/>
        <v>5.6881515807392482</v>
      </c>
      <c r="F131" s="188">
        <f t="shared" si="17"/>
        <v>10.992996533333335</v>
      </c>
    </row>
    <row r="132" spans="2:6" x14ac:dyDescent="0.2">
      <c r="B132" s="149">
        <v>101</v>
      </c>
      <c r="C132" s="159">
        <f t="shared" si="14"/>
        <v>1.3940976752156686</v>
      </c>
      <c r="D132" s="159">
        <f t="shared" si="15"/>
        <v>7.2357893333333205</v>
      </c>
      <c r="E132" s="188">
        <f t="shared" si="16"/>
        <v>5.6881515807392482</v>
      </c>
      <c r="F132" s="188">
        <f t="shared" si="17"/>
        <v>11.348220533333336</v>
      </c>
    </row>
    <row r="133" spans="2:6" x14ac:dyDescent="0.2">
      <c r="B133" s="149">
        <v>102</v>
      </c>
      <c r="C133" s="159">
        <f t="shared" si="14"/>
        <v>1.3940976752156686</v>
      </c>
      <c r="D133" s="159">
        <f t="shared" si="15"/>
        <v>7.2357893333333205</v>
      </c>
      <c r="E133" s="188">
        <f t="shared" si="16"/>
        <v>5.6881515807392482</v>
      </c>
      <c r="F133" s="188">
        <f t="shared" si="17"/>
        <v>11.348220533333336</v>
      </c>
    </row>
    <row r="134" spans="2:6" x14ac:dyDescent="0.2">
      <c r="B134" s="149">
        <v>103</v>
      </c>
      <c r="C134" s="159">
        <f t="shared" si="14"/>
        <v>1.3940976752156686</v>
      </c>
      <c r="D134" s="159">
        <f t="shared" si="15"/>
        <v>7.2357893333333205</v>
      </c>
      <c r="E134" s="188">
        <f t="shared" si="16"/>
        <v>5.6881515807392482</v>
      </c>
      <c r="F134" s="188">
        <f t="shared" si="17"/>
        <v>11.348220533333336</v>
      </c>
    </row>
    <row r="135" spans="2:6" x14ac:dyDescent="0.2">
      <c r="B135" s="149">
        <v>104</v>
      </c>
      <c r="C135" s="159">
        <f t="shared" si="14"/>
        <v>1.3940976752156686</v>
      </c>
      <c r="D135" s="159">
        <f t="shared" si="15"/>
        <v>7.5692669333333065</v>
      </c>
      <c r="E135" s="188">
        <f t="shared" si="16"/>
        <v>5.6881515807392482</v>
      </c>
      <c r="F135" s="188">
        <f t="shared" si="17"/>
        <v>11.703444533333336</v>
      </c>
    </row>
    <row r="136" spans="2:6" x14ac:dyDescent="0.2">
      <c r="B136" s="149">
        <v>105</v>
      </c>
      <c r="C136" s="159">
        <f t="shared" si="14"/>
        <v>1.3940976752156686</v>
      </c>
      <c r="D136" s="159">
        <f t="shared" si="15"/>
        <v>7.9064673333333069</v>
      </c>
      <c r="E136" s="188">
        <f t="shared" si="16"/>
        <v>5.6881515807392482</v>
      </c>
      <c r="F136" s="188">
        <f t="shared" si="17"/>
        <v>11.571637733333334</v>
      </c>
    </row>
    <row r="137" spans="2:6" x14ac:dyDescent="0.2">
      <c r="B137" s="149">
        <v>106</v>
      </c>
      <c r="C137" s="159">
        <f t="shared" si="14"/>
        <v>1.3940976752156686</v>
      </c>
      <c r="D137" s="159">
        <f t="shared" si="15"/>
        <v>8.2436677333333073</v>
      </c>
      <c r="E137" s="188">
        <f t="shared" si="16"/>
        <v>5.6881515807392482</v>
      </c>
      <c r="F137" s="188">
        <f t="shared" si="17"/>
        <v>11.439830933333333</v>
      </c>
    </row>
    <row r="138" spans="2:6" x14ac:dyDescent="0.2">
      <c r="B138" s="149">
        <v>107</v>
      </c>
      <c r="C138" s="159">
        <f t="shared" si="14"/>
        <v>1.3940976752156686</v>
      </c>
      <c r="D138" s="159">
        <f t="shared" si="15"/>
        <v>9.6304845333333216</v>
      </c>
      <c r="E138" s="188">
        <f t="shared" si="16"/>
        <v>5.6881515807392482</v>
      </c>
      <c r="F138" s="188">
        <f t="shared" si="17"/>
        <v>12.119430533333334</v>
      </c>
    </row>
    <row r="139" spans="2:6" x14ac:dyDescent="0.2">
      <c r="B139" s="149">
        <v>108</v>
      </c>
      <c r="C139" s="159">
        <f t="shared" si="14"/>
        <v>1.3940976752156686</v>
      </c>
      <c r="D139" s="159">
        <f t="shared" si="15"/>
        <v>9.6304845333333216</v>
      </c>
      <c r="E139" s="188">
        <f t="shared" si="16"/>
        <v>5.6881515807392482</v>
      </c>
      <c r="F139" s="188">
        <f t="shared" si="17"/>
        <v>12.119430533333334</v>
      </c>
    </row>
    <row r="140" spans="2:6" x14ac:dyDescent="0.2">
      <c r="B140" s="149">
        <v>109</v>
      </c>
      <c r="C140" s="159">
        <f t="shared" si="14"/>
        <v>1.3940976752156686</v>
      </c>
      <c r="D140" s="159">
        <f t="shared" si="15"/>
        <v>9.6304845333333216</v>
      </c>
      <c r="E140" s="188">
        <f t="shared" si="16"/>
        <v>5.6881515807392482</v>
      </c>
      <c r="F140" s="188">
        <f t="shared" si="17"/>
        <v>12.119430533333334</v>
      </c>
    </row>
    <row r="141" spans="2:6" x14ac:dyDescent="0.2">
      <c r="B141" s="149">
        <v>110</v>
      </c>
      <c r="C141" s="159">
        <f t="shared" si="14"/>
        <v>1.3940976752156686</v>
      </c>
      <c r="D141" s="159">
        <f t="shared" si="15"/>
        <v>9.6304845333333216</v>
      </c>
      <c r="E141" s="188">
        <f t="shared" si="16"/>
        <v>5.6881515807392482</v>
      </c>
      <c r="F141" s="188">
        <f t="shared" si="17"/>
        <v>12.119430533333334</v>
      </c>
    </row>
    <row r="142" spans="2:6" x14ac:dyDescent="0.2">
      <c r="B142" s="149">
        <v>111</v>
      </c>
      <c r="C142" s="159">
        <f t="shared" si="14"/>
        <v>1.3940976752156686</v>
      </c>
      <c r="D142" s="159">
        <f t="shared" si="15"/>
        <v>9.6304845333333216</v>
      </c>
      <c r="E142" s="188">
        <f t="shared" si="16"/>
        <v>5.6881515807392482</v>
      </c>
      <c r="F142" s="188">
        <f t="shared" si="17"/>
        <v>12.119430533333334</v>
      </c>
    </row>
    <row r="143" spans="2:6" x14ac:dyDescent="0.2">
      <c r="B143" s="149">
        <v>112</v>
      </c>
      <c r="C143" s="159">
        <f t="shared" si="14"/>
        <v>1.3940976752156686</v>
      </c>
      <c r="D143" s="159">
        <f t="shared" si="15"/>
        <v>11.017301333333338</v>
      </c>
      <c r="E143" s="188">
        <f t="shared" si="16"/>
        <v>5.6881515807392482</v>
      </c>
      <c r="F143" s="188">
        <f t="shared" si="17"/>
        <v>12.799030133333334</v>
      </c>
    </row>
    <row r="144" spans="2:6" x14ac:dyDescent="0.2">
      <c r="B144" s="149">
        <v>113</v>
      </c>
      <c r="C144" s="159">
        <f t="shared" si="14"/>
        <v>1.3940976752156686</v>
      </c>
      <c r="D144" s="159">
        <f t="shared" si="15"/>
        <v>11.017301333333338</v>
      </c>
      <c r="E144" s="188">
        <f t="shared" si="16"/>
        <v>5.6881515807392482</v>
      </c>
      <c r="F144" s="188">
        <f t="shared" si="17"/>
        <v>12.799030133333334</v>
      </c>
    </row>
    <row r="145" spans="2:13" x14ac:dyDescent="0.2">
      <c r="B145" s="161"/>
      <c r="C145" s="179">
        <f>SUM(C124:C144)</f>
        <v>29.604733801797515</v>
      </c>
      <c r="D145" s="179">
        <f>SUM(D124:D144)</f>
        <v>146.19096119999983</v>
      </c>
      <c r="E145" s="122">
        <f>SUM(E124:E144)</f>
        <v>119.31400531956402</v>
      </c>
      <c r="F145" s="122">
        <f>SUM(F124:F144)</f>
        <v>251.01656320000006</v>
      </c>
    </row>
    <row r="151" spans="2:13" ht="60" x14ac:dyDescent="0.2">
      <c r="D151" s="161"/>
      <c r="E151" s="133" t="s">
        <v>25</v>
      </c>
      <c r="F151" s="134" t="s">
        <v>26</v>
      </c>
      <c r="G151" s="135" t="s">
        <v>27</v>
      </c>
      <c r="H151" s="135" t="s">
        <v>28</v>
      </c>
      <c r="I151" s="116" t="s">
        <v>29</v>
      </c>
      <c r="J151" s="116" t="s">
        <v>30</v>
      </c>
      <c r="K151" s="144" t="s">
        <v>31</v>
      </c>
    </row>
    <row r="152" spans="2:13" x14ac:dyDescent="0.2">
      <c r="D152" s="162" t="s">
        <v>11</v>
      </c>
      <c r="E152" s="136">
        <f>D38</f>
        <v>629.6276378772111</v>
      </c>
      <c r="F152" s="137">
        <f>D88</f>
        <v>142.71687058729134</v>
      </c>
      <c r="G152" s="138">
        <f>C118</f>
        <v>-3.0062434963579818</v>
      </c>
      <c r="H152" s="138">
        <f>D118</f>
        <v>321.75360000000012</v>
      </c>
      <c r="I152" s="139">
        <f>C145</f>
        <v>29.604733801797515</v>
      </c>
      <c r="J152" s="140">
        <f>D145</f>
        <v>146.19096119999983</v>
      </c>
      <c r="K152" s="141">
        <f>SUM(F152:J152)</f>
        <v>637.2599220927309</v>
      </c>
      <c r="L152" s="163">
        <f>K152/E152</f>
        <v>1.0121219015119032</v>
      </c>
    </row>
    <row r="153" spans="2:13" x14ac:dyDescent="0.2">
      <c r="D153" s="162" t="s">
        <v>12</v>
      </c>
      <c r="E153" s="136">
        <f>F38</f>
        <v>629.6276378772111</v>
      </c>
      <c r="F153" s="137">
        <f>F88</f>
        <v>228.0880202483151</v>
      </c>
      <c r="G153" s="138">
        <f>E118</f>
        <v>1.2546756947574238</v>
      </c>
      <c r="H153" s="138">
        <f>F118</f>
        <v>24.863400000000013</v>
      </c>
      <c r="I153" s="139">
        <f>E145</f>
        <v>119.31400531956402</v>
      </c>
      <c r="J153" s="142">
        <f>F145</f>
        <v>251.01656320000006</v>
      </c>
      <c r="K153" s="141">
        <f>SUM(F153:J153)</f>
        <v>624.53666446263662</v>
      </c>
      <c r="L153" s="163">
        <f>K153/E153</f>
        <v>0.99191431076351944</v>
      </c>
    </row>
    <row r="155" spans="2:13" x14ac:dyDescent="0.2">
      <c r="M155" s="72" t="s">
        <v>43</v>
      </c>
    </row>
    <row r="156" spans="2:13" x14ac:dyDescent="0.2">
      <c r="D156" s="72" t="s">
        <v>87</v>
      </c>
    </row>
    <row r="157" spans="2:13" x14ac:dyDescent="0.2">
      <c r="D157" s="162" t="s">
        <v>67</v>
      </c>
      <c r="E157" s="136">
        <f>E152/21</f>
        <v>29.982268470343385</v>
      </c>
      <c r="F157" s="137">
        <f t="shared" ref="F157:J157" si="18">F152/21</f>
        <v>6.796041456537683</v>
      </c>
      <c r="G157" s="138">
        <f t="shared" si="18"/>
        <v>-0.14315445220752293</v>
      </c>
      <c r="H157" s="138">
        <f t="shared" si="18"/>
        <v>15.321600000000005</v>
      </c>
      <c r="I157" s="139">
        <f t="shared" si="18"/>
        <v>1.4097492286570246</v>
      </c>
      <c r="J157" s="140">
        <f t="shared" si="18"/>
        <v>6.9614743428571346</v>
      </c>
      <c r="K157" s="141">
        <f>SUM(F157:J157)</f>
        <v>30.345710575844322</v>
      </c>
      <c r="L157" s="163">
        <f>K157/E157</f>
        <v>1.012121901511903</v>
      </c>
    </row>
    <row r="158" spans="2:13" x14ac:dyDescent="0.2">
      <c r="D158" s="162" t="s">
        <v>68</v>
      </c>
      <c r="E158" s="136">
        <f>E153/21</f>
        <v>29.982268470343385</v>
      </c>
      <c r="F158" s="137">
        <f t="shared" ref="F158:J158" si="19">F153/21</f>
        <v>10.861334297538814</v>
      </c>
      <c r="G158" s="138">
        <f t="shared" si="19"/>
        <v>5.9746461655115421E-2</v>
      </c>
      <c r="H158" s="138">
        <f t="shared" si="19"/>
        <v>1.1839714285714291</v>
      </c>
      <c r="I158" s="139">
        <f t="shared" si="19"/>
        <v>5.6816193009316196</v>
      </c>
      <c r="J158" s="142">
        <f t="shared" si="19"/>
        <v>11.953169676190479</v>
      </c>
      <c r="K158" s="141">
        <f>SUM(F158:J158)</f>
        <v>29.739841164887459</v>
      </c>
      <c r="L158" s="163">
        <f>K158/E158</f>
        <v>0.99191431076351944</v>
      </c>
    </row>
    <row r="160" spans="2:13" x14ac:dyDescent="0.2">
      <c r="F160" s="137">
        <f>F157</f>
        <v>6.796041456537683</v>
      </c>
      <c r="G160" s="138">
        <f>-G157</f>
        <v>0.14315445220752293</v>
      </c>
      <c r="H160" s="138">
        <f>H157</f>
        <v>15.321600000000005</v>
      </c>
      <c r="I160" s="139">
        <f t="shared" ref="I160:K160" si="20">I157</f>
        <v>1.4097492286570246</v>
      </c>
      <c r="J160" s="140">
        <f t="shared" si="20"/>
        <v>6.9614743428571346</v>
      </c>
      <c r="K160" s="141">
        <f>SUM(F160:J160)</f>
        <v>30.63201948025937</v>
      </c>
    </row>
    <row r="161" spans="6:11" x14ac:dyDescent="0.2">
      <c r="F161" s="242">
        <f>F160/$K$160</f>
        <v>0.22186070562266888</v>
      </c>
      <c r="G161" s="243">
        <f>G160/$K$160</f>
        <v>4.6733599232586676E-3</v>
      </c>
      <c r="H161" s="243">
        <f>H160/$K$160</f>
        <v>0.50018249726806041</v>
      </c>
      <c r="I161" s="244">
        <f>I160/$K$160</f>
        <v>4.60220792679219E-2</v>
      </c>
      <c r="J161" s="244">
        <f>J160/$K$160</f>
        <v>0.22726135791809016</v>
      </c>
      <c r="K161" s="245">
        <f>SUM(F161:J161)</f>
        <v>1</v>
      </c>
    </row>
    <row r="162" spans="6:11" x14ac:dyDescent="0.2">
      <c r="J162" s="254"/>
      <c r="K162" s="253"/>
    </row>
  </sheetData>
  <mergeCells count="4">
    <mergeCell ref="B14:Q14"/>
    <mergeCell ref="B40:Q40"/>
    <mergeCell ref="B90:Q90"/>
    <mergeCell ref="B121:Q1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RESUMEN</vt:lpstr>
      <vt:lpstr>RELACIÓN HIERRO</vt:lpstr>
      <vt:lpstr>Bal S 1-23</vt:lpstr>
      <vt:lpstr>Bal S 24-47</vt:lpstr>
      <vt:lpstr>Bal S 48-70</vt:lpstr>
      <vt:lpstr>Bal S 71-92</vt:lpstr>
      <vt:lpstr>Bal S 93-113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Girardi</dc:creator>
  <cp:lastModifiedBy>Valentina Girardi</cp:lastModifiedBy>
  <dcterms:created xsi:type="dcterms:W3CDTF">2024-01-02T17:45:47Z</dcterms:created>
  <dcterms:modified xsi:type="dcterms:W3CDTF">2024-01-16T14:23:31Z</dcterms:modified>
</cp:coreProperties>
</file>