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a Andrade\Documents\GitHub\master\econometrics\R\input\"/>
    </mc:Choice>
  </mc:AlternateContent>
  <xr:revisionPtr revIDLastSave="0" documentId="8_{D7997CA4-F4C0-4A3C-B09C-151D171DC418}" xr6:coauthVersionLast="47" xr6:coauthVersionMax="47" xr10:uidLastSave="{00000000-0000-0000-0000-000000000000}"/>
  <bookViews>
    <workbookView xWindow="-110" yWindow="-110" windowWidth="19420" windowHeight="10420" tabRatio="736" xr2:uid="{2727AD97-F4E5-4C9F-A6E3-007315382B42}"/>
  </bookViews>
  <sheets>
    <sheet name="Pred" sheetId="1" r:id="rId1"/>
    <sheet name="Pred 2" sheetId="4" r:id="rId2"/>
    <sheet name="Pred3-simple" sheetId="7" r:id="rId3"/>
    <sheet name="Matrizconsigma" sheetId="5" r:id="rId4"/>
    <sheet name="Matriz multiple" sheetId="3" r:id="rId5"/>
    <sheet name="Matriz-Large" sheetId="2" r:id="rId6"/>
    <sheet name="Sum" sheetId="6" r:id="rId7"/>
    <sheet name="RLS" sheetId="8" r:id="rId8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8" i="1" l="1"/>
  <c r="Q24" i="1"/>
  <c r="P24" i="1"/>
  <c r="A14" i="5" a="1"/>
  <c r="A14" i="5" s="1"/>
  <c r="G27" i="1"/>
  <c r="H27" i="1"/>
  <c r="I27" i="1"/>
  <c r="J30" i="1"/>
  <c r="J29" i="1"/>
  <c r="O10" i="1" a="1"/>
  <c r="O10" i="1" s="1"/>
  <c r="P10" i="1" s="1"/>
  <c r="E23" i="1"/>
  <c r="F17" i="1"/>
  <c r="E17" i="1"/>
  <c r="D17" i="1"/>
  <c r="C17" i="1"/>
  <c r="B17" i="1"/>
  <c r="J17" i="1"/>
  <c r="Q38" i="7" a="1"/>
  <c r="Q38" i="7"/>
  <c r="M38" i="7" a="1"/>
  <c r="M38" i="7" s="1"/>
  <c r="N35" i="7"/>
  <c r="J10" i="5" a="1"/>
  <c r="J10" i="5" s="1"/>
  <c r="K10" i="5" s="1" a="1"/>
  <c r="K10" i="5" s="1"/>
  <c r="D5" i="5"/>
  <c r="C3" i="5"/>
  <c r="C4" i="5"/>
  <c r="C6" i="5"/>
  <c r="C5" i="5"/>
  <c r="B5" i="5"/>
  <c r="B3" i="5"/>
  <c r="A5" i="5"/>
  <c r="A4" i="5"/>
  <c r="H25" i="8"/>
  <c r="G25" i="8"/>
  <c r="K22" i="8"/>
  <c r="J22" i="8"/>
  <c r="E26" i="8"/>
  <c r="C23" i="8"/>
  <c r="D23" i="8"/>
  <c r="I22" i="8"/>
  <c r="G22" i="8"/>
  <c r="E25" i="8"/>
  <c r="D25" i="8"/>
  <c r="E23" i="8"/>
  <c r="E22" i="8"/>
  <c r="E21" i="8"/>
  <c r="D22" i="8"/>
  <c r="D21" i="8"/>
  <c r="C25" i="8"/>
  <c r="C22" i="8"/>
  <c r="C21" i="8"/>
  <c r="B22" i="8"/>
  <c r="A29" i="8"/>
  <c r="B23" i="8" s="1"/>
  <c r="H15" i="8"/>
  <c r="H5" i="8"/>
  <c r="B10" i="8"/>
  <c r="F9" i="8"/>
  <c r="F11" i="8" s="1"/>
  <c r="F8" i="8"/>
  <c r="F10" i="8" s="1"/>
  <c r="F7" i="8"/>
  <c r="F6" i="8"/>
  <c r="F5" i="8"/>
  <c r="F4" i="8"/>
  <c r="F3" i="8"/>
  <c r="H9" i="8" s="1"/>
  <c r="F2" i="8"/>
  <c r="O28" i="6"/>
  <c r="N28" i="6"/>
  <c r="L28" i="6"/>
  <c r="H28" i="6"/>
  <c r="F28" i="6" a="1"/>
  <c r="F28" i="6" s="1"/>
  <c r="C28" i="6" a="1"/>
  <c r="C28" i="6" s="1"/>
  <c r="I17" i="6" a="1"/>
  <c r="I17" i="6" s="1"/>
  <c r="F17" i="6" a="1"/>
  <c r="F17" i="6" s="1"/>
  <c r="A20" i="6"/>
  <c r="C20" i="6" s="1"/>
  <c r="A21" i="6"/>
  <c r="C21" i="6" s="1"/>
  <c r="N12" i="6" a="1"/>
  <c r="N12" i="6" s="1"/>
  <c r="J4" i="6" s="1"/>
  <c r="A19" i="6" s="1"/>
  <c r="C19" i="6" s="1"/>
  <c r="L15" i="7"/>
  <c r="M15" i="7"/>
  <c r="N15" i="7"/>
  <c r="P15" i="7" s="1"/>
  <c r="L16" i="7"/>
  <c r="M16" i="7" s="1"/>
  <c r="L14" i="7"/>
  <c r="J42" i="7"/>
  <c r="J41" i="7"/>
  <c r="I41" i="7"/>
  <c r="J40" i="7"/>
  <c r="I40" i="7"/>
  <c r="H40" i="7"/>
  <c r="J39" i="7"/>
  <c r="I39" i="7"/>
  <c r="H39" i="7"/>
  <c r="G39" i="7"/>
  <c r="J38" i="7"/>
  <c r="I38" i="7"/>
  <c r="H38" i="7"/>
  <c r="G38" i="7"/>
  <c r="F38" i="7"/>
  <c r="J37" i="7"/>
  <c r="I37" i="7"/>
  <c r="H37" i="7"/>
  <c r="G37" i="7"/>
  <c r="F37" i="7"/>
  <c r="J36" i="7"/>
  <c r="I36" i="7"/>
  <c r="H36" i="7"/>
  <c r="G36" i="7"/>
  <c r="F36" i="7"/>
  <c r="J35" i="7"/>
  <c r="I35" i="7"/>
  <c r="H35" i="7"/>
  <c r="G35" i="7"/>
  <c r="F35" i="7"/>
  <c r="J32" i="7"/>
  <c r="I32" i="7"/>
  <c r="H32" i="7"/>
  <c r="G32" i="7"/>
  <c r="F32" i="7"/>
  <c r="E32" i="7"/>
  <c r="D32" i="7"/>
  <c r="C32" i="7"/>
  <c r="K32" i="7" s="1"/>
  <c r="B32" i="7"/>
  <c r="J31" i="7"/>
  <c r="I31" i="7"/>
  <c r="H31" i="7"/>
  <c r="G31" i="7"/>
  <c r="F31" i="7"/>
  <c r="E31" i="7"/>
  <c r="D31" i="7"/>
  <c r="C31" i="7"/>
  <c r="B31" i="7"/>
  <c r="J30" i="7"/>
  <c r="I30" i="7"/>
  <c r="H30" i="7"/>
  <c r="G30" i="7"/>
  <c r="F30" i="7"/>
  <c r="E30" i="7"/>
  <c r="D30" i="7"/>
  <c r="C30" i="7"/>
  <c r="B30" i="7"/>
  <c r="K30" i="7" s="1"/>
  <c r="J29" i="7"/>
  <c r="I29" i="7"/>
  <c r="H29" i="7"/>
  <c r="G29" i="7"/>
  <c r="F29" i="7"/>
  <c r="E29" i="7"/>
  <c r="D29" i="7"/>
  <c r="C29" i="7"/>
  <c r="B29" i="7"/>
  <c r="J28" i="7"/>
  <c r="I28" i="7"/>
  <c r="H28" i="7"/>
  <c r="G28" i="7"/>
  <c r="F28" i="7"/>
  <c r="E28" i="7"/>
  <c r="D28" i="7"/>
  <c r="C28" i="7"/>
  <c r="B28" i="7"/>
  <c r="J27" i="7"/>
  <c r="I27" i="7"/>
  <c r="H27" i="7"/>
  <c r="G27" i="7"/>
  <c r="F27" i="7"/>
  <c r="E27" i="7"/>
  <c r="D27" i="7"/>
  <c r="C27" i="7"/>
  <c r="B27" i="7"/>
  <c r="J26" i="7"/>
  <c r="I26" i="7"/>
  <c r="H26" i="7"/>
  <c r="G26" i="7"/>
  <c r="F26" i="7"/>
  <c r="E26" i="7"/>
  <c r="D26" i="7"/>
  <c r="C26" i="7"/>
  <c r="K26" i="7" s="1"/>
  <c r="B26" i="7"/>
  <c r="J25" i="7"/>
  <c r="I25" i="7"/>
  <c r="H25" i="7"/>
  <c r="G25" i="7"/>
  <c r="F25" i="7"/>
  <c r="E25" i="7"/>
  <c r="D25" i="7"/>
  <c r="C25" i="7"/>
  <c r="B25" i="7"/>
  <c r="M9" i="7"/>
  <c r="N9" i="7" s="1"/>
  <c r="S9" i="7" s="1"/>
  <c r="M8" i="7"/>
  <c r="U9" i="7" s="1"/>
  <c r="M7" i="7"/>
  <c r="N7" i="7" s="1"/>
  <c r="S7" i="7" s="1"/>
  <c r="M6" i="7"/>
  <c r="N6" i="7" s="1"/>
  <c r="L17" i="7" s="1"/>
  <c r="M17" i="7" s="1"/>
  <c r="M5" i="7"/>
  <c r="N5" i="7" s="1"/>
  <c r="M4" i="7"/>
  <c r="N4" i="7" s="1"/>
  <c r="M3" i="7"/>
  <c r="N3" i="7" s="1"/>
  <c r="C23" i="1"/>
  <c r="D23" i="1"/>
  <c r="E27" i="2" a="1"/>
  <c r="E27" i="2" s="1"/>
  <c r="A27" i="2" a="1"/>
  <c r="A27" i="2" s="1"/>
  <c r="L22" i="2" a="1"/>
  <c r="L22" i="2" s="1"/>
  <c r="O9" i="6"/>
  <c r="O4" i="6"/>
  <c r="O3" i="6"/>
  <c r="O10" i="6"/>
  <c r="M22" i="2" a="1"/>
  <c r="M22" i="2" s="1"/>
  <c r="P22" i="2" s="1" a="1"/>
  <c r="P22" i="2" s="1"/>
  <c r="A14" i="2" a="1"/>
  <c r="A14" i="2" s="1"/>
  <c r="A18" i="2" s="1" a="1"/>
  <c r="A18" i="2" s="1"/>
  <c r="J10" i="2" a="1"/>
  <c r="J10" i="2" s="1"/>
  <c r="K10" i="2" s="1"/>
  <c r="L10" i="2" s="1" a="1"/>
  <c r="L10" i="2" s="1"/>
  <c r="H17" i="5" a="1"/>
  <c r="H17" i="5" s="1"/>
  <c r="H14" i="5" a="1"/>
  <c r="H14" i="5" s="1"/>
  <c r="F10" i="5"/>
  <c r="G10" i="5" s="1"/>
  <c r="U9" i="4"/>
  <c r="M35" i="4"/>
  <c r="J25" i="4"/>
  <c r="J29" i="4"/>
  <c r="K29" i="4"/>
  <c r="J30" i="4"/>
  <c r="K30" i="4"/>
  <c r="J31" i="4"/>
  <c r="K31" i="4" s="1"/>
  <c r="J32" i="4"/>
  <c r="K32" i="4"/>
  <c r="B28" i="4"/>
  <c r="C28" i="4"/>
  <c r="D28" i="4"/>
  <c r="E28" i="4"/>
  <c r="F28" i="4"/>
  <c r="G28" i="4"/>
  <c r="H28" i="4"/>
  <c r="I28" i="4"/>
  <c r="B29" i="4"/>
  <c r="C29" i="4"/>
  <c r="D29" i="4"/>
  <c r="E29" i="4"/>
  <c r="F29" i="4"/>
  <c r="G29" i="4"/>
  <c r="H29" i="4"/>
  <c r="I29" i="4"/>
  <c r="B30" i="4"/>
  <c r="C30" i="4"/>
  <c r="D30" i="4"/>
  <c r="E30" i="4"/>
  <c r="F30" i="4"/>
  <c r="G30" i="4"/>
  <c r="H30" i="4"/>
  <c r="I30" i="4"/>
  <c r="B31" i="4"/>
  <c r="C31" i="4"/>
  <c r="D31" i="4"/>
  <c r="E31" i="4"/>
  <c r="F31" i="4"/>
  <c r="G31" i="4"/>
  <c r="H31" i="4"/>
  <c r="I31" i="4"/>
  <c r="B32" i="4"/>
  <c r="C32" i="4"/>
  <c r="D32" i="4"/>
  <c r="E32" i="4"/>
  <c r="F32" i="4"/>
  <c r="G32" i="4"/>
  <c r="H32" i="4"/>
  <c r="I32" i="4"/>
  <c r="T6" i="4"/>
  <c r="T5" i="4"/>
  <c r="T4" i="4"/>
  <c r="Q14" i="4"/>
  <c r="P14" i="4"/>
  <c r="N14" i="4"/>
  <c r="L14" i="4"/>
  <c r="N35" i="4"/>
  <c r="C35" i="4"/>
  <c r="D35" i="4"/>
  <c r="E35" i="4"/>
  <c r="F35" i="4"/>
  <c r="D36" i="4"/>
  <c r="E36" i="4"/>
  <c r="F36" i="4"/>
  <c r="E37" i="4"/>
  <c r="F37" i="4"/>
  <c r="F38" i="4"/>
  <c r="S4" i="4"/>
  <c r="S5" i="4"/>
  <c r="S6" i="4"/>
  <c r="S7" i="4"/>
  <c r="S8" i="4"/>
  <c r="S9" i="4"/>
  <c r="N4" i="4"/>
  <c r="N5" i="4"/>
  <c r="N6" i="4"/>
  <c r="N7" i="4"/>
  <c r="N8" i="4"/>
  <c r="N9" i="4"/>
  <c r="M9" i="4"/>
  <c r="M8" i="4"/>
  <c r="M7" i="4"/>
  <c r="J42" i="4"/>
  <c r="J41" i="4"/>
  <c r="I41" i="4"/>
  <c r="J40" i="4"/>
  <c r="I40" i="4"/>
  <c r="H40" i="4"/>
  <c r="J39" i="4"/>
  <c r="I39" i="4"/>
  <c r="H39" i="4"/>
  <c r="G39" i="4"/>
  <c r="J38" i="4"/>
  <c r="I38" i="4"/>
  <c r="H38" i="4"/>
  <c r="G38" i="4"/>
  <c r="J37" i="4"/>
  <c r="I37" i="4"/>
  <c r="H37" i="4"/>
  <c r="G37" i="4"/>
  <c r="J36" i="4"/>
  <c r="I36" i="4"/>
  <c r="H36" i="4"/>
  <c r="G36" i="4"/>
  <c r="J35" i="4"/>
  <c r="I35" i="4"/>
  <c r="H35" i="4"/>
  <c r="G35" i="4"/>
  <c r="J28" i="4"/>
  <c r="J27" i="4"/>
  <c r="I27" i="4"/>
  <c r="H27" i="4"/>
  <c r="G27" i="4"/>
  <c r="F27" i="4"/>
  <c r="E27" i="4"/>
  <c r="D27" i="4"/>
  <c r="C27" i="4"/>
  <c r="B27" i="4"/>
  <c r="J26" i="4"/>
  <c r="I26" i="4"/>
  <c r="H26" i="4"/>
  <c r="G26" i="4"/>
  <c r="F26" i="4"/>
  <c r="E26" i="4"/>
  <c r="D26" i="4"/>
  <c r="C26" i="4"/>
  <c r="I25" i="4"/>
  <c r="H25" i="4"/>
  <c r="G25" i="4"/>
  <c r="F25" i="4"/>
  <c r="E25" i="4"/>
  <c r="D25" i="4"/>
  <c r="C25" i="4"/>
  <c r="B25" i="4"/>
  <c r="M6" i="4"/>
  <c r="M5" i="4"/>
  <c r="M3" i="4"/>
  <c r="N3" i="4" s="1"/>
  <c r="S3" i="4" s="1"/>
  <c r="H17" i="3" a="1"/>
  <c r="H17" i="3" s="1"/>
  <c r="H14" i="3" a="1"/>
  <c r="H14" i="3" s="1"/>
  <c r="J10" i="3" a="1"/>
  <c r="J10" i="3" s="1"/>
  <c r="K10" i="3" s="1" a="1"/>
  <c r="K10" i="3" s="1"/>
  <c r="L10" i="3" s="1" a="1"/>
  <c r="L10" i="3" s="1"/>
  <c r="A19" i="3" s="1" a="1"/>
  <c r="A19" i="3" s="1"/>
  <c r="C19" i="3" s="1" a="1"/>
  <c r="C19" i="3" s="1"/>
  <c r="D19" i="3" s="1"/>
  <c r="G10" i="3"/>
  <c r="A14" i="3" s="1" a="1"/>
  <c r="A14" i="3" s="1"/>
  <c r="D14" i="3" s="1" a="1"/>
  <c r="D14" i="3" s="1"/>
  <c r="F10" i="3"/>
  <c r="C10" i="3"/>
  <c r="H17" i="2" a="1"/>
  <c r="H17" i="2" s="1"/>
  <c r="H14" i="2" a="1"/>
  <c r="H14" i="2" s="1"/>
  <c r="F10" i="2"/>
  <c r="J24" i="1"/>
  <c r="J23" i="1"/>
  <c r="I29" i="1"/>
  <c r="I28" i="1"/>
  <c r="H28" i="1"/>
  <c r="I26" i="1"/>
  <c r="H26" i="1"/>
  <c r="G26" i="1"/>
  <c r="F26" i="1"/>
  <c r="I25" i="1"/>
  <c r="H25" i="1"/>
  <c r="G25" i="1"/>
  <c r="F25" i="1"/>
  <c r="I24" i="1"/>
  <c r="H24" i="1"/>
  <c r="G24" i="1"/>
  <c r="F24" i="1"/>
  <c r="E24" i="1"/>
  <c r="J28" i="1"/>
  <c r="J27" i="1"/>
  <c r="J26" i="1"/>
  <c r="J25" i="1"/>
  <c r="I23" i="1"/>
  <c r="H23" i="1"/>
  <c r="G23" i="1"/>
  <c r="F23" i="1"/>
  <c r="B19" i="1"/>
  <c r="E18" i="1"/>
  <c r="F18" i="1"/>
  <c r="G18" i="1"/>
  <c r="H18" i="1"/>
  <c r="I18" i="1"/>
  <c r="J18" i="1"/>
  <c r="C19" i="1"/>
  <c r="D19" i="1"/>
  <c r="E19" i="1"/>
  <c r="F19" i="1"/>
  <c r="G19" i="1"/>
  <c r="H19" i="1"/>
  <c r="I19" i="1"/>
  <c r="J19" i="1"/>
  <c r="B20" i="1"/>
  <c r="C20" i="1"/>
  <c r="D20" i="1"/>
  <c r="E20" i="1"/>
  <c r="F20" i="1"/>
  <c r="G20" i="1"/>
  <c r="H20" i="1"/>
  <c r="I20" i="1"/>
  <c r="J20" i="1"/>
  <c r="G17" i="1"/>
  <c r="H17" i="1"/>
  <c r="I17" i="1"/>
  <c r="M4" i="1"/>
  <c r="N4" i="1" s="1"/>
  <c r="S4" i="1" s="1"/>
  <c r="M5" i="1"/>
  <c r="N5" i="1" s="1"/>
  <c r="S5" i="1" s="1"/>
  <c r="M6" i="1"/>
  <c r="N6" i="1" s="1"/>
  <c r="S6" i="1" s="1"/>
  <c r="N3" i="1"/>
  <c r="S3" i="1" s="1"/>
  <c r="P12" i="1" l="1"/>
  <c r="P13" i="1"/>
  <c r="P15" i="1"/>
  <c r="P14" i="1"/>
  <c r="P11" i="1"/>
  <c r="K17" i="1"/>
  <c r="E17" i="5" a="1"/>
  <c r="E17" i="5" s="1"/>
  <c r="L10" i="5" a="1"/>
  <c r="L10" i="5" s="1"/>
  <c r="F13" i="8"/>
  <c r="J3" i="6"/>
  <c r="A18" i="6" s="1"/>
  <c r="C18" i="6" s="1"/>
  <c r="J2" i="6"/>
  <c r="A17" i="6" s="1"/>
  <c r="C17" i="6" s="1"/>
  <c r="O2" i="6"/>
  <c r="O6" i="6" s="1"/>
  <c r="D17" i="6" s="1"/>
  <c r="N16" i="7"/>
  <c r="N17" i="7"/>
  <c r="Q15" i="7"/>
  <c r="K29" i="7"/>
  <c r="K28" i="7"/>
  <c r="K27" i="7"/>
  <c r="K25" i="7"/>
  <c r="N8" i="7"/>
  <c r="S8" i="7" s="1"/>
  <c r="K31" i="7"/>
  <c r="T5" i="7"/>
  <c r="S5" i="7"/>
  <c r="S3" i="7"/>
  <c r="S6" i="7"/>
  <c r="T6" i="7"/>
  <c r="S4" i="7"/>
  <c r="T4" i="7"/>
  <c r="O8" i="6"/>
  <c r="O7" i="6"/>
  <c r="E18" i="2"/>
  <c r="F18" i="2" s="1"/>
  <c r="K14" i="2" a="1"/>
  <c r="K14" i="2" s="1"/>
  <c r="L14" i="2" s="1"/>
  <c r="K17" i="2" s="1"/>
  <c r="K14" i="5" a="1"/>
  <c r="K14" i="5" s="1"/>
  <c r="L14" i="5" s="1"/>
  <c r="J17" i="5" s="1"/>
  <c r="M4" i="4"/>
  <c r="B26" i="4"/>
  <c r="K26" i="4" s="1"/>
  <c r="K27" i="4"/>
  <c r="K28" i="4"/>
  <c r="K25" i="4"/>
  <c r="M14" i="4"/>
  <c r="K19" i="1"/>
  <c r="K18" i="1"/>
  <c r="K20" i="1"/>
  <c r="L10" i="1"/>
  <c r="N23" i="1" s="1"/>
  <c r="K14" i="3" a="1"/>
  <c r="K14" i="3" s="1"/>
  <c r="L14" i="3" s="1"/>
  <c r="J17" i="3" s="1"/>
  <c r="P16" i="1" l="1"/>
  <c r="P17" i="1" s="1"/>
  <c r="P23" i="1"/>
  <c r="A23" i="5" a="1"/>
  <c r="A23" i="5" s="1"/>
  <c r="C23" i="5" s="1" a="1"/>
  <c r="C23" i="5" s="1"/>
  <c r="D23" i="5" s="1"/>
  <c r="Q35" i="7"/>
  <c r="P35" i="7"/>
  <c r="F14" i="8"/>
  <c r="F15" i="8"/>
  <c r="J9" i="8" s="1"/>
  <c r="D19" i="6"/>
  <c r="D18" i="6"/>
  <c r="O14" i="6" s="1"/>
  <c r="O15" i="6" s="1"/>
  <c r="D20" i="6"/>
  <c r="D21" i="6"/>
  <c r="P17" i="7"/>
  <c r="Q17" i="7"/>
  <c r="Q16" i="7"/>
  <c r="P16" i="7"/>
  <c r="N14" i="7"/>
  <c r="M14" i="7"/>
  <c r="J17" i="2"/>
  <c r="K17" i="5"/>
  <c r="M10" i="1"/>
  <c r="K17" i="3"/>
  <c r="K9" i="8" l="1"/>
  <c r="L9" i="8"/>
  <c r="J15" i="8"/>
  <c r="K15" i="8" s="1"/>
  <c r="J5" i="8"/>
  <c r="O16" i="6"/>
  <c r="O17" i="6" s="1"/>
  <c r="O18" i="6" s="1"/>
  <c r="P14" i="7"/>
  <c r="Q14" i="7"/>
  <c r="P35" i="4"/>
  <c r="Q35" i="4"/>
  <c r="Q23" i="1"/>
  <c r="L5" i="8" l="1"/>
  <c r="K5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<sst xmlns="http://schemas.openxmlformats.org/spreadsheetml/2006/main" count="470" uniqueCount="146">
  <si>
    <t>b0</t>
  </si>
  <si>
    <t>b1</t>
  </si>
  <si>
    <t>b2</t>
  </si>
  <si>
    <t>b3</t>
  </si>
  <si>
    <t>b4</t>
  </si>
  <si>
    <t>b5</t>
  </si>
  <si>
    <t>b6</t>
  </si>
  <si>
    <t>b7</t>
  </si>
  <si>
    <t>model1</t>
  </si>
  <si>
    <t>model2</t>
  </si>
  <si>
    <t>model3</t>
  </si>
  <si>
    <t>model4</t>
  </si>
  <si>
    <t>Real</t>
  </si>
  <si>
    <t>Predict</t>
  </si>
  <si>
    <t>b8</t>
  </si>
  <si>
    <t>N</t>
  </si>
  <si>
    <t>SSR</t>
  </si>
  <si>
    <t>R2</t>
  </si>
  <si>
    <t>SCT</t>
  </si>
  <si>
    <t>SEC</t>
  </si>
  <si>
    <t>R_ajustado</t>
  </si>
  <si>
    <t>k</t>
  </si>
  <si>
    <t>gl(n-k-1)</t>
  </si>
  <si>
    <t>sigma^2</t>
  </si>
  <si>
    <t>sd</t>
  </si>
  <si>
    <t>Result</t>
  </si>
  <si>
    <t>yhat</t>
  </si>
  <si>
    <t>ev</t>
  </si>
  <si>
    <t>Xo</t>
  </si>
  <si>
    <t>Xo*ev*x'</t>
  </si>
  <si>
    <t>se(matriz+sigma2)</t>
  </si>
  <si>
    <t>t</t>
  </si>
  <si>
    <t>superior</t>
  </si>
  <si>
    <t>inferior</t>
  </si>
  <si>
    <t>(X'X)-1</t>
  </si>
  <si>
    <t>B</t>
  </si>
  <si>
    <t>R'</t>
  </si>
  <si>
    <t>r</t>
  </si>
  <si>
    <t>RB</t>
  </si>
  <si>
    <t>RB-r</t>
  </si>
  <si>
    <t>(RB-r)´</t>
  </si>
  <si>
    <t>Rcuadrado</t>
  </si>
  <si>
    <t>STC</t>
  </si>
  <si>
    <t xml:space="preserve">sigma^2 </t>
  </si>
  <si>
    <t>n</t>
  </si>
  <si>
    <t>k-1</t>
  </si>
  <si>
    <t>A</t>
  </si>
  <si>
    <t>Binversa</t>
  </si>
  <si>
    <t>matriz por RB</t>
  </si>
  <si>
    <t>F</t>
  </si>
  <si>
    <t>q</t>
  </si>
  <si>
    <t>Test F</t>
  </si>
  <si>
    <t>Intervalo</t>
  </si>
  <si>
    <t>se</t>
  </si>
  <si>
    <t>y0</t>
  </si>
  <si>
    <t>se cuadrado</t>
  </si>
  <si>
    <t>sigma por matriz X'X' y R</t>
  </si>
  <si>
    <t>ahora por R traspuesta e inversa</t>
  </si>
  <si>
    <t>secuadrado</t>
  </si>
  <si>
    <t>matriz por RB-r'</t>
  </si>
  <si>
    <t>model5</t>
  </si>
  <si>
    <t>model6</t>
  </si>
  <si>
    <t>model7</t>
  </si>
  <si>
    <t>model8</t>
  </si>
  <si>
    <t>se(b1)</t>
  </si>
  <si>
    <t>bsuperior</t>
  </si>
  <si>
    <t>binferior</t>
  </si>
  <si>
    <t>F1_2</t>
  </si>
  <si>
    <t>Chow</t>
  </si>
  <si>
    <t>(X'X)-1sigma2</t>
  </si>
  <si>
    <t>(X'X)</t>
  </si>
  <si>
    <t>X'y</t>
  </si>
  <si>
    <t>y'y</t>
  </si>
  <si>
    <t>Beta</t>
  </si>
  <si>
    <t>u'u</t>
  </si>
  <si>
    <t>(X'y)'*(X'X)-1</t>
  </si>
  <si>
    <t>y</t>
  </si>
  <si>
    <t>x1</t>
  </si>
  <si>
    <t>x2</t>
  </si>
  <si>
    <t>x3</t>
  </si>
  <si>
    <t>x4</t>
  </si>
  <si>
    <t>y-yhat</t>
  </si>
  <si>
    <t>Sum Yi</t>
  </si>
  <si>
    <t>yi</t>
  </si>
  <si>
    <t>Sum Xi1</t>
  </si>
  <si>
    <t>Sum Xi2</t>
  </si>
  <si>
    <t>Mean Yi</t>
  </si>
  <si>
    <t>Mean Xi1</t>
  </si>
  <si>
    <t>Mean Xi2</t>
  </si>
  <si>
    <t>B1</t>
  </si>
  <si>
    <t>OLS</t>
  </si>
  <si>
    <t>sigma2</t>
  </si>
  <si>
    <t>R</t>
  </si>
  <si>
    <t>y-ymean</t>
  </si>
  <si>
    <t>(X'X)-1*sigma</t>
  </si>
  <si>
    <t>Prediccion</t>
  </si>
  <si>
    <t>sigmaxo x'x-1</t>
  </si>
  <si>
    <t>result por xo</t>
  </si>
  <si>
    <t>SE</t>
  </si>
  <si>
    <t>tn-k-1</t>
  </si>
  <si>
    <t>interval sup</t>
  </si>
  <si>
    <t>interval inf</t>
  </si>
  <si>
    <t>sumyi</t>
  </si>
  <si>
    <t>sumxi</t>
  </si>
  <si>
    <t>sum(y-y)^2</t>
  </si>
  <si>
    <t>sum(xi-x)^2</t>
  </si>
  <si>
    <t>bo</t>
  </si>
  <si>
    <t>sum(yi-y)/xi-x)</t>
  </si>
  <si>
    <t>xmean</t>
  </si>
  <si>
    <t>ymean</t>
  </si>
  <si>
    <t>n-k-1</t>
  </si>
  <si>
    <t>R^2</t>
  </si>
  <si>
    <t>R^2ajustado</t>
  </si>
  <si>
    <t>se(b0)</t>
  </si>
  <si>
    <t>sumxi^2</t>
  </si>
  <si>
    <t>Parte 1</t>
  </si>
  <si>
    <t>Parte 2</t>
  </si>
  <si>
    <t>RLM</t>
  </si>
  <si>
    <t>Intervalo confianza bilateral b1</t>
  </si>
  <si>
    <t>b1+- t*se</t>
  </si>
  <si>
    <t>intervalo inf</t>
  </si>
  <si>
    <t>intervalo sup</t>
  </si>
  <si>
    <t>Hipotesis nula</t>
  </si>
  <si>
    <t>Bgorro-B/se</t>
  </si>
  <si>
    <t>bgorro</t>
  </si>
  <si>
    <t>Intervalo confianza bilateral b0</t>
  </si>
  <si>
    <t>b del h0</t>
  </si>
  <si>
    <t>tobs</t>
  </si>
  <si>
    <t>Parte 3:Prediccion</t>
  </si>
  <si>
    <t>estimado</t>
  </si>
  <si>
    <t>Predictor ausente</t>
  </si>
  <si>
    <t>predicho1</t>
  </si>
  <si>
    <t>predicho2</t>
  </si>
  <si>
    <t>var pred</t>
  </si>
  <si>
    <t>1*bo+3*b1+5*b2</t>
  </si>
  <si>
    <t>formula</t>
  </si>
  <si>
    <t>1*bo+3*b1+2*b2</t>
  </si>
  <si>
    <t>Intervalo de confianza bilateral</t>
  </si>
  <si>
    <t>var pred+-ta*se(var pred)</t>
  </si>
  <si>
    <t xml:space="preserve">var pred </t>
  </si>
  <si>
    <t>var beta</t>
  </si>
  <si>
    <t>var betas</t>
  </si>
  <si>
    <t>se(var pred)</t>
  </si>
  <si>
    <t>lim inferior</t>
  </si>
  <si>
    <t>lim superior</t>
  </si>
  <si>
    <t>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</si>
</sst>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0" applyNumberFormat="1"/>
    <xf numFmtId="0" fontId="0" fillId="0" borderId="0" xfId="0" applyNumberFormat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165" fontId="0" fillId="2" borderId="1" xfId="0" applyNumberFormat="1" applyFill="1" applyBorder="1"/>
    <xf numFmtId="165" fontId="0" fillId="0" borderId="1" xfId="0" applyNumberFormat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5" borderId="0" xfId="0" applyFill="1"/>
    <xf numFmtId="0" fontId="0" fillId="5" borderId="1" xfId="0" applyFill="1" applyBorder="1"/>
    <xf numFmtId="0" fontId="1" fillId="5" borderId="1" xfId="0" applyFont="1" applyFill="1" applyBorder="1"/>
    <xf numFmtId="0" fontId="1" fillId="5" borderId="2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1" fillId="5" borderId="3" xfId="0" applyFont="1" applyFill="1" applyBorder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0" fillId="2" borderId="0" xfId="0" applyFill="1"/>
    <xf numFmtId="0" fontId="1" fillId="7" borderId="0" xfId="0" applyFont="1" applyFill="1"/>
    <xf numFmtId="0" fontId="0" fillId="7" borderId="0" xfId="0" applyFill="1"/>
    <xf numFmtId="3" fontId="0" fillId="0" borderId="0" xfId="0" applyNumberFormat="1"/>
    <xf numFmtId="0" fontId="1" fillId="2" borderId="0" xfId="0" applyFont="1" applyFill="1"/>
    <xf numFmtId="165" fontId="0" fillId="0" borderId="0" xfId="0" applyNumberFormat="1"/>
    <xf numFmtId="0" fontId="0" fillId="0" borderId="0" xfId="0" applyFont="1"/>
    <xf numFmtId="0" fontId="1" fillId="0" borderId="0" xfId="0" applyFont="1" applyFill="1" applyBorder="1"/>
    <xf numFmtId="0" fontId="0" fillId="0" borderId="0" xfId="0" applyAlignment="1">
      <alignment wrapText="1"/>
    </xf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10B7C-429E-419E-8585-7EE7A09F1F1E}">
  <dimension ref="A1:S31"/>
  <sheetViews>
    <sheetView tabSelected="1" topLeftCell="A4" zoomScale="70" zoomScaleNormal="70" workbookViewId="0">
      <selection activeCell="N23" sqref="N23"/>
    </sheetView>
  </sheetViews>
  <sheetFormatPr baseColWidth="10" defaultRowHeight="14.5" x14ac:dyDescent="0.35"/>
  <cols>
    <col min="1" max="1" width="7.08984375" bestFit="1" customWidth="1"/>
    <col min="2" max="2" width="9.54296875" bestFit="1" customWidth="1"/>
    <col min="3" max="3" width="8.54296875" bestFit="1" customWidth="1"/>
    <col min="4" max="4" width="10.36328125" bestFit="1" customWidth="1"/>
    <col min="5" max="5" width="9.81640625" bestFit="1" customWidth="1"/>
    <col min="6" max="7" width="6.36328125" bestFit="1" customWidth="1"/>
    <col min="8" max="9" width="2.90625" bestFit="1" customWidth="1"/>
    <col min="10" max="10" width="10.36328125" bestFit="1" customWidth="1"/>
    <col min="11" max="11" width="10.81640625" customWidth="1"/>
    <col min="12" max="12" width="8.26953125" customWidth="1"/>
    <col min="13" max="13" width="10.90625" customWidth="1"/>
    <col min="14" max="14" width="16.08984375" customWidth="1"/>
    <col min="15" max="15" width="10.36328125" bestFit="1" customWidth="1"/>
    <col min="16" max="16" width="8.6328125" bestFit="1" customWidth="1"/>
    <col min="17" max="17" width="8.81640625" bestFit="1" customWidth="1"/>
    <col min="18" max="18" width="6.81640625" bestFit="1" customWidth="1"/>
    <col min="19" max="19" width="10.26953125" bestFit="1" customWidth="1"/>
  </cols>
  <sheetData>
    <row r="1" spans="1:19" x14ac:dyDescent="0.35">
      <c r="A1" s="5" t="s">
        <v>12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9" s="1" customFormat="1" x14ac:dyDescent="0.35">
      <c r="A2" s="5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14</v>
      </c>
      <c r="J2" s="5" t="s">
        <v>0</v>
      </c>
      <c r="K2" s="8"/>
      <c r="L2" s="1" t="s">
        <v>15</v>
      </c>
      <c r="M2" s="1" t="s">
        <v>21</v>
      </c>
      <c r="N2" s="1" t="s">
        <v>22</v>
      </c>
      <c r="O2" s="1" t="s">
        <v>18</v>
      </c>
      <c r="P2" s="1" t="s">
        <v>19</v>
      </c>
      <c r="Q2" s="1" t="s">
        <v>16</v>
      </c>
      <c r="R2" s="1" t="s">
        <v>17</v>
      </c>
      <c r="S2" s="1" t="s">
        <v>20</v>
      </c>
    </row>
    <row r="3" spans="1:19" x14ac:dyDescent="0.35">
      <c r="A3" s="6" t="s">
        <v>8</v>
      </c>
      <c r="B3" s="1">
        <v>-0.32</v>
      </c>
      <c r="C3" s="1">
        <v>-8.9</v>
      </c>
      <c r="D3" s="1"/>
      <c r="E3" s="1"/>
      <c r="F3" s="32"/>
      <c r="G3" s="9"/>
      <c r="H3" s="9"/>
      <c r="I3" s="9"/>
      <c r="J3" s="1">
        <v>675.7</v>
      </c>
      <c r="K3" s="7"/>
      <c r="L3">
        <v>250</v>
      </c>
      <c r="M3" s="4">
        <v>2</v>
      </c>
      <c r="N3">
        <f>L3-M3-1</f>
        <v>247</v>
      </c>
      <c r="Q3">
        <v>1060175.71</v>
      </c>
      <c r="R3">
        <v>0.30209999999999998</v>
      </c>
      <c r="S3">
        <f>(1)-((L3-1)/N3)*(1-R3)</f>
        <v>0.296448987854251</v>
      </c>
    </row>
    <row r="4" spans="1:19" x14ac:dyDescent="0.35">
      <c r="A4" s="6" t="s">
        <v>9</v>
      </c>
      <c r="B4" s="1"/>
      <c r="C4" s="1"/>
      <c r="D4" s="1"/>
      <c r="E4" s="1"/>
      <c r="F4" s="32"/>
      <c r="G4" s="9"/>
      <c r="H4" s="9"/>
      <c r="I4" s="9"/>
      <c r="J4" s="1"/>
      <c r="K4" s="7"/>
      <c r="L4">
        <v>321</v>
      </c>
      <c r="M4" s="4">
        <f>(COUNTA(B4:J4))-1</f>
        <v>-1</v>
      </c>
      <c r="N4">
        <f>L4-M4-1</f>
        <v>321</v>
      </c>
      <c r="Q4">
        <v>7.3856000000000002</v>
      </c>
      <c r="R4">
        <v>0.34689999999999999</v>
      </c>
      <c r="S4">
        <f>(1)-((L4-1)/N4)*(1-R4)</f>
        <v>0.34893457943925232</v>
      </c>
    </row>
    <row r="5" spans="1:19" x14ac:dyDescent="0.35">
      <c r="A5" s="6" t="s">
        <v>10</v>
      </c>
      <c r="B5" s="9">
        <v>-2.0999999999999999E-3</v>
      </c>
      <c r="C5" s="9">
        <v>-7.4999999999999997E-3</v>
      </c>
      <c r="D5" s="9">
        <v>5.1400000000000001E-2</v>
      </c>
      <c r="E5" s="9"/>
      <c r="F5" s="9">
        <v>1.1999999999999999E-3</v>
      </c>
      <c r="G5" s="9"/>
      <c r="H5" s="9"/>
      <c r="I5" s="9"/>
      <c r="J5" s="9">
        <v>11.9322</v>
      </c>
      <c r="K5" s="7"/>
      <c r="L5">
        <v>321</v>
      </c>
      <c r="M5" s="4">
        <f>(COUNTA(B5:J5))-1</f>
        <v>4</v>
      </c>
      <c r="N5">
        <f>L5-M5-1</f>
        <v>316</v>
      </c>
      <c r="Q5">
        <v>7.0632999999999999</v>
      </c>
      <c r="R5">
        <v>0.37540000000000001</v>
      </c>
      <c r="S5">
        <f>(1)-((L5-1)/N5)*(1-R5)</f>
        <v>0.36749367088607587</v>
      </c>
    </row>
    <row r="6" spans="1:19" x14ac:dyDescent="0.35">
      <c r="A6" s="6" t="s">
        <v>11</v>
      </c>
      <c r="B6" s="9">
        <v>-1.6999999999999999E-3</v>
      </c>
      <c r="C6" s="9">
        <v>-8.5000000000000006E-2</v>
      </c>
      <c r="D6" s="9">
        <v>0.16259999999999999</v>
      </c>
      <c r="E6" s="9">
        <v>-9.4999999999999998E-3</v>
      </c>
      <c r="F6" s="9">
        <v>1.2999999999999999E-3</v>
      </c>
      <c r="G6" s="9">
        <v>8.7599999999999997E-2</v>
      </c>
      <c r="H6" s="9"/>
      <c r="I6" s="9"/>
      <c r="J6" s="9">
        <v>11.5465</v>
      </c>
      <c r="K6" s="7"/>
      <c r="L6">
        <v>321</v>
      </c>
      <c r="M6" s="4">
        <f>(COUNTA(B6:J6))-1</f>
        <v>6</v>
      </c>
      <c r="N6">
        <f>L6-M6-1</f>
        <v>314</v>
      </c>
      <c r="Q6">
        <v>6.7397</v>
      </c>
      <c r="R6">
        <v>0.40400000000000003</v>
      </c>
      <c r="S6">
        <f>(1)-((L6-1)/N6)*(1-R6)</f>
        <v>0.39261146496815291</v>
      </c>
    </row>
    <row r="7" spans="1:19" x14ac:dyDescent="0.35">
      <c r="A7" s="7"/>
      <c r="B7" s="10"/>
      <c r="C7" s="10"/>
      <c r="D7" s="10"/>
      <c r="E7" s="10"/>
      <c r="F7" s="10"/>
      <c r="G7" s="10"/>
      <c r="H7" s="10"/>
      <c r="I7" s="10"/>
      <c r="J7" s="10"/>
      <c r="K7" s="7"/>
    </row>
    <row r="8" spans="1:19" x14ac:dyDescent="0.35">
      <c r="A8" s="11" t="s">
        <v>145</v>
      </c>
      <c r="B8" s="12"/>
      <c r="C8" s="12"/>
      <c r="D8" s="12"/>
      <c r="E8" s="12"/>
      <c r="F8" s="12"/>
      <c r="G8" s="12"/>
      <c r="H8" s="12"/>
      <c r="I8" s="12"/>
      <c r="J8" s="12"/>
      <c r="K8" s="7"/>
    </row>
    <row r="9" spans="1:19" s="1" customFormat="1" x14ac:dyDescent="0.35">
      <c r="A9" s="11"/>
      <c r="B9" s="11" t="s">
        <v>1</v>
      </c>
      <c r="C9" s="11" t="s">
        <v>2</v>
      </c>
      <c r="D9" s="11" t="s">
        <v>3</v>
      </c>
      <c r="E9" s="11" t="s">
        <v>4</v>
      </c>
      <c r="F9" s="11" t="s">
        <v>5</v>
      </c>
      <c r="G9" s="11" t="s">
        <v>6</v>
      </c>
      <c r="H9" s="11" t="s">
        <v>7</v>
      </c>
      <c r="I9" s="11" t="s">
        <v>14</v>
      </c>
      <c r="J9" s="11" t="s">
        <v>0</v>
      </c>
      <c r="K9" s="8"/>
      <c r="L9" s="1" t="s">
        <v>23</v>
      </c>
      <c r="M9" s="1" t="s">
        <v>24</v>
      </c>
      <c r="O9" s="1" t="s">
        <v>28</v>
      </c>
    </row>
    <row r="10" spans="1:19" x14ac:dyDescent="0.35">
      <c r="A10" s="12" t="s">
        <v>8</v>
      </c>
      <c r="B10" s="12">
        <v>2.2999999999999998</v>
      </c>
      <c r="C10" s="12">
        <v>0</v>
      </c>
      <c r="D10" s="12"/>
      <c r="E10" s="12">
        <v>0</v>
      </c>
      <c r="F10" s="12"/>
      <c r="G10" s="12"/>
      <c r="H10" s="12"/>
      <c r="I10" s="12"/>
      <c r="J10" s="12">
        <v>1</v>
      </c>
      <c r="K10" s="7"/>
      <c r="L10">
        <f>(Q3)/N3</f>
        <v>4292.2093522267205</v>
      </c>
      <c r="M10">
        <f>SQRT(L10)</f>
        <v>65.514955179918431</v>
      </c>
      <c r="O10" cm="1">
        <f t="array" ref="O10:O18">TRANSPOSE(B10:J10)</f>
        <v>2.2999999999999998</v>
      </c>
      <c r="P10" s="2">
        <f>O10^2*B23</f>
        <v>6.8769999999999986E-3</v>
      </c>
    </row>
    <row r="11" spans="1:19" x14ac:dyDescent="0.35">
      <c r="A11" s="12" t="s">
        <v>9</v>
      </c>
      <c r="B11" s="12"/>
      <c r="C11" s="12"/>
      <c r="D11" s="12"/>
      <c r="E11" s="12"/>
      <c r="F11" s="12"/>
      <c r="G11" s="12"/>
      <c r="H11" s="12"/>
      <c r="I11" s="12"/>
      <c r="J11" s="12">
        <v>1</v>
      </c>
      <c r="K11" s="7"/>
      <c r="O11">
        <v>0</v>
      </c>
      <c r="P11">
        <f>O11^2*C24</f>
        <v>0</v>
      </c>
    </row>
    <row r="12" spans="1:19" x14ac:dyDescent="0.35">
      <c r="A12" s="12" t="s">
        <v>10</v>
      </c>
      <c r="B12" s="12"/>
      <c r="C12" s="12"/>
      <c r="D12" s="12"/>
      <c r="E12" s="12"/>
      <c r="F12" s="12"/>
      <c r="G12" s="12"/>
      <c r="H12" s="12"/>
      <c r="I12" s="12"/>
      <c r="J12" s="12">
        <v>1</v>
      </c>
      <c r="K12" s="7"/>
      <c r="O12">
        <v>0</v>
      </c>
      <c r="P12">
        <f>O12^2*D25</f>
        <v>0</v>
      </c>
    </row>
    <row r="13" spans="1:19" x14ac:dyDescent="0.35">
      <c r="A13" s="12" t="s">
        <v>11</v>
      </c>
      <c r="B13" s="12"/>
      <c r="C13" s="12"/>
      <c r="D13" s="12"/>
      <c r="E13" s="12"/>
      <c r="F13" s="12"/>
      <c r="G13" s="12"/>
      <c r="H13" s="12"/>
      <c r="I13" s="12"/>
      <c r="J13" s="12">
        <v>1</v>
      </c>
      <c r="K13" s="7"/>
      <c r="O13">
        <v>0</v>
      </c>
      <c r="P13">
        <f>2*O12^2*B24</f>
        <v>0</v>
      </c>
    </row>
    <row r="14" spans="1:19" x14ac:dyDescent="0.3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O14">
        <v>0</v>
      </c>
      <c r="P14">
        <f>2*O12^2*B25</f>
        <v>0</v>
      </c>
    </row>
    <row r="15" spans="1:19" s="1" customFormat="1" x14ac:dyDescent="0.35">
      <c r="A15" s="13" t="s">
        <v>25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O15" s="1">
        <v>0</v>
      </c>
      <c r="P15">
        <f>2*O12^2*C25</f>
        <v>0</v>
      </c>
    </row>
    <row r="16" spans="1:19" x14ac:dyDescent="0.35">
      <c r="A16" s="13"/>
      <c r="B16" s="13" t="s">
        <v>1</v>
      </c>
      <c r="C16" s="13" t="s">
        <v>2</v>
      </c>
      <c r="D16" s="13" t="s">
        <v>3</v>
      </c>
      <c r="E16" s="13" t="s">
        <v>4</v>
      </c>
      <c r="F16" s="13" t="s">
        <v>5</v>
      </c>
      <c r="G16" s="13" t="s">
        <v>6</v>
      </c>
      <c r="H16" s="13" t="s">
        <v>7</v>
      </c>
      <c r="I16" s="13" t="s">
        <v>14</v>
      </c>
      <c r="J16" s="13" t="s">
        <v>0</v>
      </c>
      <c r="K16" s="13" t="s">
        <v>26</v>
      </c>
      <c r="O16">
        <v>0</v>
      </c>
      <c r="P16" s="2">
        <f>SUM(P10:P15)</f>
        <v>6.8769999999999986E-3</v>
      </c>
    </row>
    <row r="17" spans="1:17" x14ac:dyDescent="0.35">
      <c r="A17" s="14" t="s">
        <v>8</v>
      </c>
      <c r="B17" s="14">
        <f>B3*B10</f>
        <v>-0.73599999999999999</v>
      </c>
      <c r="C17" s="14">
        <f>C3*C10</f>
        <v>0</v>
      </c>
      <c r="D17" s="14">
        <f>D3*D10</f>
        <v>0</v>
      </c>
      <c r="E17" s="14">
        <f>E3*E10</f>
        <v>0</v>
      </c>
      <c r="F17" s="14">
        <f>J3*F10</f>
        <v>0</v>
      </c>
      <c r="G17" s="14">
        <f>G3*G10</f>
        <v>0</v>
      </c>
      <c r="H17" s="14">
        <f>H3*H10</f>
        <v>0</v>
      </c>
      <c r="I17" s="14">
        <f>I3*I10</f>
        <v>0</v>
      </c>
      <c r="J17" s="14">
        <f>J3*J10</f>
        <v>675.7</v>
      </c>
      <c r="K17" s="14">
        <f>SUM(B17:J17)</f>
        <v>674.96400000000006</v>
      </c>
      <c r="O17">
        <v>0</v>
      </c>
      <c r="P17">
        <f>SQRT(P16)</f>
        <v>8.2927679335671745E-2</v>
      </c>
    </row>
    <row r="18" spans="1:17" x14ac:dyDescent="0.35">
      <c r="A18" s="14" t="s">
        <v>9</v>
      </c>
      <c r="B18" s="14">
        <v>1</v>
      </c>
      <c r="C18" s="14">
        <v>1</v>
      </c>
      <c r="D18" s="14">
        <v>1</v>
      </c>
      <c r="E18" s="14">
        <f t="shared" ref="E18:J18" si="0">E4*E11</f>
        <v>0</v>
      </c>
      <c r="F18" s="14">
        <f t="shared" si="0"/>
        <v>0</v>
      </c>
      <c r="G18" s="14">
        <f t="shared" si="0"/>
        <v>0</v>
      </c>
      <c r="H18" s="14">
        <f t="shared" si="0"/>
        <v>0</v>
      </c>
      <c r="I18" s="14">
        <f t="shared" si="0"/>
        <v>0</v>
      </c>
      <c r="J18" s="14">
        <f t="shared" si="0"/>
        <v>0</v>
      </c>
      <c r="K18" s="14">
        <f>SUM(B18:J18)</f>
        <v>3</v>
      </c>
      <c r="L18" s="34">
        <f>K17-K18</f>
        <v>671.96400000000006</v>
      </c>
      <c r="O18">
        <v>1</v>
      </c>
    </row>
    <row r="19" spans="1:17" x14ac:dyDescent="0.35">
      <c r="A19" s="14" t="s">
        <v>10</v>
      </c>
      <c r="B19" s="14">
        <f>B5*B12</f>
        <v>0</v>
      </c>
      <c r="C19" s="14">
        <f t="shared" ref="C19:J19" si="1">C5*C12</f>
        <v>0</v>
      </c>
      <c r="D19" s="14">
        <f t="shared" si="1"/>
        <v>0</v>
      </c>
      <c r="E19" s="14">
        <f t="shared" si="1"/>
        <v>0</v>
      </c>
      <c r="F19" s="14">
        <f t="shared" si="1"/>
        <v>0</v>
      </c>
      <c r="G19" s="14">
        <f t="shared" si="1"/>
        <v>0</v>
      </c>
      <c r="H19" s="14">
        <f t="shared" si="1"/>
        <v>0</v>
      </c>
      <c r="I19" s="14">
        <f t="shared" si="1"/>
        <v>0</v>
      </c>
      <c r="J19" s="14">
        <f t="shared" si="1"/>
        <v>11.9322</v>
      </c>
      <c r="K19" s="14">
        <f>SUM(B19:J19)</f>
        <v>11.9322</v>
      </c>
    </row>
    <row r="20" spans="1:17" x14ac:dyDescent="0.35">
      <c r="A20" s="14" t="s">
        <v>11</v>
      </c>
      <c r="B20" s="14">
        <f t="shared" ref="B20:J20" si="2">B6*B13</f>
        <v>0</v>
      </c>
      <c r="C20" s="14">
        <f t="shared" si="2"/>
        <v>0</v>
      </c>
      <c r="D20" s="14">
        <f t="shared" si="2"/>
        <v>0</v>
      </c>
      <c r="E20" s="14">
        <f t="shared" si="2"/>
        <v>0</v>
      </c>
      <c r="F20" s="14">
        <f t="shared" si="2"/>
        <v>0</v>
      </c>
      <c r="G20" s="14">
        <f t="shared" si="2"/>
        <v>0</v>
      </c>
      <c r="H20" s="14">
        <f t="shared" si="2"/>
        <v>0</v>
      </c>
      <c r="I20" s="14">
        <f t="shared" si="2"/>
        <v>0</v>
      </c>
      <c r="J20" s="14">
        <f t="shared" si="2"/>
        <v>11.5465</v>
      </c>
      <c r="K20" s="14">
        <f>SUM(B20:J20)</f>
        <v>11.5465</v>
      </c>
    </row>
    <row r="22" spans="1:17" x14ac:dyDescent="0.35">
      <c r="A22" s="17" t="s">
        <v>27</v>
      </c>
      <c r="B22" s="17" t="s">
        <v>1</v>
      </c>
      <c r="C22" s="17" t="s">
        <v>2</v>
      </c>
      <c r="D22" s="17" t="s">
        <v>3</v>
      </c>
      <c r="E22" s="17" t="s">
        <v>4</v>
      </c>
      <c r="F22" s="17" t="s">
        <v>5</v>
      </c>
      <c r="G22" s="17" t="s">
        <v>6</v>
      </c>
      <c r="H22" s="17" t="s">
        <v>7</v>
      </c>
      <c r="I22" s="17" t="s">
        <v>14</v>
      </c>
      <c r="J22" s="17" t="s">
        <v>0</v>
      </c>
      <c r="K22" s="16"/>
      <c r="M22" s="21" t="s">
        <v>29</v>
      </c>
      <c r="N22" s="21" t="s">
        <v>30</v>
      </c>
      <c r="O22" s="21" t="s">
        <v>31</v>
      </c>
      <c r="P22" s="21" t="s">
        <v>32</v>
      </c>
      <c r="Q22" s="21" t="s">
        <v>33</v>
      </c>
    </row>
    <row r="23" spans="1:17" x14ac:dyDescent="0.35">
      <c r="A23" s="17" t="s">
        <v>1</v>
      </c>
      <c r="B23" s="20">
        <v>1.2999999999999999E-3</v>
      </c>
      <c r="C23" s="16">
        <f>B24</f>
        <v>6.0000000000000001E-3</v>
      </c>
      <c r="D23" s="16">
        <f>B25</f>
        <v>0</v>
      </c>
      <c r="E23" s="16">
        <f>B26</f>
        <v>0</v>
      </c>
      <c r="F23" s="16">
        <f>B27</f>
        <v>0</v>
      </c>
      <c r="G23" s="16">
        <f>B28</f>
        <v>0</v>
      </c>
      <c r="H23" s="16">
        <f>B29</f>
        <v>0</v>
      </c>
      <c r="I23" s="16">
        <f>B30</f>
        <v>0</v>
      </c>
      <c r="J23" s="16">
        <f>B31</f>
        <v>-0.31900000000000001</v>
      </c>
      <c r="K23" s="16"/>
      <c r="M23" s="33">
        <v>108.979</v>
      </c>
      <c r="N23" s="2">
        <f>SQRT(M23+L10)</f>
        <v>66.341452744319071</v>
      </c>
      <c r="O23" s="3">
        <v>1.962</v>
      </c>
      <c r="P23" s="2">
        <f>K17+O23*N23</f>
        <v>805.12593028435413</v>
      </c>
      <c r="Q23">
        <f>K17-O23*N23</f>
        <v>544.80206971564598</v>
      </c>
    </row>
    <row r="24" spans="1:17" x14ac:dyDescent="0.35">
      <c r="A24" s="17" t="s">
        <v>2</v>
      </c>
      <c r="B24" s="19">
        <v>6.0000000000000001E-3</v>
      </c>
      <c r="C24" s="20">
        <v>2.028</v>
      </c>
      <c r="D24" s="16">
        <v>0.09</v>
      </c>
      <c r="E24" s="16">
        <f>C26</f>
        <v>0</v>
      </c>
      <c r="F24" s="16">
        <f>C27</f>
        <v>0</v>
      </c>
      <c r="G24" s="16">
        <f>C28</f>
        <v>0</v>
      </c>
      <c r="H24" s="16">
        <f>C29</f>
        <v>0</v>
      </c>
      <c r="I24" s="16">
        <f>C30</f>
        <v>0</v>
      </c>
      <c r="J24" s="16">
        <f>C31</f>
        <v>-7.09</v>
      </c>
      <c r="K24" s="16"/>
      <c r="M24" s="33">
        <v>8027</v>
      </c>
      <c r="N24" s="2">
        <v>632.45553203367592</v>
      </c>
      <c r="O24" s="3">
        <v>1.66</v>
      </c>
      <c r="P24" s="2">
        <f>M24+O24*N24</f>
        <v>9076.876183175902</v>
      </c>
      <c r="Q24" s="2">
        <f>M24-O24*N24</f>
        <v>6977.123816824098</v>
      </c>
    </row>
    <row r="25" spans="1:17" x14ac:dyDescent="0.35">
      <c r="A25" s="17" t="s">
        <v>3</v>
      </c>
      <c r="B25" s="19">
        <v>0</v>
      </c>
      <c r="C25" s="19">
        <v>0</v>
      </c>
      <c r="D25" s="20">
        <v>0</v>
      </c>
      <c r="E25" s="16"/>
      <c r="F25" s="16">
        <f>D27</f>
        <v>0</v>
      </c>
      <c r="G25" s="16">
        <f>D28</f>
        <v>0</v>
      </c>
      <c r="H25" s="16">
        <f>D29</f>
        <v>0</v>
      </c>
      <c r="I25" s="16">
        <f>D30</f>
        <v>0</v>
      </c>
      <c r="J25" s="16">
        <f>D31</f>
        <v>0</v>
      </c>
      <c r="K25" s="16"/>
      <c r="M25" s="33"/>
    </row>
    <row r="26" spans="1:17" x14ac:dyDescent="0.35">
      <c r="A26" s="17" t="s">
        <v>4</v>
      </c>
      <c r="B26" s="19"/>
      <c r="C26" s="19"/>
      <c r="D26" s="19"/>
      <c r="E26" s="19"/>
      <c r="F26" s="16">
        <f>E27</f>
        <v>0</v>
      </c>
      <c r="G26" s="16">
        <f>E28</f>
        <v>0</v>
      </c>
      <c r="H26" s="16">
        <f>E29</f>
        <v>0</v>
      </c>
      <c r="I26" s="16">
        <f>E30</f>
        <v>0</v>
      </c>
      <c r="J26" s="16">
        <f>E31</f>
        <v>0</v>
      </c>
      <c r="K26" s="16"/>
    </row>
    <row r="27" spans="1:17" x14ac:dyDescent="0.35">
      <c r="A27" s="17" t="s">
        <v>5</v>
      </c>
      <c r="B27" s="19"/>
      <c r="C27" s="19"/>
      <c r="D27" s="19"/>
      <c r="E27" s="19"/>
      <c r="F27" s="20"/>
      <c r="G27" s="16">
        <f>F28</f>
        <v>0</v>
      </c>
      <c r="H27" s="16">
        <f>F29</f>
        <v>0</v>
      </c>
      <c r="I27" s="16">
        <f>F30</f>
        <v>0</v>
      </c>
      <c r="J27" s="16">
        <f>F31</f>
        <v>0</v>
      </c>
      <c r="K27" s="16"/>
    </row>
    <row r="28" spans="1:17" x14ac:dyDescent="0.35">
      <c r="A28" s="18" t="s">
        <v>6</v>
      </c>
      <c r="B28" s="19"/>
      <c r="C28" s="19"/>
      <c r="D28" s="19"/>
      <c r="E28" s="19"/>
      <c r="F28" s="19"/>
      <c r="G28" s="19"/>
      <c r="H28" s="16">
        <f>G29</f>
        <v>0</v>
      </c>
      <c r="I28" s="16">
        <f>G30</f>
        <v>0</v>
      </c>
      <c r="J28" s="16">
        <f>G31</f>
        <v>0</v>
      </c>
      <c r="K28" s="16"/>
    </row>
    <row r="29" spans="1:17" x14ac:dyDescent="0.35">
      <c r="A29" s="18" t="s">
        <v>7</v>
      </c>
      <c r="B29" s="19"/>
      <c r="C29" s="19"/>
      <c r="D29" s="19"/>
      <c r="E29" s="19"/>
      <c r="F29" s="19"/>
      <c r="G29" s="19"/>
      <c r="H29" s="20"/>
      <c r="I29" s="16">
        <f>H30</f>
        <v>0</v>
      </c>
      <c r="J29" s="16">
        <f>H31</f>
        <v>0</v>
      </c>
      <c r="K29" s="16"/>
    </row>
    <row r="30" spans="1:17" x14ac:dyDescent="0.35">
      <c r="A30" s="18" t="s">
        <v>14</v>
      </c>
      <c r="B30" s="19"/>
      <c r="C30" s="19"/>
      <c r="D30" s="19"/>
      <c r="E30" s="19"/>
      <c r="F30" s="19"/>
      <c r="G30" s="19"/>
      <c r="H30" s="19"/>
      <c r="I30" s="20"/>
      <c r="J30" s="16">
        <f>I31</f>
        <v>0</v>
      </c>
      <c r="K30" s="16"/>
    </row>
    <row r="31" spans="1:17" x14ac:dyDescent="0.35">
      <c r="A31" s="18" t="s">
        <v>0</v>
      </c>
      <c r="B31" s="19">
        <v>-0.31900000000000001</v>
      </c>
      <c r="C31" s="19">
        <v>-7.09</v>
      </c>
      <c r="D31" s="19"/>
      <c r="E31" s="19"/>
      <c r="F31" s="19"/>
      <c r="G31" s="19"/>
      <c r="H31" s="19"/>
      <c r="I31" s="19"/>
      <c r="J31" s="20">
        <v>110.44</v>
      </c>
      <c r="K31" s="16">
        <v>0.42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CF233-E416-46F3-9A08-A20E6630929F}">
  <dimension ref="A1:U43"/>
  <sheetViews>
    <sheetView topLeftCell="A7" zoomScale="60" zoomScaleNormal="60" workbookViewId="0">
      <pane xSplit="1" topLeftCell="B1" activePane="topRight" state="frozen"/>
      <selection pane="topRight" activeCell="M35" sqref="M35"/>
    </sheetView>
  </sheetViews>
  <sheetFormatPr baseColWidth="10" defaultRowHeight="14.5" x14ac:dyDescent="0.35"/>
  <cols>
    <col min="1" max="1" width="7.08984375" bestFit="1" customWidth="1"/>
    <col min="2" max="2" width="9.54296875" bestFit="1" customWidth="1"/>
    <col min="3" max="3" width="8.54296875" bestFit="1" customWidth="1"/>
    <col min="4" max="4" width="10.54296875" bestFit="1" customWidth="1"/>
    <col min="5" max="5" width="9.81640625" bestFit="1" customWidth="1"/>
    <col min="6" max="7" width="7.36328125" bestFit="1" customWidth="1"/>
    <col min="8" max="8" width="6.36328125" bestFit="1" customWidth="1"/>
    <col min="9" max="9" width="2.90625" bestFit="1" customWidth="1"/>
    <col min="10" max="10" width="10.36328125" bestFit="1" customWidth="1"/>
    <col min="11" max="11" width="10.81640625" customWidth="1"/>
    <col min="12" max="12" width="8.26953125" customWidth="1"/>
    <col min="13" max="13" width="11.81640625" bestFit="1" customWidth="1"/>
    <col min="14" max="14" width="16.1796875" bestFit="1" customWidth="1"/>
    <col min="15" max="15" width="10.36328125" bestFit="1" customWidth="1"/>
    <col min="16" max="16" width="8.36328125" bestFit="1" customWidth="1"/>
    <col min="17" max="17" width="8.81640625" bestFit="1" customWidth="1"/>
    <col min="18" max="18" width="6.81640625" bestFit="1" customWidth="1"/>
    <col min="19" max="19" width="10.26953125" bestFit="1" customWidth="1"/>
  </cols>
  <sheetData>
    <row r="1" spans="1:21" x14ac:dyDescent="0.35">
      <c r="A1" s="5" t="s">
        <v>12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21" s="1" customFormat="1" x14ac:dyDescent="0.35">
      <c r="A2" s="5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14</v>
      </c>
      <c r="J2" s="5" t="s">
        <v>0</v>
      </c>
      <c r="K2" s="8"/>
      <c r="L2" s="29" t="s">
        <v>15</v>
      </c>
      <c r="M2" s="1" t="s">
        <v>21</v>
      </c>
      <c r="N2" s="1" t="s">
        <v>22</v>
      </c>
      <c r="O2" s="1" t="s">
        <v>18</v>
      </c>
      <c r="P2" s="1" t="s">
        <v>19</v>
      </c>
      <c r="Q2" s="29" t="s">
        <v>16</v>
      </c>
      <c r="R2" s="29" t="s">
        <v>17</v>
      </c>
      <c r="S2" s="1" t="s">
        <v>20</v>
      </c>
      <c r="T2" s="1" t="s">
        <v>67</v>
      </c>
      <c r="U2" s="1" t="s">
        <v>68</v>
      </c>
    </row>
    <row r="3" spans="1:21" x14ac:dyDescent="0.35">
      <c r="A3" s="6" t="s">
        <v>8</v>
      </c>
      <c r="B3" s="9">
        <v>0.82899999999999996</v>
      </c>
      <c r="C3" s="9"/>
      <c r="D3" s="9"/>
      <c r="E3" s="9"/>
      <c r="F3" s="9"/>
      <c r="G3" s="9"/>
      <c r="H3" s="9"/>
      <c r="I3" s="9"/>
      <c r="J3" s="9">
        <v>-8.5739999999999998</v>
      </c>
      <c r="K3" s="7"/>
      <c r="L3">
        <v>216</v>
      </c>
      <c r="M3" s="4">
        <f t="shared" ref="M3:M9" si="0">(COUNTA(B3:J3))-1</f>
        <v>1</v>
      </c>
      <c r="N3">
        <f>L3-M3-1</f>
        <v>214</v>
      </c>
      <c r="Q3">
        <v>193384</v>
      </c>
      <c r="R3">
        <v>0.18279999999999999</v>
      </c>
      <c r="S3">
        <f>(1)-((L3-1)/N3)*(1-R3)</f>
        <v>0.17898130841121485</v>
      </c>
    </row>
    <row r="4" spans="1:21" x14ac:dyDescent="0.35">
      <c r="A4" s="5" t="s">
        <v>9</v>
      </c>
      <c r="B4" s="9">
        <v>0.80100000000000005</v>
      </c>
      <c r="C4" s="9">
        <v>0.73499999999999999</v>
      </c>
      <c r="D4" s="9"/>
      <c r="E4" s="9"/>
      <c r="F4" s="9"/>
      <c r="G4" s="9"/>
      <c r="H4" s="9"/>
      <c r="I4" s="9"/>
      <c r="J4" s="9">
        <v>-11.143000000000001</v>
      </c>
      <c r="K4" s="7"/>
      <c r="L4">
        <v>216</v>
      </c>
      <c r="M4" s="4">
        <f t="shared" si="0"/>
        <v>2</v>
      </c>
      <c r="N4">
        <f t="shared" ref="N4:N9" si="1">L4-M4-1</f>
        <v>213</v>
      </c>
      <c r="Q4">
        <v>179103</v>
      </c>
      <c r="R4">
        <v>0.2432</v>
      </c>
      <c r="S4">
        <f t="shared" ref="S4:S9" si="2">(1)-((L4-1)/N4)*(1-R4)</f>
        <v>0.23609389671361503</v>
      </c>
      <c r="T4">
        <f>((Q3-Q4)/Q4)*(N4/(M4-M3))</f>
        <v>16.983819366509774</v>
      </c>
    </row>
    <row r="5" spans="1:21" x14ac:dyDescent="0.35">
      <c r="A5" s="5" t="s">
        <v>10</v>
      </c>
      <c r="B5" s="9">
        <v>0.77100000000000002</v>
      </c>
      <c r="C5" s="9">
        <v>4.1520000000000001</v>
      </c>
      <c r="D5" s="9">
        <v>-0.04</v>
      </c>
      <c r="E5" s="9"/>
      <c r="F5" s="9"/>
      <c r="G5" s="9"/>
      <c r="H5" s="9"/>
      <c r="I5" s="9"/>
      <c r="J5" s="9">
        <v>42.127000000000002</v>
      </c>
      <c r="K5" s="7"/>
      <c r="L5">
        <v>216</v>
      </c>
      <c r="M5" s="4">
        <f t="shared" si="0"/>
        <v>3</v>
      </c>
      <c r="N5">
        <f t="shared" si="1"/>
        <v>212</v>
      </c>
      <c r="Q5">
        <v>175051</v>
      </c>
      <c r="R5">
        <v>0.26029999999999998</v>
      </c>
      <c r="S5">
        <f t="shared" si="2"/>
        <v>0.24983254716981129</v>
      </c>
      <c r="T5">
        <f>((Q4-Q5)/Q5)*(N5/(M5-M4))</f>
        <v>4.907278450280204</v>
      </c>
    </row>
    <row r="6" spans="1:21" x14ac:dyDescent="0.35">
      <c r="A6" s="6" t="s">
        <v>11</v>
      </c>
      <c r="B6" s="9">
        <v>0.46899999999999997</v>
      </c>
      <c r="C6" s="9">
        <v>4.1559999999999997</v>
      </c>
      <c r="D6" s="9">
        <v>-0.04</v>
      </c>
      <c r="E6" s="9">
        <v>-6.4589999999999996</v>
      </c>
      <c r="F6" s="9">
        <v>0.48599999999999999</v>
      </c>
      <c r="G6" s="9"/>
      <c r="H6" s="9"/>
      <c r="I6" s="9"/>
      <c r="J6" s="9">
        <v>46.139000000000003</v>
      </c>
      <c r="K6" s="7"/>
      <c r="L6">
        <v>216</v>
      </c>
      <c r="M6" s="4">
        <f t="shared" si="0"/>
        <v>5</v>
      </c>
      <c r="N6">
        <f t="shared" si="1"/>
        <v>210</v>
      </c>
      <c r="Q6">
        <v>171789</v>
      </c>
      <c r="R6">
        <v>0.27410000000000001</v>
      </c>
      <c r="S6">
        <f t="shared" si="2"/>
        <v>0.25681666666666669</v>
      </c>
      <c r="T6">
        <f>((Q5-Q6)/Q6)*(N6/(M6-M5))</f>
        <v>1.9937830710930271</v>
      </c>
    </row>
    <row r="7" spans="1:21" x14ac:dyDescent="0.35">
      <c r="A7" s="6" t="s">
        <v>60</v>
      </c>
      <c r="B7" s="9">
        <v>0.71899999999999997</v>
      </c>
      <c r="C7" s="9">
        <v>4.1749999999999998</v>
      </c>
      <c r="D7" s="9">
        <v>-0.04</v>
      </c>
      <c r="E7" s="25"/>
      <c r="F7" s="9"/>
      <c r="G7" s="9">
        <v>11.009</v>
      </c>
      <c r="H7" s="9"/>
      <c r="I7" s="9"/>
      <c r="J7" s="9">
        <v>40.670999999999999</v>
      </c>
      <c r="K7" s="7"/>
      <c r="L7">
        <v>216</v>
      </c>
      <c r="M7" s="4">
        <f t="shared" si="0"/>
        <v>4</v>
      </c>
      <c r="N7">
        <f t="shared" si="1"/>
        <v>211</v>
      </c>
      <c r="Q7">
        <v>170663</v>
      </c>
      <c r="R7">
        <v>0.27879999999999999</v>
      </c>
      <c r="S7">
        <f t="shared" si="2"/>
        <v>0.26512796208530798</v>
      </c>
    </row>
    <row r="8" spans="1:21" x14ac:dyDescent="0.35">
      <c r="A8" s="6" t="s">
        <v>61</v>
      </c>
      <c r="B8" s="9">
        <v>0.628</v>
      </c>
      <c r="C8" s="9">
        <v>2.4470000000000001</v>
      </c>
      <c r="D8" s="9">
        <v>-2.1999999999999999E-2</v>
      </c>
      <c r="E8" s="9"/>
      <c r="F8" s="9"/>
      <c r="G8" s="9"/>
      <c r="H8" s="9"/>
      <c r="I8" s="9"/>
      <c r="J8" s="9">
        <v>19.841999999999999</v>
      </c>
      <c r="K8" s="7"/>
      <c r="L8">
        <v>167</v>
      </c>
      <c r="M8" s="4">
        <f t="shared" si="0"/>
        <v>3</v>
      </c>
      <c r="N8">
        <f t="shared" si="1"/>
        <v>163</v>
      </c>
      <c r="Q8">
        <v>112991</v>
      </c>
      <c r="R8">
        <v>0.19589999999999999</v>
      </c>
      <c r="S8">
        <f t="shared" si="2"/>
        <v>0.18110061349693252</v>
      </c>
    </row>
    <row r="9" spans="1:21" x14ac:dyDescent="0.35">
      <c r="A9" s="6" t="s">
        <v>62</v>
      </c>
      <c r="B9" s="9">
        <v>0.90400000000000003</v>
      </c>
      <c r="C9" s="9">
        <v>10.29</v>
      </c>
      <c r="D9" s="9">
        <v>-0.106</v>
      </c>
      <c r="E9" s="9"/>
      <c r="F9" s="25"/>
      <c r="G9" s="9"/>
      <c r="H9" s="9"/>
      <c r="I9" s="9"/>
      <c r="J9" s="9">
        <v>129.24299999999999</v>
      </c>
      <c r="K9" s="7"/>
      <c r="L9">
        <v>49</v>
      </c>
      <c r="M9" s="30">
        <f t="shared" si="0"/>
        <v>3</v>
      </c>
      <c r="N9">
        <f t="shared" si="1"/>
        <v>45</v>
      </c>
      <c r="Q9">
        <v>50684</v>
      </c>
      <c r="R9">
        <v>0.42149999999999999</v>
      </c>
      <c r="S9">
        <f t="shared" si="2"/>
        <v>0.38293333333333335</v>
      </c>
      <c r="U9">
        <f>((Q8-Q9)/Q9)*(L8+L9-2*(M8+1))/((2-1)*(M8+1))</f>
        <v>63.924788888011989</v>
      </c>
    </row>
    <row r="10" spans="1:21" x14ac:dyDescent="0.35">
      <c r="A10" s="6" t="s">
        <v>63</v>
      </c>
      <c r="B10" s="9"/>
      <c r="C10" s="9"/>
      <c r="D10" s="9"/>
      <c r="E10" s="9"/>
      <c r="F10" s="9"/>
      <c r="G10" s="9"/>
      <c r="H10" s="9"/>
      <c r="I10" s="9"/>
      <c r="J10" s="9"/>
      <c r="K10" s="7"/>
      <c r="M10" s="4"/>
    </row>
    <row r="11" spans="1:21" x14ac:dyDescent="0.35">
      <c r="A11" s="7"/>
      <c r="B11" s="10"/>
      <c r="C11" s="10"/>
      <c r="D11" s="10"/>
      <c r="E11" s="10"/>
      <c r="F11" s="10"/>
      <c r="G11" s="10"/>
      <c r="H11" s="10"/>
      <c r="I11" s="10"/>
      <c r="J11" s="10"/>
      <c r="K11" s="7"/>
    </row>
    <row r="12" spans="1:21" x14ac:dyDescent="0.35">
      <c r="A12" s="11" t="s">
        <v>13</v>
      </c>
      <c r="B12" s="12"/>
      <c r="C12" s="12"/>
      <c r="D12" s="12"/>
      <c r="E12" s="12"/>
      <c r="F12" s="12"/>
      <c r="G12" s="12"/>
      <c r="H12" s="12"/>
      <c r="I12" s="12"/>
      <c r="J12" s="12"/>
      <c r="K12" s="7"/>
    </row>
    <row r="13" spans="1:21" s="1" customFormat="1" x14ac:dyDescent="0.35">
      <c r="A13" s="11"/>
      <c r="B13" s="11" t="s">
        <v>1</v>
      </c>
      <c r="C13" s="11" t="s">
        <v>2</v>
      </c>
      <c r="D13" s="11" t="s">
        <v>3</v>
      </c>
      <c r="E13" s="11" t="s">
        <v>4</v>
      </c>
      <c r="F13" s="11" t="s">
        <v>5</v>
      </c>
      <c r="G13" s="11" t="s">
        <v>6</v>
      </c>
      <c r="H13" s="11" t="s">
        <v>7</v>
      </c>
      <c r="I13" s="11" t="s">
        <v>14</v>
      </c>
      <c r="J13" s="11" t="s">
        <v>0</v>
      </c>
      <c r="K13" s="8"/>
      <c r="L13" s="1" t="s">
        <v>23</v>
      </c>
      <c r="M13" s="1" t="s">
        <v>24</v>
      </c>
      <c r="N13" s="1" t="s">
        <v>64</v>
      </c>
      <c r="O13" s="1" t="s">
        <v>31</v>
      </c>
      <c r="P13" s="1" t="s">
        <v>66</v>
      </c>
      <c r="Q13" s="1" t="s">
        <v>65</v>
      </c>
    </row>
    <row r="14" spans="1:21" x14ac:dyDescent="0.35">
      <c r="A14" s="12" t="s">
        <v>8</v>
      </c>
      <c r="B14" s="12">
        <v>0</v>
      </c>
      <c r="C14" s="12">
        <v>120</v>
      </c>
      <c r="D14" s="12">
        <v>3</v>
      </c>
      <c r="E14" s="12"/>
      <c r="F14" s="12"/>
      <c r="G14" s="12"/>
      <c r="H14" s="12"/>
      <c r="I14" s="12"/>
      <c r="J14" s="12">
        <v>1</v>
      </c>
      <c r="K14" s="7"/>
      <c r="L14">
        <f>(Q3)/N3</f>
        <v>903.6635514018692</v>
      </c>
      <c r="M14">
        <f>SQRT(L14)</f>
        <v>30.060997179100184</v>
      </c>
      <c r="N14">
        <f>L14/(Q3*(1-R3))</f>
        <v>5.7181806121655429E-3</v>
      </c>
      <c r="O14">
        <v>1.66</v>
      </c>
      <c r="P14">
        <f>B3-O14*N14</f>
        <v>0.81950782018380519</v>
      </c>
      <c r="Q14">
        <f>B3+O14*N14</f>
        <v>0.83849217981619473</v>
      </c>
    </row>
    <row r="15" spans="1:21" x14ac:dyDescent="0.35">
      <c r="A15" s="12" t="s">
        <v>9</v>
      </c>
      <c r="B15" s="12"/>
      <c r="C15" s="12"/>
      <c r="D15" s="12"/>
      <c r="E15" s="12"/>
      <c r="F15" s="12"/>
      <c r="G15" s="12"/>
      <c r="H15" s="12"/>
      <c r="I15" s="12"/>
      <c r="J15" s="12">
        <v>1</v>
      </c>
      <c r="K15" s="7"/>
    </row>
    <row r="16" spans="1:21" x14ac:dyDescent="0.35">
      <c r="A16" s="12" t="s">
        <v>10</v>
      </c>
      <c r="B16" s="12"/>
      <c r="C16" s="12"/>
      <c r="D16" s="12"/>
      <c r="E16" s="12"/>
      <c r="F16" s="12"/>
      <c r="G16" s="12"/>
      <c r="H16" s="12"/>
      <c r="I16" s="12"/>
      <c r="J16" s="12">
        <v>1</v>
      </c>
      <c r="K16" s="7"/>
    </row>
    <row r="17" spans="1:11" x14ac:dyDescent="0.35">
      <c r="A17" s="12" t="s">
        <v>11</v>
      </c>
      <c r="B17" s="12"/>
      <c r="C17" s="12"/>
      <c r="D17" s="12"/>
      <c r="E17" s="12"/>
      <c r="F17" s="12"/>
      <c r="G17" s="12"/>
      <c r="H17" s="12"/>
      <c r="I17" s="12"/>
      <c r="J17" s="12">
        <v>1</v>
      </c>
      <c r="K17" s="7"/>
    </row>
    <row r="18" spans="1:11" x14ac:dyDescent="0.35">
      <c r="A18" s="12" t="s">
        <v>60</v>
      </c>
      <c r="B18" s="12">
        <v>10000</v>
      </c>
      <c r="C18" s="12"/>
      <c r="D18" s="12"/>
      <c r="E18" s="12"/>
      <c r="F18" s="12"/>
      <c r="G18" s="12">
        <v>-1</v>
      </c>
      <c r="H18" s="12"/>
      <c r="I18" s="12"/>
      <c r="J18" s="12"/>
      <c r="K18" s="7"/>
    </row>
    <row r="19" spans="1:11" x14ac:dyDescent="0.35">
      <c r="A19" s="12" t="s">
        <v>61</v>
      </c>
      <c r="B19" s="12"/>
      <c r="C19" s="12"/>
      <c r="D19" s="12"/>
      <c r="E19" s="12"/>
      <c r="F19" s="12"/>
      <c r="G19" s="12"/>
      <c r="H19" s="12"/>
      <c r="I19" s="12"/>
      <c r="J19" s="12">
        <v>1</v>
      </c>
      <c r="K19" s="7"/>
    </row>
    <row r="20" spans="1:11" x14ac:dyDescent="0.35">
      <c r="A20" s="12" t="s">
        <v>62</v>
      </c>
      <c r="B20" s="12"/>
      <c r="C20" s="12"/>
      <c r="D20" s="12"/>
      <c r="E20" s="12"/>
      <c r="F20" s="12"/>
      <c r="G20" s="12"/>
      <c r="H20" s="12"/>
      <c r="I20" s="12"/>
      <c r="J20" s="12">
        <v>1</v>
      </c>
      <c r="K20" s="7"/>
    </row>
    <row r="21" spans="1:11" x14ac:dyDescent="0.35">
      <c r="A21" s="12" t="s">
        <v>63</v>
      </c>
      <c r="B21" s="12"/>
      <c r="C21" s="12"/>
      <c r="D21" s="12"/>
      <c r="E21" s="12"/>
      <c r="F21" s="12"/>
      <c r="G21" s="12"/>
      <c r="H21" s="12"/>
      <c r="I21" s="12"/>
      <c r="J21" s="12"/>
      <c r="K21" s="7"/>
    </row>
    <row r="22" spans="1:11" x14ac:dyDescent="0.3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s="1" customFormat="1" x14ac:dyDescent="0.35">
      <c r="A23" s="13" t="s">
        <v>25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35">
      <c r="A24" s="13"/>
      <c r="B24" s="13" t="s">
        <v>1</v>
      </c>
      <c r="C24" s="13" t="s">
        <v>2</v>
      </c>
      <c r="D24" s="13" t="s">
        <v>3</v>
      </c>
      <c r="E24" s="13" t="s">
        <v>4</v>
      </c>
      <c r="F24" s="13" t="s">
        <v>5</v>
      </c>
      <c r="G24" s="13" t="s">
        <v>6</v>
      </c>
      <c r="H24" s="13" t="s">
        <v>7</v>
      </c>
      <c r="I24" s="13" t="s">
        <v>14</v>
      </c>
      <c r="J24" s="13" t="s">
        <v>0</v>
      </c>
      <c r="K24" s="13" t="s">
        <v>26</v>
      </c>
    </row>
    <row r="25" spans="1:11" x14ac:dyDescent="0.35">
      <c r="A25" s="14" t="s">
        <v>8</v>
      </c>
      <c r="B25" s="14">
        <f t="shared" ref="B25:J25" si="3">B3*B14</f>
        <v>0</v>
      </c>
      <c r="C25" s="14">
        <f t="shared" si="3"/>
        <v>0</v>
      </c>
      <c r="D25" s="14">
        <f t="shared" si="3"/>
        <v>0</v>
      </c>
      <c r="E25" s="14">
        <f t="shared" si="3"/>
        <v>0</v>
      </c>
      <c r="F25" s="14">
        <f t="shared" si="3"/>
        <v>0</v>
      </c>
      <c r="G25" s="14">
        <f t="shared" si="3"/>
        <v>0</v>
      </c>
      <c r="H25" s="14">
        <f t="shared" si="3"/>
        <v>0</v>
      </c>
      <c r="I25" s="14">
        <f t="shared" si="3"/>
        <v>0</v>
      </c>
      <c r="J25" s="14">
        <f t="shared" si="3"/>
        <v>-8.5739999999999998</v>
      </c>
      <c r="K25" s="14">
        <f t="shared" ref="K25:K32" si="4">SUM(B25:J25)</f>
        <v>-8.5739999999999998</v>
      </c>
    </row>
    <row r="26" spans="1:11" x14ac:dyDescent="0.35">
      <c r="A26" s="14" t="s">
        <v>9</v>
      </c>
      <c r="B26" s="14">
        <f t="shared" ref="B26:J26" si="5">B4*B15</f>
        <v>0</v>
      </c>
      <c r="C26" s="14">
        <f t="shared" si="5"/>
        <v>0</v>
      </c>
      <c r="D26" s="14">
        <f t="shared" si="5"/>
        <v>0</v>
      </c>
      <c r="E26" s="14">
        <f t="shared" si="5"/>
        <v>0</v>
      </c>
      <c r="F26" s="14">
        <f t="shared" si="5"/>
        <v>0</v>
      </c>
      <c r="G26" s="14">
        <f t="shared" si="5"/>
        <v>0</v>
      </c>
      <c r="H26" s="14">
        <f t="shared" si="5"/>
        <v>0</v>
      </c>
      <c r="I26" s="14">
        <f t="shared" si="5"/>
        <v>0</v>
      </c>
      <c r="J26" s="14">
        <f t="shared" si="5"/>
        <v>-11.143000000000001</v>
      </c>
      <c r="K26" s="14">
        <f t="shared" si="4"/>
        <v>-11.143000000000001</v>
      </c>
    </row>
    <row r="27" spans="1:11" x14ac:dyDescent="0.35">
      <c r="A27" s="14" t="s">
        <v>10</v>
      </c>
      <c r="B27" s="14">
        <f t="shared" ref="B27:J27" si="6">B5*B16</f>
        <v>0</v>
      </c>
      <c r="C27" s="14">
        <f t="shared" si="6"/>
        <v>0</v>
      </c>
      <c r="D27" s="14">
        <f t="shared" si="6"/>
        <v>0</v>
      </c>
      <c r="E27" s="14">
        <f t="shared" si="6"/>
        <v>0</v>
      </c>
      <c r="F27" s="14">
        <f t="shared" si="6"/>
        <v>0</v>
      </c>
      <c r="G27" s="14">
        <f t="shared" si="6"/>
        <v>0</v>
      </c>
      <c r="H27" s="14">
        <f t="shared" si="6"/>
        <v>0</v>
      </c>
      <c r="I27" s="14">
        <f t="shared" si="6"/>
        <v>0</v>
      </c>
      <c r="J27" s="14">
        <f t="shared" si="6"/>
        <v>42.127000000000002</v>
      </c>
      <c r="K27" s="14">
        <f t="shared" si="4"/>
        <v>42.127000000000002</v>
      </c>
    </row>
    <row r="28" spans="1:11" x14ac:dyDescent="0.35">
      <c r="A28" s="14" t="s">
        <v>11</v>
      </c>
      <c r="B28" s="14">
        <f t="shared" ref="B28:I28" si="7">B6*B17</f>
        <v>0</v>
      </c>
      <c r="C28" s="14">
        <f t="shared" si="7"/>
        <v>0</v>
      </c>
      <c r="D28" s="14">
        <f t="shared" si="7"/>
        <v>0</v>
      </c>
      <c r="E28" s="14">
        <f t="shared" si="7"/>
        <v>0</v>
      </c>
      <c r="F28" s="14">
        <f t="shared" si="7"/>
        <v>0</v>
      </c>
      <c r="G28" s="14">
        <f t="shared" si="7"/>
        <v>0</v>
      </c>
      <c r="H28" s="14">
        <f t="shared" si="7"/>
        <v>0</v>
      </c>
      <c r="I28" s="14">
        <f t="shared" si="7"/>
        <v>0</v>
      </c>
      <c r="J28" s="14">
        <f>J6*J17</f>
        <v>46.139000000000003</v>
      </c>
      <c r="K28" s="14">
        <f t="shared" si="4"/>
        <v>46.139000000000003</v>
      </c>
    </row>
    <row r="29" spans="1:11" x14ac:dyDescent="0.35">
      <c r="A29" s="14" t="s">
        <v>60</v>
      </c>
      <c r="B29" s="14">
        <f t="shared" ref="B29:I29" si="8">B7*B18</f>
        <v>7190</v>
      </c>
      <c r="C29" s="14">
        <f t="shared" si="8"/>
        <v>0</v>
      </c>
      <c r="D29" s="14">
        <f t="shared" si="8"/>
        <v>0</v>
      </c>
      <c r="E29" s="14">
        <f t="shared" si="8"/>
        <v>0</v>
      </c>
      <c r="F29" s="14">
        <f t="shared" si="8"/>
        <v>0</v>
      </c>
      <c r="G29" s="14">
        <f t="shared" si="8"/>
        <v>-11.009</v>
      </c>
      <c r="H29" s="14">
        <f t="shared" si="8"/>
        <v>0</v>
      </c>
      <c r="I29" s="14">
        <f t="shared" si="8"/>
        <v>0</v>
      </c>
      <c r="J29" s="14">
        <f>J7*J18</f>
        <v>0</v>
      </c>
      <c r="K29" s="14">
        <f t="shared" si="4"/>
        <v>7178.991</v>
      </c>
    </row>
    <row r="30" spans="1:11" x14ac:dyDescent="0.35">
      <c r="A30" s="14" t="s">
        <v>61</v>
      </c>
      <c r="B30" s="14">
        <f t="shared" ref="B30:I30" si="9">B8*B19</f>
        <v>0</v>
      </c>
      <c r="C30" s="14">
        <f t="shared" si="9"/>
        <v>0</v>
      </c>
      <c r="D30" s="14">
        <f t="shared" si="9"/>
        <v>0</v>
      </c>
      <c r="E30" s="14">
        <f t="shared" si="9"/>
        <v>0</v>
      </c>
      <c r="F30" s="14">
        <f t="shared" si="9"/>
        <v>0</v>
      </c>
      <c r="G30" s="14">
        <f t="shared" si="9"/>
        <v>0</v>
      </c>
      <c r="H30" s="14">
        <f t="shared" si="9"/>
        <v>0</v>
      </c>
      <c r="I30" s="14">
        <f t="shared" si="9"/>
        <v>0</v>
      </c>
      <c r="J30" s="14">
        <f>J8*J19</f>
        <v>19.841999999999999</v>
      </c>
      <c r="K30" s="14">
        <f t="shared" si="4"/>
        <v>19.841999999999999</v>
      </c>
    </row>
    <row r="31" spans="1:11" x14ac:dyDescent="0.35">
      <c r="A31" s="14" t="s">
        <v>62</v>
      </c>
      <c r="B31" s="14">
        <f t="shared" ref="B31:I31" si="10">B9*B20</f>
        <v>0</v>
      </c>
      <c r="C31" s="14">
        <f t="shared" si="10"/>
        <v>0</v>
      </c>
      <c r="D31" s="14">
        <f t="shared" si="10"/>
        <v>0</v>
      </c>
      <c r="E31" s="14">
        <f t="shared" si="10"/>
        <v>0</v>
      </c>
      <c r="F31" s="14">
        <f t="shared" si="10"/>
        <v>0</v>
      </c>
      <c r="G31" s="14">
        <f t="shared" si="10"/>
        <v>0</v>
      </c>
      <c r="H31" s="14">
        <f t="shared" si="10"/>
        <v>0</v>
      </c>
      <c r="I31" s="14">
        <f t="shared" si="10"/>
        <v>0</v>
      </c>
      <c r="J31" s="14">
        <f>J9*J20</f>
        <v>129.24299999999999</v>
      </c>
      <c r="K31" s="14">
        <f t="shared" si="4"/>
        <v>129.24299999999999</v>
      </c>
    </row>
    <row r="32" spans="1:11" x14ac:dyDescent="0.35">
      <c r="A32" s="14" t="s">
        <v>63</v>
      </c>
      <c r="B32" s="14">
        <f t="shared" ref="B32:J32" si="11">B10*B21</f>
        <v>0</v>
      </c>
      <c r="C32" s="14">
        <f t="shared" si="11"/>
        <v>0</v>
      </c>
      <c r="D32" s="14">
        <f t="shared" si="11"/>
        <v>0</v>
      </c>
      <c r="E32" s="14">
        <f t="shared" si="11"/>
        <v>0</v>
      </c>
      <c r="F32" s="14">
        <f t="shared" si="11"/>
        <v>0</v>
      </c>
      <c r="G32" s="14">
        <f t="shared" si="11"/>
        <v>0</v>
      </c>
      <c r="H32" s="14">
        <f t="shared" si="11"/>
        <v>0</v>
      </c>
      <c r="I32" s="14">
        <f t="shared" si="11"/>
        <v>0</v>
      </c>
      <c r="J32" s="14">
        <f t="shared" si="11"/>
        <v>0</v>
      </c>
      <c r="K32" s="14">
        <f t="shared" si="4"/>
        <v>0</v>
      </c>
    </row>
    <row r="34" spans="1:17" x14ac:dyDescent="0.35">
      <c r="A34" s="17" t="s">
        <v>27</v>
      </c>
      <c r="B34" s="17" t="s">
        <v>1</v>
      </c>
      <c r="C34" s="17" t="s">
        <v>2</v>
      </c>
      <c r="D34" s="17" t="s">
        <v>3</v>
      </c>
      <c r="E34" s="17" t="s">
        <v>4</v>
      </c>
      <c r="F34" s="17" t="s">
        <v>5</v>
      </c>
      <c r="G34" s="17" t="s">
        <v>6</v>
      </c>
      <c r="H34" s="17" t="s">
        <v>7</v>
      </c>
      <c r="I34" s="17" t="s">
        <v>14</v>
      </c>
      <c r="J34" s="17" t="s">
        <v>0</v>
      </c>
      <c r="K34" s="16"/>
      <c r="M34" s="21" t="s">
        <v>29</v>
      </c>
      <c r="N34" s="21" t="s">
        <v>30</v>
      </c>
      <c r="O34" s="21" t="s">
        <v>31</v>
      </c>
      <c r="P34" s="21" t="s">
        <v>32</v>
      </c>
      <c r="Q34" s="21" t="s">
        <v>33</v>
      </c>
    </row>
    <row r="35" spans="1:17" x14ac:dyDescent="0.35">
      <c r="A35" s="17" t="s">
        <v>1</v>
      </c>
      <c r="B35" s="20">
        <v>1.35555E-2</v>
      </c>
      <c r="C35" s="16">
        <f>B36</f>
        <v>-2.2120999999999998E-2</v>
      </c>
      <c r="D35" s="16">
        <f>B37</f>
        <v>2.4000000000000001E-5</v>
      </c>
      <c r="E35" s="16">
        <f>B38</f>
        <v>-0.10496999999999999</v>
      </c>
      <c r="F35" s="16">
        <f>B39</f>
        <v>0</v>
      </c>
      <c r="G35" s="16">
        <f>B40</f>
        <v>0</v>
      </c>
      <c r="H35" s="16">
        <f>B41</f>
        <v>0</v>
      </c>
      <c r="I35" s="16">
        <f>B42</f>
        <v>0</v>
      </c>
      <c r="J35" s="16">
        <f>B43</f>
        <v>-0.67640771</v>
      </c>
      <c r="K35" s="16"/>
      <c r="M35" s="2">
        <f>2924662409/50</f>
        <v>58493248.18</v>
      </c>
      <c r="N35" s="2">
        <f>SQRT(M35+L14)</f>
        <v>7648.1469548872692</v>
      </c>
      <c r="O35" s="3">
        <v>1.962</v>
      </c>
      <c r="P35" s="2">
        <f>K25+O35*N35</f>
        <v>14997.090325488822</v>
      </c>
      <c r="Q35">
        <f>K25-O35*N35</f>
        <v>-15014.238325488823</v>
      </c>
    </row>
    <row r="36" spans="1:17" x14ac:dyDescent="0.35">
      <c r="A36" s="17" t="s">
        <v>2</v>
      </c>
      <c r="B36" s="19">
        <v>-2.2120999999999998E-2</v>
      </c>
      <c r="C36" s="20">
        <v>2.36</v>
      </c>
      <c r="D36" s="16">
        <f>C37</f>
        <v>-2.7400000000000001E-2</v>
      </c>
      <c r="E36" s="16">
        <f>C38</f>
        <v>4.7E-2</v>
      </c>
      <c r="F36" s="16">
        <f>C39</f>
        <v>0</v>
      </c>
      <c r="G36" s="16">
        <f>C40</f>
        <v>0</v>
      </c>
      <c r="H36" s="16">
        <f>C41</f>
        <v>0</v>
      </c>
      <c r="I36" s="16">
        <f>C42</f>
        <v>0</v>
      </c>
      <c r="J36" s="16">
        <f>C43</f>
        <v>36.216999999999999</v>
      </c>
      <c r="K36" s="16"/>
    </row>
    <row r="37" spans="1:17" x14ac:dyDescent="0.35">
      <c r="A37" s="17" t="s">
        <v>3</v>
      </c>
      <c r="B37" s="19">
        <v>2.4000000000000001E-5</v>
      </c>
      <c r="C37" s="19">
        <v>-2.7400000000000001E-2</v>
      </c>
      <c r="D37" s="20">
        <v>3.2000000000000003E-4</v>
      </c>
      <c r="E37" s="16">
        <f>D38</f>
        <v>4.1580000000000002E-4</v>
      </c>
      <c r="F37" s="16">
        <f>D39</f>
        <v>0</v>
      </c>
      <c r="G37" s="16">
        <f>D40</f>
        <v>0</v>
      </c>
      <c r="H37" s="16">
        <f>D41</f>
        <v>0</v>
      </c>
      <c r="I37" s="16">
        <f>D42</f>
        <v>0</v>
      </c>
      <c r="J37" s="16">
        <f>D43</f>
        <v>-0.42820000000000003</v>
      </c>
      <c r="K37" s="16"/>
    </row>
    <row r="38" spans="1:17" x14ac:dyDescent="0.35">
      <c r="A38" s="17" t="s">
        <v>4</v>
      </c>
      <c r="B38" s="19">
        <v>-0.10496999999999999</v>
      </c>
      <c r="C38" s="19">
        <v>4.7E-2</v>
      </c>
      <c r="D38" s="19">
        <v>4.1580000000000002E-4</v>
      </c>
      <c r="E38" s="20">
        <v>22.340257999999999</v>
      </c>
      <c r="F38" s="16">
        <f>E39</f>
        <v>0</v>
      </c>
      <c r="G38" s="16">
        <f>E40</f>
        <v>0</v>
      </c>
      <c r="H38" s="16">
        <f>E41</f>
        <v>0</v>
      </c>
      <c r="I38" s="16">
        <f>E42</f>
        <v>0</v>
      </c>
      <c r="J38" s="16">
        <f>E43</f>
        <v>-2.9544803000000002</v>
      </c>
      <c r="K38" s="16"/>
    </row>
    <row r="39" spans="1:17" x14ac:dyDescent="0.35">
      <c r="A39" s="17" t="s">
        <v>5</v>
      </c>
      <c r="B39" s="19"/>
      <c r="C39" s="19"/>
      <c r="D39" s="19"/>
      <c r="E39" s="19"/>
      <c r="F39" s="20"/>
      <c r="G39" s="16">
        <f>F40</f>
        <v>0</v>
      </c>
      <c r="H39" s="16">
        <f>F41</f>
        <v>0</v>
      </c>
      <c r="I39" s="16">
        <f>F42</f>
        <v>0</v>
      </c>
      <c r="J39" s="16">
        <f>F43</f>
        <v>0</v>
      </c>
      <c r="K39" s="16"/>
    </row>
    <row r="40" spans="1:17" x14ac:dyDescent="0.35">
      <c r="A40" s="18" t="s">
        <v>6</v>
      </c>
      <c r="B40" s="19"/>
      <c r="C40" s="19"/>
      <c r="D40" s="19"/>
      <c r="E40" s="19"/>
      <c r="F40" s="19"/>
      <c r="G40" s="19"/>
      <c r="H40" s="16">
        <f>G41</f>
        <v>0</v>
      </c>
      <c r="I40" s="16">
        <f>G42</f>
        <v>0</v>
      </c>
      <c r="J40" s="16">
        <f>G43</f>
        <v>0</v>
      </c>
      <c r="K40" s="16"/>
    </row>
    <row r="41" spans="1:17" x14ac:dyDescent="0.35">
      <c r="A41" s="18" t="s">
        <v>7</v>
      </c>
      <c r="B41" s="19"/>
      <c r="C41" s="19"/>
      <c r="D41" s="19"/>
      <c r="E41" s="19"/>
      <c r="F41" s="19"/>
      <c r="G41" s="19"/>
      <c r="H41" s="20"/>
      <c r="I41" s="16">
        <f>H42</f>
        <v>0</v>
      </c>
      <c r="J41" s="16">
        <f>H43</f>
        <v>0</v>
      </c>
      <c r="K41" s="16"/>
    </row>
    <row r="42" spans="1:17" x14ac:dyDescent="0.35">
      <c r="A42" s="18" t="s">
        <v>14</v>
      </c>
      <c r="B42" s="19"/>
      <c r="C42" s="19"/>
      <c r="D42" s="19"/>
      <c r="E42" s="19"/>
      <c r="F42" s="19"/>
      <c r="G42" s="19"/>
      <c r="H42" s="19"/>
      <c r="I42" s="20"/>
      <c r="J42" s="16">
        <f>I43</f>
        <v>0</v>
      </c>
      <c r="K42" s="16"/>
    </row>
    <row r="43" spans="1:17" x14ac:dyDescent="0.35">
      <c r="A43" s="18" t="s">
        <v>0</v>
      </c>
      <c r="B43" s="19">
        <v>-0.67640771</v>
      </c>
      <c r="C43" s="19">
        <v>36.216999999999999</v>
      </c>
      <c r="D43" s="19">
        <v>-0.42820000000000003</v>
      </c>
      <c r="E43" s="19">
        <v>-2.9544803000000002</v>
      </c>
      <c r="F43" s="19"/>
      <c r="G43" s="19"/>
      <c r="H43" s="19"/>
      <c r="I43" s="19"/>
      <c r="J43" s="20">
        <v>561.61</v>
      </c>
      <c r="K43" s="16"/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5B7A1-4897-4AE7-A0E7-BF63BDBE66B2}">
  <dimension ref="A1:U43"/>
  <sheetViews>
    <sheetView workbookViewId="0">
      <selection activeCell="M35" sqref="M35"/>
    </sheetView>
  </sheetViews>
  <sheetFormatPr baseColWidth="10" defaultRowHeight="14.5" x14ac:dyDescent="0.35"/>
  <cols>
    <col min="1" max="1" width="7.08984375" bestFit="1" customWidth="1"/>
    <col min="2" max="2" width="9.54296875" bestFit="1" customWidth="1"/>
    <col min="3" max="3" width="8.54296875" bestFit="1" customWidth="1"/>
    <col min="4" max="4" width="10.54296875" bestFit="1" customWidth="1"/>
    <col min="5" max="5" width="9.81640625" bestFit="1" customWidth="1"/>
    <col min="6" max="7" width="7.36328125" bestFit="1" customWidth="1"/>
    <col min="8" max="8" width="6.36328125" bestFit="1" customWidth="1"/>
    <col min="9" max="9" width="2.90625" bestFit="1" customWidth="1"/>
    <col min="10" max="10" width="10.36328125" bestFit="1" customWidth="1"/>
    <col min="11" max="11" width="10.81640625" customWidth="1"/>
    <col min="12" max="12" width="8.26953125" customWidth="1"/>
    <col min="13" max="13" width="11.81640625" bestFit="1" customWidth="1"/>
    <col min="14" max="14" width="16.1796875" bestFit="1" customWidth="1"/>
    <col min="15" max="15" width="10.36328125" bestFit="1" customWidth="1"/>
    <col min="16" max="16" width="8.36328125" bestFit="1" customWidth="1"/>
    <col min="17" max="17" width="8.81640625" bestFit="1" customWidth="1"/>
    <col min="18" max="18" width="6.81640625" bestFit="1" customWidth="1"/>
    <col min="19" max="19" width="10.26953125" bestFit="1" customWidth="1"/>
  </cols>
  <sheetData>
    <row r="1" spans="1:21" x14ac:dyDescent="0.35">
      <c r="A1" s="5" t="s">
        <v>12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21" s="1" customFormat="1" x14ac:dyDescent="0.35">
      <c r="A2" s="5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14</v>
      </c>
      <c r="J2" s="5" t="s">
        <v>0</v>
      </c>
      <c r="K2" s="8"/>
      <c r="L2" s="29" t="s">
        <v>15</v>
      </c>
      <c r="M2" s="1" t="s">
        <v>21</v>
      </c>
      <c r="N2" s="1" t="s">
        <v>22</v>
      </c>
      <c r="O2" s="1" t="s">
        <v>18</v>
      </c>
      <c r="P2" s="1" t="s">
        <v>19</v>
      </c>
      <c r="Q2" s="29" t="s">
        <v>16</v>
      </c>
      <c r="R2" s="29" t="s">
        <v>17</v>
      </c>
      <c r="S2" s="1" t="s">
        <v>20</v>
      </c>
      <c r="T2" s="1" t="s">
        <v>67</v>
      </c>
      <c r="U2" s="1" t="s">
        <v>68</v>
      </c>
    </row>
    <row r="3" spans="1:21" x14ac:dyDescent="0.35">
      <c r="A3" s="6" t="s">
        <v>8</v>
      </c>
      <c r="B3" s="9"/>
      <c r="C3" s="9"/>
      <c r="D3" s="9"/>
      <c r="E3" s="9"/>
      <c r="F3" s="9"/>
      <c r="G3" s="9"/>
      <c r="H3" s="9"/>
      <c r="I3" s="9"/>
      <c r="J3" s="9">
        <v>-8.5739999999999998</v>
      </c>
      <c r="K3" s="7"/>
      <c r="M3" s="4">
        <f t="shared" ref="M3:M9" si="0">(COUNTA(B3:J3))-1</f>
        <v>0</v>
      </c>
      <c r="N3">
        <f>L3-M3-1</f>
        <v>-1</v>
      </c>
      <c r="S3">
        <f>(1)-((L3-1)/N3)*(1-R3)</f>
        <v>0</v>
      </c>
    </row>
    <row r="4" spans="1:21" x14ac:dyDescent="0.35">
      <c r="A4" s="5" t="s">
        <v>9</v>
      </c>
      <c r="B4" s="9"/>
      <c r="C4" s="9"/>
      <c r="D4" s="9"/>
      <c r="E4" s="9"/>
      <c r="F4" s="9"/>
      <c r="G4" s="9"/>
      <c r="H4" s="9"/>
      <c r="I4" s="9"/>
      <c r="J4" s="9">
        <v>-11.143000000000001</v>
      </c>
      <c r="K4" s="7"/>
      <c r="M4" s="4">
        <f t="shared" si="0"/>
        <v>0</v>
      </c>
      <c r="N4">
        <f t="shared" ref="N4:N9" si="1">L4-M4-1</f>
        <v>-1</v>
      </c>
      <c r="S4">
        <f t="shared" ref="S4:S9" si="2">(1)-((L4-1)/N4)*(1-R4)</f>
        <v>0</v>
      </c>
      <c r="T4" t="e">
        <f>((Q3-Q4)/Q4)*(N4/(M4-M3))</f>
        <v>#DIV/0!</v>
      </c>
    </row>
    <row r="5" spans="1:21" x14ac:dyDescent="0.35">
      <c r="A5" s="5" t="s">
        <v>10</v>
      </c>
      <c r="B5" s="9"/>
      <c r="C5" s="9"/>
      <c r="D5" s="9"/>
      <c r="E5" s="9"/>
      <c r="F5" s="9"/>
      <c r="G5" s="9"/>
      <c r="H5" s="9"/>
      <c r="I5" s="9"/>
      <c r="J5" s="9">
        <v>42.127000000000002</v>
      </c>
      <c r="K5" s="7"/>
      <c r="M5" s="4">
        <f t="shared" si="0"/>
        <v>0</v>
      </c>
      <c r="N5">
        <f t="shared" si="1"/>
        <v>-1</v>
      </c>
      <c r="S5">
        <f t="shared" si="2"/>
        <v>0</v>
      </c>
      <c r="T5" t="e">
        <f>((Q4-Q5)/Q5)*(N5/(M5-M4))</f>
        <v>#DIV/0!</v>
      </c>
    </row>
    <row r="6" spans="1:21" x14ac:dyDescent="0.35">
      <c r="A6" s="6" t="s">
        <v>11</v>
      </c>
      <c r="B6" s="9">
        <v>-13</v>
      </c>
      <c r="C6" s="9">
        <v>1</v>
      </c>
      <c r="D6" s="9">
        <v>3</v>
      </c>
      <c r="E6" s="9"/>
      <c r="F6" s="9"/>
      <c r="G6" s="9"/>
      <c r="H6" s="9"/>
      <c r="I6" s="9"/>
      <c r="J6" s="9">
        <v>46.139000000000003</v>
      </c>
      <c r="K6" s="7"/>
      <c r="L6">
        <v>5743</v>
      </c>
      <c r="M6" s="4">
        <f t="shared" si="0"/>
        <v>3</v>
      </c>
      <c r="N6">
        <f t="shared" si="1"/>
        <v>5739</v>
      </c>
      <c r="Q6">
        <v>1932.5</v>
      </c>
      <c r="S6">
        <f t="shared" si="2"/>
        <v>-5.2273915316258801E-4</v>
      </c>
      <c r="T6">
        <f>((Q5-Q6)/Q6)*(N6/(M6-M5))</f>
        <v>-1913</v>
      </c>
    </row>
    <row r="7" spans="1:21" x14ac:dyDescent="0.35">
      <c r="A7" s="6" t="s">
        <v>60</v>
      </c>
      <c r="B7" s="9"/>
      <c r="C7" s="9"/>
      <c r="D7" s="9"/>
      <c r="E7" s="25"/>
      <c r="F7" s="9"/>
      <c r="G7" s="9"/>
      <c r="H7" s="9"/>
      <c r="I7" s="9"/>
      <c r="J7" s="9">
        <v>40.670999999999999</v>
      </c>
      <c r="K7" s="7"/>
      <c r="M7" s="4">
        <f t="shared" si="0"/>
        <v>0</v>
      </c>
      <c r="N7">
        <f t="shared" si="1"/>
        <v>-1</v>
      </c>
      <c r="S7">
        <f t="shared" si="2"/>
        <v>0</v>
      </c>
    </row>
    <row r="8" spans="1:21" x14ac:dyDescent="0.35">
      <c r="A8" s="6" t="s">
        <v>61</v>
      </c>
      <c r="B8" s="9"/>
      <c r="C8" s="9"/>
      <c r="D8" s="9"/>
      <c r="E8" s="9"/>
      <c r="F8" s="9"/>
      <c r="G8" s="9"/>
      <c r="H8" s="9"/>
      <c r="I8" s="9"/>
      <c r="J8" s="9">
        <v>19.841999999999999</v>
      </c>
      <c r="K8" s="7"/>
      <c r="M8" s="4">
        <f t="shared" si="0"/>
        <v>0</v>
      </c>
      <c r="N8">
        <f t="shared" si="1"/>
        <v>-1</v>
      </c>
      <c r="S8">
        <f t="shared" si="2"/>
        <v>0</v>
      </c>
    </row>
    <row r="9" spans="1:21" x14ac:dyDescent="0.35">
      <c r="A9" s="6" t="s">
        <v>62</v>
      </c>
      <c r="B9" s="9"/>
      <c r="C9" s="9"/>
      <c r="D9" s="9"/>
      <c r="E9" s="9"/>
      <c r="F9" s="25"/>
      <c r="G9" s="9"/>
      <c r="H9" s="9"/>
      <c r="I9" s="9"/>
      <c r="J9" s="9">
        <v>129.24299999999999</v>
      </c>
      <c r="K9" s="7"/>
      <c r="M9" s="30">
        <f t="shared" si="0"/>
        <v>0</v>
      </c>
      <c r="N9">
        <f t="shared" si="1"/>
        <v>-1</v>
      </c>
      <c r="S9">
        <f t="shared" si="2"/>
        <v>0</v>
      </c>
      <c r="U9" t="e">
        <f>((Q8-Q9)/Q9)*(L8+L9-2*(M8+1))/((2-1)*(M8+1))</f>
        <v>#DIV/0!</v>
      </c>
    </row>
    <row r="10" spans="1:21" x14ac:dyDescent="0.35">
      <c r="A10" s="6" t="s">
        <v>63</v>
      </c>
      <c r="B10" s="9"/>
      <c r="C10" s="9"/>
      <c r="D10" s="9"/>
      <c r="E10" s="9"/>
      <c r="F10" s="9"/>
      <c r="G10" s="9"/>
      <c r="H10" s="9"/>
      <c r="I10" s="9"/>
      <c r="J10" s="9"/>
      <c r="K10" s="7"/>
      <c r="M10" s="4"/>
    </row>
    <row r="11" spans="1:21" x14ac:dyDescent="0.35">
      <c r="A11" s="7"/>
      <c r="B11" s="10"/>
      <c r="C11" s="10"/>
      <c r="D11" s="10"/>
      <c r="E11" s="10"/>
      <c r="F11" s="10"/>
      <c r="G11" s="10"/>
      <c r="H11" s="10"/>
      <c r="I11" s="10"/>
      <c r="J11" s="10"/>
      <c r="K11" s="7"/>
    </row>
    <row r="12" spans="1:21" x14ac:dyDescent="0.35">
      <c r="A12" s="11" t="s">
        <v>13</v>
      </c>
      <c r="B12" s="12"/>
      <c r="C12" s="12"/>
      <c r="D12" s="12"/>
      <c r="E12" s="12"/>
      <c r="F12" s="12"/>
      <c r="G12" s="12"/>
      <c r="H12" s="12"/>
      <c r="I12" s="12"/>
      <c r="J12" s="12"/>
      <c r="K12" s="7"/>
    </row>
    <row r="13" spans="1:21" s="1" customFormat="1" x14ac:dyDescent="0.35">
      <c r="A13" s="11"/>
      <c r="B13" s="11" t="s">
        <v>1</v>
      </c>
      <c r="C13" s="11" t="s">
        <v>2</v>
      </c>
      <c r="D13" s="11" t="s">
        <v>3</v>
      </c>
      <c r="E13" s="11" t="s">
        <v>4</v>
      </c>
      <c r="F13" s="11" t="s">
        <v>5</v>
      </c>
      <c r="G13" s="11" t="s">
        <v>6</v>
      </c>
      <c r="H13" s="11" t="s">
        <v>7</v>
      </c>
      <c r="I13" s="11" t="s">
        <v>14</v>
      </c>
      <c r="J13" s="11" t="s">
        <v>0</v>
      </c>
      <c r="K13" s="8"/>
      <c r="L13" s="1" t="s">
        <v>23</v>
      </c>
      <c r="M13" s="1" t="s">
        <v>24</v>
      </c>
      <c r="N13" s="1" t="s">
        <v>64</v>
      </c>
      <c r="O13" s="1" t="s">
        <v>31</v>
      </c>
      <c r="P13" s="1" t="s">
        <v>66</v>
      </c>
      <c r="Q13" s="1" t="s">
        <v>65</v>
      </c>
    </row>
    <row r="14" spans="1:21" x14ac:dyDescent="0.35">
      <c r="A14" s="12" t="s">
        <v>8</v>
      </c>
      <c r="B14" s="12"/>
      <c r="C14" s="12"/>
      <c r="D14" s="12"/>
      <c r="E14" s="12"/>
      <c r="F14" s="12"/>
      <c r="G14" s="12"/>
      <c r="H14" s="12"/>
      <c r="I14" s="12"/>
      <c r="J14" s="12">
        <v>1</v>
      </c>
      <c r="K14" s="7"/>
      <c r="L14">
        <f>(Q3)/N3</f>
        <v>0</v>
      </c>
      <c r="M14">
        <f>SQRT(L14)</f>
        <v>0</v>
      </c>
      <c r="N14" t="e">
        <f>L14/(Q3*(1-R3))</f>
        <v>#DIV/0!</v>
      </c>
      <c r="O14">
        <v>1.66</v>
      </c>
      <c r="P14" t="e">
        <f>B3-O14*N14</f>
        <v>#DIV/0!</v>
      </c>
      <c r="Q14" t="e">
        <f>B3+O14*N14</f>
        <v>#DIV/0!</v>
      </c>
    </row>
    <row r="15" spans="1:21" x14ac:dyDescent="0.35">
      <c r="A15" s="12" t="s">
        <v>9</v>
      </c>
      <c r="B15" s="12"/>
      <c r="C15" s="12"/>
      <c r="D15" s="12"/>
      <c r="E15" s="12"/>
      <c r="F15" s="12"/>
      <c r="G15" s="12"/>
      <c r="H15" s="12"/>
      <c r="I15" s="12"/>
      <c r="J15" s="12">
        <v>1</v>
      </c>
      <c r="K15" s="7"/>
      <c r="L15">
        <f>(Q4)/N4</f>
        <v>0</v>
      </c>
      <c r="M15">
        <f>SQRT(L15)</f>
        <v>0</v>
      </c>
      <c r="N15" t="e">
        <f>L15/(Q4*(1-R4))</f>
        <v>#DIV/0!</v>
      </c>
      <c r="O15">
        <v>2.66</v>
      </c>
      <c r="P15" t="e">
        <f>B4-O15*N15</f>
        <v>#DIV/0!</v>
      </c>
      <c r="Q15" t="e">
        <f>B4+O15*N15</f>
        <v>#DIV/0!</v>
      </c>
    </row>
    <row r="16" spans="1:21" x14ac:dyDescent="0.35">
      <c r="A16" s="12" t="s">
        <v>10</v>
      </c>
      <c r="B16" s="12"/>
      <c r="C16" s="12"/>
      <c r="D16" s="12"/>
      <c r="E16" s="12"/>
      <c r="F16" s="12"/>
      <c r="G16" s="12"/>
      <c r="H16" s="12"/>
      <c r="I16" s="12"/>
      <c r="J16" s="12">
        <v>1</v>
      </c>
      <c r="K16" s="7"/>
      <c r="L16">
        <f>(Q5)/N5</f>
        <v>0</v>
      </c>
      <c r="M16">
        <f>SQRT(L16)</f>
        <v>0</v>
      </c>
      <c r="N16" t="e">
        <f>L16/(Q5*(1-R5))</f>
        <v>#DIV/0!</v>
      </c>
      <c r="O16">
        <v>3.66</v>
      </c>
      <c r="P16" t="e">
        <f>B5-O16*N16</f>
        <v>#DIV/0!</v>
      </c>
      <c r="Q16" t="e">
        <f>B5+O16*N16</f>
        <v>#DIV/0!</v>
      </c>
    </row>
    <row r="17" spans="1:17" x14ac:dyDescent="0.35">
      <c r="A17" s="12" t="s">
        <v>11</v>
      </c>
      <c r="B17" s="12">
        <v>1</v>
      </c>
      <c r="C17" s="12">
        <v>4</v>
      </c>
      <c r="D17" s="12">
        <v>5</v>
      </c>
      <c r="E17" s="12"/>
      <c r="F17" s="12"/>
      <c r="G17" s="12"/>
      <c r="H17" s="12"/>
      <c r="I17" s="12"/>
      <c r="J17" s="12"/>
      <c r="K17" s="7"/>
      <c r="L17">
        <f>(Q6)/N6</f>
        <v>0.33673113782889003</v>
      </c>
      <c r="M17">
        <f>SQRT(L17)</f>
        <v>0.58028539343058605</v>
      </c>
      <c r="N17">
        <f>L17/(Q6*(1-R6))</f>
        <v>1.7424638438752395E-4</v>
      </c>
      <c r="O17">
        <v>4.66</v>
      </c>
      <c r="P17">
        <f>B6-O17*N17</f>
        <v>-13.000811988151247</v>
      </c>
      <c r="Q17">
        <f>B6+O17*N17</f>
        <v>-12.999188011848753</v>
      </c>
    </row>
    <row r="18" spans="1:17" x14ac:dyDescent="0.35">
      <c r="A18" s="12" t="s">
        <v>60</v>
      </c>
      <c r="B18" s="12"/>
      <c r="C18" s="12"/>
      <c r="D18" s="12"/>
      <c r="E18" s="12"/>
      <c r="F18" s="12"/>
      <c r="G18" s="12"/>
      <c r="H18" s="12"/>
      <c r="I18" s="12"/>
      <c r="J18" s="12"/>
      <c r="K18" s="7"/>
    </row>
    <row r="19" spans="1:17" x14ac:dyDescent="0.35">
      <c r="A19" s="12" t="s">
        <v>61</v>
      </c>
      <c r="B19" s="12"/>
      <c r="C19" s="12"/>
      <c r="D19" s="12"/>
      <c r="E19" s="12"/>
      <c r="F19" s="12"/>
      <c r="G19" s="12"/>
      <c r="H19" s="12"/>
      <c r="I19" s="12"/>
      <c r="J19" s="12">
        <v>1</v>
      </c>
      <c r="K19" s="7"/>
    </row>
    <row r="20" spans="1:17" x14ac:dyDescent="0.35">
      <c r="A20" s="12" t="s">
        <v>62</v>
      </c>
      <c r="B20" s="12"/>
      <c r="C20" s="12"/>
      <c r="D20" s="12"/>
      <c r="E20" s="12"/>
      <c r="F20" s="12"/>
      <c r="G20" s="12"/>
      <c r="H20" s="12"/>
      <c r="I20" s="12"/>
      <c r="J20" s="12">
        <v>1</v>
      </c>
      <c r="K20" s="7"/>
    </row>
    <row r="21" spans="1:17" x14ac:dyDescent="0.35">
      <c r="A21" s="12" t="s">
        <v>63</v>
      </c>
      <c r="B21" s="12"/>
      <c r="C21" s="12"/>
      <c r="D21" s="12"/>
      <c r="E21" s="12"/>
      <c r="F21" s="12"/>
      <c r="G21" s="12"/>
      <c r="H21" s="12"/>
      <c r="I21" s="12"/>
      <c r="J21" s="12"/>
      <c r="K21" s="7"/>
    </row>
    <row r="22" spans="1:17" x14ac:dyDescent="0.3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7" s="1" customFormat="1" x14ac:dyDescent="0.35">
      <c r="A23" s="13" t="s">
        <v>25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7" x14ac:dyDescent="0.35">
      <c r="A24" s="13"/>
      <c r="B24" s="13" t="s">
        <v>1</v>
      </c>
      <c r="C24" s="13" t="s">
        <v>2</v>
      </c>
      <c r="D24" s="13" t="s">
        <v>3</v>
      </c>
      <c r="E24" s="13" t="s">
        <v>4</v>
      </c>
      <c r="F24" s="13" t="s">
        <v>5</v>
      </c>
      <c r="G24" s="13" t="s">
        <v>6</v>
      </c>
      <c r="H24" s="13" t="s">
        <v>7</v>
      </c>
      <c r="I24" s="13" t="s">
        <v>14</v>
      </c>
      <c r="J24" s="13" t="s">
        <v>0</v>
      </c>
      <c r="K24" s="13" t="s">
        <v>26</v>
      </c>
    </row>
    <row r="25" spans="1:17" x14ac:dyDescent="0.35">
      <c r="A25" s="14" t="s">
        <v>8</v>
      </c>
      <c r="B25" s="14">
        <f t="shared" ref="B25:J25" si="3">B3*B14</f>
        <v>0</v>
      </c>
      <c r="C25" s="14">
        <f t="shared" si="3"/>
        <v>0</v>
      </c>
      <c r="D25" s="14">
        <f t="shared" si="3"/>
        <v>0</v>
      </c>
      <c r="E25" s="14">
        <f t="shared" si="3"/>
        <v>0</v>
      </c>
      <c r="F25" s="14">
        <f t="shared" si="3"/>
        <v>0</v>
      </c>
      <c r="G25" s="14">
        <f t="shared" si="3"/>
        <v>0</v>
      </c>
      <c r="H25" s="14">
        <f t="shared" si="3"/>
        <v>0</v>
      </c>
      <c r="I25" s="14">
        <f t="shared" si="3"/>
        <v>0</v>
      </c>
      <c r="J25" s="14">
        <f t="shared" si="3"/>
        <v>-8.5739999999999998</v>
      </c>
      <c r="K25" s="14">
        <f t="shared" ref="K25:K32" si="4">SUM(B25:J25)</f>
        <v>-8.5739999999999998</v>
      </c>
    </row>
    <row r="26" spans="1:17" x14ac:dyDescent="0.35">
      <c r="A26" s="14" t="s">
        <v>9</v>
      </c>
      <c r="B26" s="14">
        <f t="shared" ref="B26:J26" si="5">B4*B15</f>
        <v>0</v>
      </c>
      <c r="C26" s="14">
        <f t="shared" si="5"/>
        <v>0</v>
      </c>
      <c r="D26" s="14">
        <f t="shared" si="5"/>
        <v>0</v>
      </c>
      <c r="E26" s="14">
        <f t="shared" si="5"/>
        <v>0</v>
      </c>
      <c r="F26" s="14">
        <f t="shared" si="5"/>
        <v>0</v>
      </c>
      <c r="G26" s="14">
        <f t="shared" si="5"/>
        <v>0</v>
      </c>
      <c r="H26" s="14">
        <f t="shared" si="5"/>
        <v>0</v>
      </c>
      <c r="I26" s="14">
        <f t="shared" si="5"/>
        <v>0</v>
      </c>
      <c r="J26" s="14">
        <f t="shared" si="5"/>
        <v>-11.143000000000001</v>
      </c>
      <c r="K26" s="14">
        <f t="shared" si="4"/>
        <v>-11.143000000000001</v>
      </c>
    </row>
    <row r="27" spans="1:17" x14ac:dyDescent="0.35">
      <c r="A27" s="14" t="s">
        <v>10</v>
      </c>
      <c r="B27" s="14">
        <f t="shared" ref="B27:J27" si="6">B5*B16</f>
        <v>0</v>
      </c>
      <c r="C27" s="14">
        <f t="shared" si="6"/>
        <v>0</v>
      </c>
      <c r="D27" s="14">
        <f t="shared" si="6"/>
        <v>0</v>
      </c>
      <c r="E27" s="14">
        <f t="shared" si="6"/>
        <v>0</v>
      </c>
      <c r="F27" s="14">
        <f t="shared" si="6"/>
        <v>0</v>
      </c>
      <c r="G27" s="14">
        <f t="shared" si="6"/>
        <v>0</v>
      </c>
      <c r="H27" s="14">
        <f t="shared" si="6"/>
        <v>0</v>
      </c>
      <c r="I27" s="14">
        <f t="shared" si="6"/>
        <v>0</v>
      </c>
      <c r="J27" s="14">
        <f t="shared" si="6"/>
        <v>42.127000000000002</v>
      </c>
      <c r="K27" s="14">
        <f t="shared" si="4"/>
        <v>42.127000000000002</v>
      </c>
    </row>
    <row r="28" spans="1:17" x14ac:dyDescent="0.35">
      <c r="A28" s="14" t="s">
        <v>11</v>
      </c>
      <c r="B28" s="14">
        <f t="shared" ref="B28:J32" si="7">B6*B17</f>
        <v>-13</v>
      </c>
      <c r="C28" s="14">
        <f t="shared" si="7"/>
        <v>4</v>
      </c>
      <c r="D28" s="14">
        <f t="shared" si="7"/>
        <v>15</v>
      </c>
      <c r="E28" s="14">
        <f t="shared" si="7"/>
        <v>0</v>
      </c>
      <c r="F28" s="14">
        <f t="shared" si="7"/>
        <v>0</v>
      </c>
      <c r="G28" s="14">
        <f t="shared" si="7"/>
        <v>0</v>
      </c>
      <c r="H28" s="14">
        <f t="shared" si="7"/>
        <v>0</v>
      </c>
      <c r="I28" s="14">
        <f t="shared" si="7"/>
        <v>0</v>
      </c>
      <c r="J28" s="14">
        <f t="shared" si="7"/>
        <v>0</v>
      </c>
      <c r="K28" s="14">
        <f t="shared" si="4"/>
        <v>6</v>
      </c>
    </row>
    <row r="29" spans="1:17" x14ac:dyDescent="0.35">
      <c r="A29" s="14" t="s">
        <v>60</v>
      </c>
      <c r="B29" s="14">
        <f t="shared" si="7"/>
        <v>0</v>
      </c>
      <c r="C29" s="14">
        <f t="shared" si="7"/>
        <v>0</v>
      </c>
      <c r="D29" s="14">
        <f t="shared" si="7"/>
        <v>0</v>
      </c>
      <c r="E29" s="14">
        <f t="shared" si="7"/>
        <v>0</v>
      </c>
      <c r="F29" s="14">
        <f t="shared" si="7"/>
        <v>0</v>
      </c>
      <c r="G29" s="14">
        <f t="shared" si="7"/>
        <v>0</v>
      </c>
      <c r="H29" s="14">
        <f t="shared" si="7"/>
        <v>0</v>
      </c>
      <c r="I29" s="14">
        <f t="shared" si="7"/>
        <v>0</v>
      </c>
      <c r="J29" s="14">
        <f>J7*J18</f>
        <v>0</v>
      </c>
      <c r="K29" s="14">
        <f t="shared" si="4"/>
        <v>0</v>
      </c>
    </row>
    <row r="30" spans="1:17" x14ac:dyDescent="0.35">
      <c r="A30" s="14" t="s">
        <v>61</v>
      </c>
      <c r="B30" s="14">
        <f t="shared" si="7"/>
        <v>0</v>
      </c>
      <c r="C30" s="14">
        <f t="shared" si="7"/>
        <v>0</v>
      </c>
      <c r="D30" s="14">
        <f t="shared" si="7"/>
        <v>0</v>
      </c>
      <c r="E30" s="14">
        <f t="shared" si="7"/>
        <v>0</v>
      </c>
      <c r="F30" s="14">
        <f t="shared" si="7"/>
        <v>0</v>
      </c>
      <c r="G30" s="14">
        <f t="shared" si="7"/>
        <v>0</v>
      </c>
      <c r="H30" s="14">
        <f t="shared" si="7"/>
        <v>0</v>
      </c>
      <c r="I30" s="14">
        <f t="shared" si="7"/>
        <v>0</v>
      </c>
      <c r="J30" s="14">
        <f>J8*J19</f>
        <v>19.841999999999999</v>
      </c>
      <c r="K30" s="14">
        <f t="shared" si="4"/>
        <v>19.841999999999999</v>
      </c>
    </row>
    <row r="31" spans="1:17" x14ac:dyDescent="0.35">
      <c r="A31" s="14" t="s">
        <v>62</v>
      </c>
      <c r="B31" s="14">
        <f t="shared" si="7"/>
        <v>0</v>
      </c>
      <c r="C31" s="14">
        <f t="shared" si="7"/>
        <v>0</v>
      </c>
      <c r="D31" s="14">
        <f t="shared" si="7"/>
        <v>0</v>
      </c>
      <c r="E31" s="14">
        <f t="shared" si="7"/>
        <v>0</v>
      </c>
      <c r="F31" s="14">
        <f t="shared" si="7"/>
        <v>0</v>
      </c>
      <c r="G31" s="14">
        <f t="shared" si="7"/>
        <v>0</v>
      </c>
      <c r="H31" s="14">
        <f t="shared" si="7"/>
        <v>0</v>
      </c>
      <c r="I31" s="14">
        <f t="shared" si="7"/>
        <v>0</v>
      </c>
      <c r="J31" s="14">
        <f>J9*J20</f>
        <v>129.24299999999999</v>
      </c>
      <c r="K31" s="14">
        <f t="shared" si="4"/>
        <v>129.24299999999999</v>
      </c>
    </row>
    <row r="32" spans="1:17" x14ac:dyDescent="0.35">
      <c r="A32" s="14" t="s">
        <v>63</v>
      </c>
      <c r="B32" s="14">
        <f t="shared" si="7"/>
        <v>0</v>
      </c>
      <c r="C32" s="14">
        <f t="shared" si="7"/>
        <v>0</v>
      </c>
      <c r="D32" s="14">
        <f t="shared" si="7"/>
        <v>0</v>
      </c>
      <c r="E32" s="14">
        <f t="shared" si="7"/>
        <v>0</v>
      </c>
      <c r="F32" s="14">
        <f t="shared" si="7"/>
        <v>0</v>
      </c>
      <c r="G32" s="14">
        <f t="shared" si="7"/>
        <v>0</v>
      </c>
      <c r="H32" s="14">
        <f t="shared" si="7"/>
        <v>0</v>
      </c>
      <c r="I32" s="14">
        <f t="shared" si="7"/>
        <v>0</v>
      </c>
      <c r="J32" s="14">
        <f t="shared" si="7"/>
        <v>0</v>
      </c>
      <c r="K32" s="14">
        <f t="shared" si="4"/>
        <v>0</v>
      </c>
    </row>
    <row r="34" spans="1:17" x14ac:dyDescent="0.35">
      <c r="A34" s="17" t="s">
        <v>27</v>
      </c>
      <c r="B34" s="17" t="s">
        <v>1</v>
      </c>
      <c r="C34" s="17" t="s">
        <v>2</v>
      </c>
      <c r="D34" s="17" t="s">
        <v>3</v>
      </c>
      <c r="E34" s="17" t="s">
        <v>4</v>
      </c>
      <c r="F34" s="17" t="s">
        <v>5</v>
      </c>
      <c r="G34" s="17" t="s">
        <v>6</v>
      </c>
      <c r="H34" s="17" t="s">
        <v>7</v>
      </c>
      <c r="I34" s="17" t="s">
        <v>14</v>
      </c>
      <c r="J34" s="17" t="s">
        <v>0</v>
      </c>
      <c r="K34" s="16"/>
      <c r="M34" s="21" t="s">
        <v>29</v>
      </c>
      <c r="N34" s="21" t="s">
        <v>30</v>
      </c>
      <c r="O34" s="21" t="s">
        <v>31</v>
      </c>
      <c r="P34" s="21" t="s">
        <v>32</v>
      </c>
      <c r="Q34" s="21" t="s">
        <v>33</v>
      </c>
    </row>
    <row r="35" spans="1:17" x14ac:dyDescent="0.35">
      <c r="A35" s="17" t="s">
        <v>1</v>
      </c>
      <c r="B35" s="20">
        <v>16.7</v>
      </c>
      <c r="C35" s="16">
        <v>-2.6</v>
      </c>
      <c r="D35" s="16">
        <v>-2.2000000000000002</v>
      </c>
      <c r="E35" s="16"/>
      <c r="F35" s="16">
        <f>B39</f>
        <v>0</v>
      </c>
      <c r="G35" s="16">
        <f>B40</f>
        <v>0</v>
      </c>
      <c r="H35" s="16">
        <f>B41</f>
        <v>0</v>
      </c>
      <c r="I35" s="16">
        <f>B42</f>
        <v>0</v>
      </c>
      <c r="J35" s="16">
        <f>B43</f>
        <v>0</v>
      </c>
      <c r="K35" s="16"/>
      <c r="M35" s="2">
        <v>1.5</v>
      </c>
      <c r="N35" s="2">
        <f>SQRT(3.6*M35+36)</f>
        <v>6.4342831768581652</v>
      </c>
      <c r="O35" s="3">
        <v>1.895</v>
      </c>
      <c r="P35" s="2">
        <f>K28+O35*N35</f>
        <v>18.192966620146223</v>
      </c>
      <c r="Q35">
        <f>K28-O35*N35</f>
        <v>-6.1929666201462226</v>
      </c>
    </row>
    <row r="36" spans="1:17" x14ac:dyDescent="0.35">
      <c r="A36" s="17" t="s">
        <v>2</v>
      </c>
      <c r="B36" s="19">
        <v>-2.6</v>
      </c>
      <c r="C36" s="20">
        <v>0.6</v>
      </c>
      <c r="D36" s="16">
        <v>0.2</v>
      </c>
      <c r="E36" s="16"/>
      <c r="F36" s="16">
        <f>C39</f>
        <v>0</v>
      </c>
      <c r="G36" s="16">
        <f>C40</f>
        <v>0</v>
      </c>
      <c r="H36" s="16">
        <f>C41</f>
        <v>0</v>
      </c>
      <c r="I36" s="16">
        <f>C42</f>
        <v>0</v>
      </c>
      <c r="J36" s="16">
        <f>C43</f>
        <v>0</v>
      </c>
      <c r="K36" s="16"/>
    </row>
    <row r="37" spans="1:17" x14ac:dyDescent="0.35">
      <c r="A37" s="17" t="s">
        <v>3</v>
      </c>
      <c r="B37" s="19">
        <v>-2.2000000000000002</v>
      </c>
      <c r="C37" s="19">
        <v>0.2</v>
      </c>
      <c r="D37" s="20">
        <v>0.4</v>
      </c>
      <c r="E37" s="16"/>
      <c r="F37" s="16">
        <f>D39</f>
        <v>0</v>
      </c>
      <c r="G37" s="16">
        <f>D40</f>
        <v>0</v>
      </c>
      <c r="H37" s="16">
        <f>D41</f>
        <v>0</v>
      </c>
      <c r="I37" s="16">
        <f>D42</f>
        <v>0</v>
      </c>
      <c r="J37" s="16">
        <f>D43</f>
        <v>0</v>
      </c>
      <c r="K37" s="16"/>
    </row>
    <row r="38" spans="1:17" x14ac:dyDescent="0.35">
      <c r="A38" s="17" t="s">
        <v>4</v>
      </c>
      <c r="B38" s="19"/>
      <c r="C38" s="19"/>
      <c r="D38" s="19"/>
      <c r="E38" s="20"/>
      <c r="F38" s="16">
        <f>E39</f>
        <v>0</v>
      </c>
      <c r="G38" s="16">
        <f>E40</f>
        <v>0</v>
      </c>
      <c r="H38" s="16">
        <f>E41</f>
        <v>0</v>
      </c>
      <c r="I38" s="16">
        <f>E42</f>
        <v>0</v>
      </c>
      <c r="J38" s="16">
        <f>E43</f>
        <v>0</v>
      </c>
      <c r="K38" s="16"/>
      <c r="M38" cm="1">
        <f t="array" ref="M38:O38">MMULT(B17:D17,B35:D37)</f>
        <v>-4.7000000000000011</v>
      </c>
      <c r="N38">
        <v>0.79999999999999982</v>
      </c>
      <c r="O38">
        <v>0.59999999999999987</v>
      </c>
      <c r="Q38" cm="1">
        <f t="array" ref="Q38">MMULT(_xlfn.ANCHORARRAY(M38),TRANSPOSE(B17:D17))</f>
        <v>1.4999999999999973</v>
      </c>
    </row>
    <row r="39" spans="1:17" x14ac:dyDescent="0.35">
      <c r="A39" s="17" t="s">
        <v>5</v>
      </c>
      <c r="B39" s="19"/>
      <c r="C39" s="19"/>
      <c r="D39" s="19"/>
      <c r="E39" s="19"/>
      <c r="F39" s="20"/>
      <c r="G39" s="16">
        <f>F40</f>
        <v>0</v>
      </c>
      <c r="H39" s="16">
        <f>F41</f>
        <v>0</v>
      </c>
      <c r="I39" s="16">
        <f>F42</f>
        <v>0</v>
      </c>
      <c r="J39" s="16">
        <f>F43</f>
        <v>0</v>
      </c>
      <c r="K39" s="16"/>
    </row>
    <row r="40" spans="1:17" x14ac:dyDescent="0.35">
      <c r="A40" s="18" t="s">
        <v>6</v>
      </c>
      <c r="B40" s="19"/>
      <c r="C40" s="19"/>
      <c r="D40" s="19"/>
      <c r="E40" s="19"/>
      <c r="F40" s="19"/>
      <c r="G40" s="19"/>
      <c r="H40" s="16">
        <f>G41</f>
        <v>0</v>
      </c>
      <c r="I40" s="16">
        <f>G42</f>
        <v>0</v>
      </c>
      <c r="J40" s="16">
        <f>G43</f>
        <v>0</v>
      </c>
      <c r="K40" s="16"/>
    </row>
    <row r="41" spans="1:17" x14ac:dyDescent="0.35">
      <c r="A41" s="18" t="s">
        <v>7</v>
      </c>
      <c r="B41" s="19"/>
      <c r="C41" s="19"/>
      <c r="D41" s="19"/>
      <c r="E41" s="19"/>
      <c r="F41" s="19"/>
      <c r="G41" s="19"/>
      <c r="H41" s="20"/>
      <c r="I41" s="16">
        <f>H42</f>
        <v>0</v>
      </c>
      <c r="J41" s="16">
        <f>H43</f>
        <v>0</v>
      </c>
      <c r="K41" s="16"/>
    </row>
    <row r="42" spans="1:17" x14ac:dyDescent="0.35">
      <c r="A42" s="18" t="s">
        <v>14</v>
      </c>
      <c r="B42" s="19"/>
      <c r="C42" s="19"/>
      <c r="D42" s="19"/>
      <c r="E42" s="19"/>
      <c r="F42" s="19"/>
      <c r="G42" s="19"/>
      <c r="H42" s="19"/>
      <c r="I42" s="20"/>
      <c r="J42" s="16">
        <f>I43</f>
        <v>0</v>
      </c>
      <c r="K42" s="16"/>
    </row>
    <row r="43" spans="1:17" x14ac:dyDescent="0.35">
      <c r="A43" s="18" t="s">
        <v>0</v>
      </c>
      <c r="B43" s="19"/>
      <c r="C43" s="19"/>
      <c r="D43" s="19"/>
      <c r="E43" s="19"/>
      <c r="F43" s="19"/>
      <c r="G43" s="19"/>
      <c r="H43" s="19"/>
      <c r="I43" s="19"/>
      <c r="J43" s="20">
        <v>561.61</v>
      </c>
      <c r="K43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72933-7F2E-4805-AFC0-9F9B16A0D0AE}">
  <dimension ref="A1:N23"/>
  <sheetViews>
    <sheetView workbookViewId="0">
      <selection activeCell="A14" sqref="A14"/>
    </sheetView>
  </sheetViews>
  <sheetFormatPr baseColWidth="10" defaultRowHeight="14.5" x14ac:dyDescent="0.35"/>
  <cols>
    <col min="1" max="1" width="14.1796875" customWidth="1"/>
    <col min="3" max="3" width="12.7265625" customWidth="1"/>
    <col min="4" max="4" width="11.1796875" bestFit="1" customWidth="1"/>
    <col min="11" max="11" width="11.1796875" bestFit="1" customWidth="1"/>
  </cols>
  <sheetData>
    <row r="1" spans="1:14" x14ac:dyDescent="0.35">
      <c r="F1" s="1"/>
      <c r="G1" s="1"/>
      <c r="H1" s="1"/>
      <c r="I1" s="1"/>
      <c r="J1" s="1"/>
      <c r="K1" s="1"/>
      <c r="L1" s="1"/>
      <c r="M1" s="1"/>
      <c r="N1" s="1"/>
    </row>
    <row r="2" spans="1:14" x14ac:dyDescent="0.35">
      <c r="A2" s="1" t="s">
        <v>69</v>
      </c>
      <c r="B2" s="1"/>
      <c r="C2" s="1"/>
      <c r="D2" s="1"/>
      <c r="F2" s="1" t="s">
        <v>28</v>
      </c>
      <c r="G2" s="1"/>
      <c r="H2" s="1"/>
      <c r="I2" s="1"/>
      <c r="J2" s="1" t="s">
        <v>35</v>
      </c>
      <c r="K2" s="1"/>
      <c r="L2" s="1" t="s">
        <v>36</v>
      </c>
      <c r="M2" s="1"/>
      <c r="N2" s="1" t="s">
        <v>37</v>
      </c>
    </row>
    <row r="3" spans="1:14" x14ac:dyDescent="0.35">
      <c r="A3" s="1">
        <v>5.5770000000000003E-5</v>
      </c>
      <c r="B3" s="31">
        <f>-2.7*10^-6</f>
        <v>-2.7E-6</v>
      </c>
      <c r="C3" s="31">
        <f>1.422*10^-7</f>
        <v>1.4219999999999999E-7</v>
      </c>
      <c r="D3" s="31">
        <v>-7.2042000000000004E-4</v>
      </c>
      <c r="F3" s="1">
        <v>6.5</v>
      </c>
      <c r="G3" s="1"/>
      <c r="H3" s="1"/>
      <c r="I3" s="1"/>
      <c r="J3" s="1">
        <v>-1.48</v>
      </c>
      <c r="K3" s="1"/>
      <c r="L3" s="1">
        <v>0</v>
      </c>
      <c r="M3" s="1"/>
      <c r="N3" s="1">
        <v>0</v>
      </c>
    </row>
    <row r="4" spans="1:14" x14ac:dyDescent="0.35">
      <c r="A4" s="31">
        <f>-2.7*10^-6</f>
        <v>-2.7E-6</v>
      </c>
      <c r="B4" s="1">
        <v>2.6999999999999999E-5</v>
      </c>
      <c r="C4" s="31">
        <f>-5.759*10^-7</f>
        <v>-5.7589999999999996E-7</v>
      </c>
      <c r="D4" s="31">
        <v>-1.5181E-4</v>
      </c>
      <c r="F4" s="1">
        <v>0</v>
      </c>
      <c r="G4" s="1"/>
      <c r="H4" s="1"/>
      <c r="I4" s="1"/>
      <c r="J4" s="1">
        <v>1.58</v>
      </c>
      <c r="K4" s="1"/>
      <c r="L4" s="1">
        <v>-1</v>
      </c>
      <c r="M4" s="1"/>
      <c r="N4" s="1"/>
    </row>
    <row r="5" spans="1:14" x14ac:dyDescent="0.35">
      <c r="A5" s="31">
        <f>1.422*10^-7</f>
        <v>1.4219999999999999E-7</v>
      </c>
      <c r="B5" s="31">
        <f>-5.759*10^-7</f>
        <v>-5.7589999999999996E-7</v>
      </c>
      <c r="C5" s="1">
        <f>1.34*10^-8</f>
        <v>1.3400000000000001E-8</v>
      </c>
      <c r="D5" s="31">
        <f>1.699*10^-6</f>
        <v>1.699E-6</v>
      </c>
      <c r="F5" s="1">
        <v>1</v>
      </c>
      <c r="G5" s="1"/>
      <c r="H5" s="1"/>
      <c r="I5" s="1"/>
      <c r="J5" s="1">
        <v>1.99</v>
      </c>
      <c r="K5" s="1"/>
      <c r="L5" s="1">
        <v>-11</v>
      </c>
      <c r="M5" s="1"/>
      <c r="N5" s="1"/>
    </row>
    <row r="6" spans="1:14" x14ac:dyDescent="0.35">
      <c r="A6" s="31">
        <v>-7.2042000000000004E-4</v>
      </c>
      <c r="B6" s="31">
        <v>-1.5181E-4</v>
      </c>
      <c r="C6" s="31">
        <f>1.699*10^-6</f>
        <v>1.699E-6</v>
      </c>
      <c r="D6" s="1">
        <v>1.122165E-2</v>
      </c>
      <c r="F6" s="1">
        <v>0</v>
      </c>
      <c r="G6" s="1"/>
      <c r="H6" s="1"/>
      <c r="I6" s="1"/>
      <c r="J6" s="1">
        <v>-1.9</v>
      </c>
      <c r="K6" s="1"/>
      <c r="L6" s="1">
        <v>0</v>
      </c>
      <c r="M6" s="1"/>
      <c r="N6" s="1"/>
    </row>
    <row r="7" spans="1:14" x14ac:dyDescent="0.35">
      <c r="F7" s="1">
        <v>1</v>
      </c>
      <c r="J7" s="1">
        <v>10.56</v>
      </c>
    </row>
    <row r="9" spans="1:14" x14ac:dyDescent="0.35">
      <c r="A9" t="s">
        <v>41</v>
      </c>
      <c r="B9" t="s">
        <v>42</v>
      </c>
      <c r="C9" t="s">
        <v>16</v>
      </c>
      <c r="D9" t="s">
        <v>19</v>
      </c>
      <c r="E9" t="s">
        <v>44</v>
      </c>
      <c r="F9" t="s">
        <v>45</v>
      </c>
      <c r="G9" t="s">
        <v>43</v>
      </c>
      <c r="H9" t="s">
        <v>50</v>
      </c>
      <c r="J9" t="s">
        <v>38</v>
      </c>
      <c r="K9" t="s">
        <v>39</v>
      </c>
      <c r="L9" s="24" t="s">
        <v>40</v>
      </c>
      <c r="M9" s="24"/>
    </row>
    <row r="10" spans="1:14" x14ac:dyDescent="0.35">
      <c r="A10">
        <v>5.5999999999999999E-3</v>
      </c>
      <c r="B10">
        <v>249778.62</v>
      </c>
      <c r="C10">
        <v>103.790392</v>
      </c>
      <c r="E10">
        <v>526</v>
      </c>
      <c r="F10">
        <f>COUNTA(J3:J7)</f>
        <v>5</v>
      </c>
      <c r="G10">
        <f>C10/(E10-F10)</f>
        <v>0.19921380422264875</v>
      </c>
      <c r="H10">
        <v>2</v>
      </c>
      <c r="J10" cm="1">
        <f t="array" ref="J10">MMULT(TRANSPOSE(L3:L6),J3:J6)</f>
        <v>-23.47</v>
      </c>
      <c r="K10" cm="1">
        <f t="array" ref="K10">_xlfn.ANCHORARRAY(J10)-N3</f>
        <v>-23.47</v>
      </c>
      <c r="L10" s="24" cm="1">
        <f t="array" ref="L10">TRANSPOSE(_xlfn.ANCHORARRAY(K10))</f>
        <v>-23.47</v>
      </c>
      <c r="M10" s="24"/>
    </row>
    <row r="12" spans="1:14" x14ac:dyDescent="0.35">
      <c r="A12" s="1" t="s">
        <v>51</v>
      </c>
      <c r="H12" s="1" t="s">
        <v>52</v>
      </c>
    </row>
    <row r="13" spans="1:14" x14ac:dyDescent="0.35">
      <c r="A13" s="15" t="s">
        <v>56</v>
      </c>
      <c r="B13" s="15"/>
      <c r="C13" s="15"/>
      <c r="H13" s="23" t="s">
        <v>46</v>
      </c>
      <c r="I13" s="23"/>
      <c r="J13" s="23"/>
      <c r="K13" s="26" t="s">
        <v>58</v>
      </c>
      <c r="L13" s="27" t="s">
        <v>53</v>
      </c>
      <c r="M13" s="27"/>
    </row>
    <row r="14" spans="1:14" x14ac:dyDescent="0.35">
      <c r="A14" s="15" cm="1">
        <f t="array" ref="A14:D14">G10*MMULT(TRANSPOSE(L3:L6),A3:D6)</f>
        <v>2.2626703883608449E-7</v>
      </c>
      <c r="B14" s="15">
        <v>-4.1167731856414586E-6</v>
      </c>
      <c r="C14" s="15">
        <v>8.5363115109404987E-8</v>
      </c>
      <c r="D14">
        <v>2.6519540831923223E-5</v>
      </c>
      <c r="H14" s="23" t="e" cm="1">
        <f t="array" ref="H14">MMULT(F3:H3,A3:C5)</f>
        <v>#VALUE!</v>
      </c>
      <c r="I14" s="23"/>
      <c r="J14" s="23"/>
      <c r="K14" s="27" t="e" cm="1">
        <f t="array" ref="K14">G10*(MMULT(_xlfn.ANCHORARRAY(H14),TRANSPOSE(F3:H3))+1)</f>
        <v>#VALUE!</v>
      </c>
      <c r="L14" s="27" t="e">
        <f>SQRT(K14)</f>
        <v>#VALUE!</v>
      </c>
      <c r="M14" s="27"/>
    </row>
    <row r="16" spans="1:14" x14ac:dyDescent="0.35">
      <c r="E16" s="25" t="s">
        <v>57</v>
      </c>
      <c r="F16" s="25"/>
      <c r="H16" s="1" t="s">
        <v>54</v>
      </c>
      <c r="I16" s="1" t="s">
        <v>31</v>
      </c>
      <c r="J16" s="1" t="s">
        <v>33</v>
      </c>
      <c r="K16" s="1" t="s">
        <v>32</v>
      </c>
    </row>
    <row r="17" spans="1:11" x14ac:dyDescent="0.35">
      <c r="E17" s="25" cm="1">
        <f t="array" ref="E17">MINVERSE(MMULT(_xlfn.ANCHORARRAY(A14),L3:L6))</f>
        <v>314685.20163034246</v>
      </c>
      <c r="F17" s="25"/>
      <c r="H17" t="e" cm="1">
        <f t="array" ref="H17">MMULT(F3:H3,J3:J5)</f>
        <v>#VALUE!</v>
      </c>
      <c r="I17" s="28">
        <v>1.962</v>
      </c>
      <c r="J17" t="e">
        <f>H17-I17*L14</f>
        <v>#VALUE!</v>
      </c>
      <c r="K17" t="e">
        <f>H17+I17*L14</f>
        <v>#VALUE!</v>
      </c>
    </row>
    <row r="18" spans="1:11" x14ac:dyDescent="0.35">
      <c r="E18" s="25"/>
      <c r="F18" s="25"/>
    </row>
    <row r="22" spans="1:11" x14ac:dyDescent="0.35">
      <c r="A22" s="25" t="s">
        <v>59</v>
      </c>
      <c r="B22" s="29"/>
      <c r="C22" s="1" t="s">
        <v>48</v>
      </c>
      <c r="D22" s="1" t="s">
        <v>49</v>
      </c>
    </row>
    <row r="23" spans="1:11" x14ac:dyDescent="0.35">
      <c r="A23" s="29" cm="1">
        <f t="array" ref="A23">MMULT(_xlfn.ANCHORARRAY(L10),_xlfn.ANCHORARRAY(E17))</f>
        <v>-7385661.6822641371</v>
      </c>
      <c r="B23" s="29"/>
      <c r="C23" cm="1">
        <f t="array" ref="C23">MMULT(_xlfn.ANCHORARRAY(A23),_xlfn.ANCHORARRAY(K10))</f>
        <v>173341479.68273929</v>
      </c>
      <c r="D23">
        <f>C23/H10</f>
        <v>86670739.841369644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6EE39-28B5-4F4C-B3A7-5D3F9DEB4075}">
  <dimension ref="A1:N19"/>
  <sheetViews>
    <sheetView workbookViewId="0">
      <selection activeCell="D16" sqref="D16"/>
    </sheetView>
  </sheetViews>
  <sheetFormatPr baseColWidth="10" defaultRowHeight="14.5" x14ac:dyDescent="0.35"/>
  <cols>
    <col min="1" max="1" width="14.1796875" customWidth="1"/>
    <col min="3" max="3" width="12.7265625" customWidth="1"/>
    <col min="4" max="4" width="11.1796875" bestFit="1" customWidth="1"/>
    <col min="11" max="11" width="11.1796875" bestFit="1" customWidth="1"/>
  </cols>
  <sheetData>
    <row r="1" spans="1:14" x14ac:dyDescent="0.35">
      <c r="F1" s="1"/>
      <c r="G1" s="1"/>
      <c r="H1" s="1"/>
      <c r="I1" s="1"/>
      <c r="J1" s="1"/>
      <c r="K1" s="1"/>
      <c r="L1" s="1"/>
      <c r="M1" s="1"/>
      <c r="N1" s="1"/>
    </row>
    <row r="2" spans="1:14" x14ac:dyDescent="0.35">
      <c r="A2" s="1" t="s">
        <v>34</v>
      </c>
      <c r="B2" s="1"/>
      <c r="C2" s="1"/>
      <c r="D2" s="1"/>
      <c r="F2" s="1" t="s">
        <v>28</v>
      </c>
      <c r="G2" s="1"/>
      <c r="H2" s="1"/>
      <c r="I2" s="1"/>
      <c r="J2" s="1" t="s">
        <v>35</v>
      </c>
      <c r="K2" s="1"/>
      <c r="L2" s="1" t="s">
        <v>36</v>
      </c>
      <c r="M2" s="1"/>
      <c r="N2" s="1" t="s">
        <v>37</v>
      </c>
    </row>
    <row r="3" spans="1:14" x14ac:dyDescent="0.35">
      <c r="A3" s="1">
        <v>1.1999999999999999E-3</v>
      </c>
      <c r="B3" s="1">
        <v>-4.0000000000000001E-3</v>
      </c>
      <c r="C3" s="1">
        <v>-4.0000000000000002E-4</v>
      </c>
      <c r="D3" s="1"/>
      <c r="F3" s="1">
        <v>0</v>
      </c>
      <c r="G3" s="1">
        <v>5</v>
      </c>
      <c r="H3" s="1">
        <v>7</v>
      </c>
      <c r="I3" s="1"/>
      <c r="J3" s="1">
        <v>0.25</v>
      </c>
      <c r="K3" s="1"/>
      <c r="L3" s="1">
        <v>0</v>
      </c>
      <c r="M3" s="1">
        <v>0</v>
      </c>
      <c r="N3" s="1">
        <v>0.1</v>
      </c>
    </row>
    <row r="4" spans="1:14" x14ac:dyDescent="0.35">
      <c r="A4" s="1">
        <v>-4.0000000000000002E-4</v>
      </c>
      <c r="B4" s="1">
        <v>2.9999999999999997E-4</v>
      </c>
      <c r="C4" s="1">
        <v>0</v>
      </c>
      <c r="D4" s="1"/>
      <c r="F4" s="1"/>
      <c r="G4" s="1"/>
      <c r="H4" s="1"/>
      <c r="I4" s="1"/>
      <c r="J4" s="1">
        <v>0.43</v>
      </c>
      <c r="K4" s="1"/>
      <c r="L4" s="1">
        <v>1</v>
      </c>
      <c r="M4" s="1">
        <v>0</v>
      </c>
      <c r="N4" s="1">
        <v>0.7</v>
      </c>
    </row>
    <row r="5" spans="1:14" x14ac:dyDescent="0.35">
      <c r="A5" s="1">
        <v>-4.0000000000000002E-4</v>
      </c>
      <c r="B5" s="1">
        <v>0</v>
      </c>
      <c r="C5" s="1">
        <v>4.0000000000000002E-4</v>
      </c>
      <c r="D5" s="1"/>
      <c r="F5" s="1"/>
      <c r="G5" s="1"/>
      <c r="H5" s="1"/>
      <c r="I5" s="1"/>
      <c r="J5" s="1">
        <v>0.51</v>
      </c>
      <c r="K5" s="1"/>
      <c r="L5" s="1">
        <v>0</v>
      </c>
      <c r="M5" s="1">
        <v>1</v>
      </c>
      <c r="N5" s="1"/>
    </row>
    <row r="6" spans="1:14" x14ac:dyDescent="0.35">
      <c r="A6" s="1"/>
      <c r="B6" s="1"/>
      <c r="C6" s="1"/>
      <c r="D6" s="1"/>
      <c r="F6" s="1"/>
      <c r="G6" s="1"/>
      <c r="H6" s="1"/>
      <c r="I6" s="1"/>
      <c r="J6" s="1"/>
      <c r="K6" s="1"/>
      <c r="L6" s="1"/>
      <c r="M6" s="1"/>
      <c r="N6" s="1"/>
    </row>
    <row r="9" spans="1:14" x14ac:dyDescent="0.35">
      <c r="A9" t="s">
        <v>41</v>
      </c>
      <c r="B9" t="s">
        <v>42</v>
      </c>
      <c r="C9" t="s">
        <v>16</v>
      </c>
      <c r="D9" t="s">
        <v>19</v>
      </c>
      <c r="E9" t="s">
        <v>44</v>
      </c>
      <c r="F9" t="s">
        <v>45</v>
      </c>
      <c r="G9" t="s">
        <v>43</v>
      </c>
      <c r="H9" t="s">
        <v>50</v>
      </c>
      <c r="J9" t="s">
        <v>38</v>
      </c>
      <c r="K9" t="s">
        <v>39</v>
      </c>
      <c r="L9" s="24" t="s">
        <v>40</v>
      </c>
      <c r="M9" s="24"/>
    </row>
    <row r="10" spans="1:14" x14ac:dyDescent="0.35">
      <c r="A10">
        <v>5.5999999999999999E-3</v>
      </c>
      <c r="B10">
        <v>249778.62</v>
      </c>
      <c r="C10">
        <f>(1-A10)*B10</f>
        <v>248379.85972799998</v>
      </c>
      <c r="E10">
        <v>10000</v>
      </c>
      <c r="F10">
        <f>COUNTA(J3:J7)</f>
        <v>3</v>
      </c>
      <c r="G10">
        <f>C10/(E10-F10)</f>
        <v>24.845439604681403</v>
      </c>
      <c r="H10">
        <v>2</v>
      </c>
      <c r="J10" cm="1">
        <f t="array" ref="J10:J11">MMULT(TRANSPOSE(L3:M5),J3:J5)</f>
        <v>0.43</v>
      </c>
      <c r="K10" cm="1">
        <f t="array" ref="K10:K11">_xlfn.ANCHORARRAY(J10)-N3:N4</f>
        <v>0.32999999999999996</v>
      </c>
      <c r="L10" s="24" cm="1">
        <f t="array" ref="L10:M10">TRANSPOSE(_xlfn.ANCHORARRAY(K10))</f>
        <v>0.32999999999999996</v>
      </c>
      <c r="M10" s="24">
        <v>-0.18999999999999995</v>
      </c>
    </row>
    <row r="11" spans="1:14" x14ac:dyDescent="0.35">
      <c r="J11">
        <v>0.51</v>
      </c>
      <c r="K11">
        <v>-0.18999999999999995</v>
      </c>
    </row>
    <row r="12" spans="1:14" x14ac:dyDescent="0.35">
      <c r="A12" s="1" t="s">
        <v>51</v>
      </c>
      <c r="H12" s="1" t="s">
        <v>52</v>
      </c>
    </row>
    <row r="13" spans="1:14" x14ac:dyDescent="0.35">
      <c r="A13" s="15" t="s">
        <v>56</v>
      </c>
      <c r="B13" s="15"/>
      <c r="C13" s="15"/>
      <c r="D13" s="25" t="s">
        <v>57</v>
      </c>
      <c r="E13" s="25"/>
      <c r="H13" s="23" t="s">
        <v>46</v>
      </c>
      <c r="I13" s="23"/>
      <c r="J13" s="23"/>
      <c r="K13" s="26" t="s">
        <v>58</v>
      </c>
      <c r="L13" s="27" t="s">
        <v>53</v>
      </c>
      <c r="M13" s="27"/>
    </row>
    <row r="14" spans="1:14" x14ac:dyDescent="0.35">
      <c r="A14" s="15" cm="1">
        <f t="array" ref="A14:C15">G10*MMULT(TRANSPOSE(L3:M5),A3:C5)</f>
        <v>-9.9381758418725617E-3</v>
      </c>
      <c r="B14" s="15">
        <v>7.4536318814044204E-3</v>
      </c>
      <c r="C14" s="15">
        <v>0</v>
      </c>
      <c r="D14" s="25" cm="1">
        <f t="array" ref="D14:E15">MINVERSE(MMULT(_xlfn.ANCHORARRAY(A14),L3:M5))</f>
        <v>134.16278344719905</v>
      </c>
      <c r="E14" s="25">
        <v>0</v>
      </c>
      <c r="H14" s="23" cm="1">
        <f t="array" ref="H14:J14">MMULT(F3:H3,A3:C5)</f>
        <v>-4.8000000000000004E-3</v>
      </c>
      <c r="I14" s="23">
        <v>1.4999999999999998E-3</v>
      </c>
      <c r="J14" s="23">
        <v>2.8E-3</v>
      </c>
      <c r="K14" s="27" cm="1">
        <f t="array" ref="K14">G10*(MMULT(_xlfn.ANCHORARRAY(H14),TRANSPOSE(F3:H3))+1)</f>
        <v>25.518751017968267</v>
      </c>
      <c r="L14" s="27">
        <f>SQRT(K14)</f>
        <v>5.0516087554330911</v>
      </c>
      <c r="M14" s="27"/>
    </row>
    <row r="15" spans="1:14" x14ac:dyDescent="0.35">
      <c r="A15">
        <v>-9.9381758418725617E-3</v>
      </c>
      <c r="B15">
        <v>0</v>
      </c>
      <c r="C15">
        <v>9.9381758418725617E-3</v>
      </c>
      <c r="D15" s="25">
        <v>0</v>
      </c>
      <c r="E15" s="25">
        <v>100.62208758539927</v>
      </c>
    </row>
    <row r="16" spans="1:14" x14ac:dyDescent="0.35">
      <c r="H16" s="1" t="s">
        <v>54</v>
      </c>
      <c r="I16" s="1" t="s">
        <v>31</v>
      </c>
      <c r="J16" s="1" t="s">
        <v>33</v>
      </c>
      <c r="K16" s="1" t="s">
        <v>32</v>
      </c>
    </row>
    <row r="17" spans="1:11" x14ac:dyDescent="0.35">
      <c r="H17" cm="1">
        <f t="array" ref="H17">MMULT(F3:H3,J3:J5)</f>
        <v>5.7200000000000006</v>
      </c>
      <c r="I17" s="28">
        <v>1.962</v>
      </c>
      <c r="J17">
        <f>H17-I17*L14</f>
        <v>-4.1912563781597232</v>
      </c>
      <c r="K17">
        <f>H17+I17*L14</f>
        <v>15.631256378159724</v>
      </c>
    </row>
    <row r="18" spans="1:11" x14ac:dyDescent="0.35">
      <c r="A18" s="25" t="s">
        <v>59</v>
      </c>
      <c r="B18" s="29"/>
      <c r="C18" s="1" t="s">
        <v>48</v>
      </c>
      <c r="D18" s="1" t="s">
        <v>49</v>
      </c>
    </row>
    <row r="19" spans="1:11" x14ac:dyDescent="0.35">
      <c r="A19" s="29" cm="1">
        <f t="array" ref="A19:B19">MMULT(_xlfn.ANCHORARRAY(L10),_xlfn.ANCHORARRAY(D14))</f>
        <v>44.273718537575682</v>
      </c>
      <c r="B19" s="29">
        <v>-19.118196641225857</v>
      </c>
      <c r="C19" cm="1">
        <f t="array" ref="C19">MMULT(_xlfn.ANCHORARRAY(A19),_xlfn.ANCHORARRAY(K10))</f>
        <v>18.242784479232885</v>
      </c>
      <c r="D19">
        <f>C19/H10</f>
        <v>9.1213922396164424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2301A-8C1F-425C-9D7D-C3AE74D02335}">
  <dimension ref="A2:P29"/>
  <sheetViews>
    <sheetView topLeftCell="A14" workbookViewId="0">
      <selection activeCell="E32" sqref="E32"/>
    </sheetView>
  </sheetViews>
  <sheetFormatPr baseColWidth="10" defaultRowHeight="14.5" x14ac:dyDescent="0.35"/>
  <cols>
    <col min="1" max="1" width="19.26953125" bestFit="1" customWidth="1"/>
    <col min="4" max="4" width="11.1796875" bestFit="1" customWidth="1"/>
  </cols>
  <sheetData>
    <row r="2" spans="1:13" x14ac:dyDescent="0.35">
      <c r="A2" t="s">
        <v>34</v>
      </c>
      <c r="F2" t="s">
        <v>28</v>
      </c>
      <c r="J2" t="s">
        <v>35</v>
      </c>
      <c r="L2" t="s">
        <v>36</v>
      </c>
      <c r="M2" t="s">
        <v>37</v>
      </c>
    </row>
    <row r="3" spans="1:13" x14ac:dyDescent="0.35">
      <c r="A3">
        <v>0.77</v>
      </c>
      <c r="B3">
        <v>0.06</v>
      </c>
      <c r="C3">
        <v>-0.18</v>
      </c>
      <c r="D3">
        <v>7.0000000000000007E-2</v>
      </c>
      <c r="F3">
        <v>0</v>
      </c>
      <c r="G3">
        <v>5</v>
      </c>
      <c r="H3">
        <v>7</v>
      </c>
      <c r="J3">
        <v>-2.2999999999999998</v>
      </c>
      <c r="L3">
        <v>0</v>
      </c>
      <c r="M3">
        <v>1</v>
      </c>
    </row>
    <row r="4" spans="1:13" x14ac:dyDescent="0.35">
      <c r="A4">
        <v>0.06</v>
      </c>
      <c r="B4">
        <v>0.14000000000000001</v>
      </c>
      <c r="C4">
        <v>-0.15</v>
      </c>
      <c r="D4">
        <v>6.0000000000000001E-3</v>
      </c>
      <c r="J4">
        <v>3.1</v>
      </c>
      <c r="L4">
        <v>1</v>
      </c>
    </row>
    <row r="5" spans="1:13" x14ac:dyDescent="0.35">
      <c r="A5">
        <v>-0.18</v>
      </c>
      <c r="B5">
        <v>-0.15</v>
      </c>
      <c r="C5">
        <v>1.69</v>
      </c>
      <c r="D5">
        <v>-0.02</v>
      </c>
      <c r="J5">
        <v>-2.6</v>
      </c>
      <c r="L5">
        <v>1</v>
      </c>
    </row>
    <row r="6" spans="1:13" x14ac:dyDescent="0.35">
      <c r="A6">
        <v>7.0000000000000007E-2</v>
      </c>
      <c r="B6">
        <v>6.0000000000000001E-3</v>
      </c>
      <c r="C6">
        <v>-0.02</v>
      </c>
      <c r="D6">
        <v>0.01</v>
      </c>
      <c r="J6">
        <v>0.6</v>
      </c>
      <c r="L6">
        <v>1</v>
      </c>
    </row>
    <row r="9" spans="1:13" x14ac:dyDescent="0.35">
      <c r="A9" t="s">
        <v>41</v>
      </c>
      <c r="B9" t="s">
        <v>42</v>
      </c>
      <c r="C9" t="s">
        <v>16</v>
      </c>
      <c r="D9" t="s">
        <v>19</v>
      </c>
      <c r="E9" t="s">
        <v>44</v>
      </c>
      <c r="F9" t="s">
        <v>45</v>
      </c>
      <c r="G9" t="s">
        <v>43</v>
      </c>
      <c r="H9" t="s">
        <v>50</v>
      </c>
      <c r="J9" t="s">
        <v>38</v>
      </c>
      <c r="K9" t="s">
        <v>39</v>
      </c>
      <c r="L9" t="s">
        <v>40</v>
      </c>
    </row>
    <row r="10" spans="1:13" x14ac:dyDescent="0.35">
      <c r="C10">
        <v>0.4</v>
      </c>
      <c r="E10">
        <v>33</v>
      </c>
      <c r="F10">
        <f>COUNTA(J3:J7)</f>
        <v>4</v>
      </c>
      <c r="G10">
        <v>0.26</v>
      </c>
      <c r="H10">
        <v>3</v>
      </c>
      <c r="J10" cm="1">
        <f t="array" ref="J10">MMULT(TRANSPOSE(L3:L6),J3:J6)</f>
        <v>1.1000000000000001</v>
      </c>
      <c r="K10">
        <f>J10-M3</f>
        <v>0.10000000000000009</v>
      </c>
      <c r="L10" cm="1">
        <f t="array" ref="L10">TRANSPOSE(K10)</f>
        <v>0.10000000000000009</v>
      </c>
    </row>
    <row r="12" spans="1:13" x14ac:dyDescent="0.35">
      <c r="A12" s="1" t="s">
        <v>51</v>
      </c>
      <c r="H12" s="1" t="s">
        <v>52</v>
      </c>
    </row>
    <row r="13" spans="1:13" x14ac:dyDescent="0.35">
      <c r="A13" s="15" t="s">
        <v>46</v>
      </c>
      <c r="B13" s="15"/>
      <c r="C13" s="15"/>
      <c r="H13" s="23" t="s">
        <v>46</v>
      </c>
      <c r="I13" s="23"/>
      <c r="J13" s="23"/>
      <c r="K13" s="24" t="s">
        <v>55</v>
      </c>
      <c r="L13" s="23" t="s">
        <v>53</v>
      </c>
    </row>
    <row r="14" spans="1:13" x14ac:dyDescent="0.35">
      <c r="A14" s="15" cm="1">
        <f t="array" ref="A14:D14">G10*MMULT(TRANSPOSE(L3:L6),A3:D6)</f>
        <v>-1.2999999999999998E-2</v>
      </c>
      <c r="B14" s="15">
        <v>-1.0399999999999951E-3</v>
      </c>
      <c r="C14" s="15">
        <v>0.3952</v>
      </c>
      <c r="D14">
        <v>-1.0400000000000001E-3</v>
      </c>
      <c r="H14" s="23" cm="1">
        <f t="array" ref="H14:J14">MMULT(F3:H3,A3:C5)</f>
        <v>-0.96</v>
      </c>
      <c r="I14" s="23">
        <v>-0.35</v>
      </c>
      <c r="J14" s="23">
        <v>11.08</v>
      </c>
      <c r="K14" s="23" cm="1">
        <f t="array" ref="K14">G10*(MMULT(_xlfn.ANCHORARRAY(H14),TRANSPOSE(F3:H3))+1)</f>
        <v>19.970600000000001</v>
      </c>
      <c r="L14" s="23">
        <f>SQRT(K14)</f>
        <v>4.4688477262041495</v>
      </c>
    </row>
    <row r="16" spans="1:13" x14ac:dyDescent="0.35">
      <c r="H16" s="1" t="s">
        <v>54</v>
      </c>
      <c r="I16" s="1" t="s">
        <v>31</v>
      </c>
      <c r="J16" s="1" t="s">
        <v>33</v>
      </c>
      <c r="K16" s="1" t="s">
        <v>32</v>
      </c>
    </row>
    <row r="17" spans="1:16" x14ac:dyDescent="0.35">
      <c r="A17" s="15" t="s">
        <v>47</v>
      </c>
      <c r="E17" s="15" t="s">
        <v>48</v>
      </c>
      <c r="F17" s="22" t="s">
        <v>49</v>
      </c>
      <c r="H17" cm="1">
        <f t="array" ref="H17">MMULT(F3:H3,J3:J5)</f>
        <v>-2.6999999999999993</v>
      </c>
      <c r="I17">
        <v>1.96</v>
      </c>
      <c r="J17">
        <f>H17-I17*L14</f>
        <v>-11.458941543360131</v>
      </c>
      <c r="K17">
        <f>H17+I17*L14</f>
        <v>6.0589415433601328</v>
      </c>
    </row>
    <row r="18" spans="1:16" x14ac:dyDescent="0.35">
      <c r="A18" s="15" cm="1">
        <f t="array" ref="A18">MINVERSE(MMULT(_xlfn.ANCHORARRAY(A14),L3:L6))</f>
        <v>2.5437525437525434</v>
      </c>
      <c r="E18" s="22">
        <f>K10*A18*L10</f>
        <v>2.5437525437525477E-2</v>
      </c>
      <c r="F18" s="22">
        <f>E18/H10</f>
        <v>8.479175145841825E-3</v>
      </c>
    </row>
    <row r="21" spans="1:16" x14ac:dyDescent="0.35">
      <c r="A21" t="s">
        <v>70</v>
      </c>
      <c r="E21" t="s">
        <v>71</v>
      </c>
      <c r="G21" t="s">
        <v>72</v>
      </c>
      <c r="L21" t="s">
        <v>73</v>
      </c>
      <c r="M21" t="s">
        <v>75</v>
      </c>
      <c r="P21" t="s">
        <v>74</v>
      </c>
    </row>
    <row r="22" spans="1:16" x14ac:dyDescent="0.35">
      <c r="A22">
        <v>7</v>
      </c>
      <c r="B22">
        <v>-3</v>
      </c>
      <c r="C22">
        <v>1</v>
      </c>
      <c r="E22">
        <v>20</v>
      </c>
      <c r="G22">
        <v>303</v>
      </c>
      <c r="L22" cm="1">
        <f t="array" ref="L22:L24">MMULT(MINVERSE(A22:C24),E22:E24)</f>
        <v>3.9252336448598131</v>
      </c>
      <c r="M22" s="25" cm="1">
        <f t="array" ref="M22:N22">MMULT(TRANSPOSE(E22:E23),MINVERSE(A22:B23))</f>
        <v>4.1702127659574471</v>
      </c>
      <c r="N22">
        <v>3.0638297872340425</v>
      </c>
      <c r="P22" cm="1">
        <f t="array" ref="P22">G22-MMULT(_xlfn.ANCHORARRAY(M22),E22:E23)</f>
        <v>182.82978723404256</v>
      </c>
    </row>
    <row r="23" spans="1:16" x14ac:dyDescent="0.35">
      <c r="A23">
        <v>-3</v>
      </c>
      <c r="B23">
        <v>8</v>
      </c>
      <c r="C23">
        <v>0</v>
      </c>
      <c r="E23">
        <v>12</v>
      </c>
      <c r="L23">
        <v>2.97196261682243</v>
      </c>
    </row>
    <row r="24" spans="1:16" x14ac:dyDescent="0.35">
      <c r="A24">
        <v>1</v>
      </c>
      <c r="B24">
        <v>0</v>
      </c>
      <c r="C24">
        <v>7</v>
      </c>
      <c r="E24">
        <v>14</v>
      </c>
      <c r="L24">
        <v>1.4392523364485981</v>
      </c>
    </row>
    <row r="26" spans="1:16" x14ac:dyDescent="0.35">
      <c r="A26" t="s">
        <v>34</v>
      </c>
      <c r="E26" t="s">
        <v>94</v>
      </c>
    </row>
    <row r="27" spans="1:16" x14ac:dyDescent="0.35">
      <c r="A27" cm="1">
        <f t="array" ref="A27:C29">MINVERSE(A22:C24)</f>
        <v>0.17445482866043613</v>
      </c>
      <c r="B27">
        <v>6.5420560747663559E-2</v>
      </c>
      <c r="C27">
        <v>-2.4922118380062308E-2</v>
      </c>
      <c r="E27" cm="1">
        <f t="array" ref="E27:G29">G10*_xlfn.ANCHORARRAY(A27)</f>
        <v>4.5358255451713396E-2</v>
      </c>
      <c r="F27">
        <v>1.7009345794392526E-2</v>
      </c>
      <c r="G27">
        <v>-6.4797507788162002E-3</v>
      </c>
    </row>
    <row r="28" spans="1:16" x14ac:dyDescent="0.35">
      <c r="A28">
        <v>6.5420560747663545E-2</v>
      </c>
      <c r="B28">
        <v>0.14953271028037385</v>
      </c>
      <c r="C28">
        <v>-9.3457943925233655E-3</v>
      </c>
      <c r="E28">
        <v>1.7009345794392523E-2</v>
      </c>
      <c r="F28">
        <v>3.8878504672897204E-2</v>
      </c>
      <c r="G28">
        <v>-2.4299065420560753E-3</v>
      </c>
    </row>
    <row r="29" spans="1:16" x14ac:dyDescent="0.35">
      <c r="A29">
        <v>-2.4922118380062305E-2</v>
      </c>
      <c r="B29">
        <v>-9.3457943925233638E-3</v>
      </c>
      <c r="C29">
        <v>0.14641744548286606</v>
      </c>
      <c r="E29">
        <v>-6.4797507788161993E-3</v>
      </c>
      <c r="F29">
        <v>-2.4299065420560748E-3</v>
      </c>
      <c r="G29">
        <v>3.8068535825545174E-2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AFB9C-EE54-47EC-8E8F-E8E4EBC406C1}">
  <dimension ref="A1:O29"/>
  <sheetViews>
    <sheetView zoomScale="80" zoomScaleNormal="80" workbookViewId="0">
      <selection activeCell="G9" sqref="G9"/>
    </sheetView>
  </sheetViews>
  <sheetFormatPr baseColWidth="10" defaultRowHeight="14.5" x14ac:dyDescent="0.35"/>
  <cols>
    <col min="15" max="15" width="12.90625" bestFit="1" customWidth="1"/>
  </cols>
  <sheetData>
    <row r="1" spans="1:15" x14ac:dyDescent="0.35">
      <c r="A1" s="1" t="s">
        <v>83</v>
      </c>
      <c r="B1" s="1" t="s">
        <v>28</v>
      </c>
      <c r="C1" s="1" t="s">
        <v>77</v>
      </c>
      <c r="D1" s="1" t="s">
        <v>78</v>
      </c>
      <c r="E1" s="1" t="s">
        <v>79</v>
      </c>
      <c r="F1" s="1" t="s">
        <v>80</v>
      </c>
      <c r="G1" s="1"/>
      <c r="I1" s="1" t="s">
        <v>0</v>
      </c>
      <c r="J1" s="1" t="s">
        <v>1</v>
      </c>
      <c r="K1" s="1" t="s">
        <v>2</v>
      </c>
    </row>
    <row r="2" spans="1:15" x14ac:dyDescent="0.35">
      <c r="A2">
        <v>4</v>
      </c>
      <c r="B2">
        <v>1</v>
      </c>
      <c r="C2">
        <v>0</v>
      </c>
      <c r="I2" s="1">
        <v>4</v>
      </c>
      <c r="J2" s="1">
        <f>N12</f>
        <v>1.7</v>
      </c>
      <c r="K2" s="1"/>
      <c r="N2" s="25" t="s">
        <v>82</v>
      </c>
      <c r="O2">
        <f>SUM(A2:A18)</f>
        <v>46.7</v>
      </c>
    </row>
    <row r="3" spans="1:15" x14ac:dyDescent="0.35">
      <c r="A3">
        <v>6</v>
      </c>
      <c r="B3">
        <v>1</v>
      </c>
      <c r="C3">
        <v>1</v>
      </c>
      <c r="I3" s="1">
        <v>4</v>
      </c>
      <c r="J3" s="1">
        <f>N12</f>
        <v>1.7</v>
      </c>
      <c r="K3" s="1"/>
      <c r="N3" s="25" t="s">
        <v>84</v>
      </c>
      <c r="O3">
        <f>SUM(C2:C16)</f>
        <v>10</v>
      </c>
    </row>
    <row r="4" spans="1:15" x14ac:dyDescent="0.35">
      <c r="A4">
        <v>7</v>
      </c>
      <c r="B4">
        <v>1</v>
      </c>
      <c r="C4">
        <v>2</v>
      </c>
      <c r="I4" s="1">
        <v>4</v>
      </c>
      <c r="J4" s="1">
        <f>N12</f>
        <v>1.7</v>
      </c>
      <c r="K4" s="1"/>
      <c r="N4" s="25" t="s">
        <v>85</v>
      </c>
      <c r="O4">
        <f>SUM(D2:D13)</f>
        <v>0</v>
      </c>
    </row>
    <row r="5" spans="1:15" x14ac:dyDescent="0.35">
      <c r="A5">
        <v>9</v>
      </c>
      <c r="B5">
        <v>1</v>
      </c>
      <c r="C5">
        <v>3</v>
      </c>
      <c r="I5" s="1">
        <v>4</v>
      </c>
      <c r="J5" s="1">
        <v>1.7</v>
      </c>
      <c r="K5" s="1"/>
      <c r="N5" s="25"/>
    </row>
    <row r="6" spans="1:15" x14ac:dyDescent="0.35">
      <c r="A6">
        <v>11</v>
      </c>
      <c r="B6">
        <v>1</v>
      </c>
      <c r="C6">
        <v>4</v>
      </c>
      <c r="I6" s="1">
        <v>4</v>
      </c>
      <c r="J6" s="1">
        <v>1.7</v>
      </c>
      <c r="K6" s="1"/>
      <c r="N6" s="25" t="s">
        <v>86</v>
      </c>
      <c r="O6">
        <f>O2/O10</f>
        <v>9.34</v>
      </c>
    </row>
    <row r="7" spans="1:15" x14ac:dyDescent="0.35">
      <c r="I7" s="1"/>
      <c r="J7" s="1"/>
      <c r="K7" s="1"/>
      <c r="N7" s="25" t="s">
        <v>87</v>
      </c>
      <c r="O7">
        <f>O3/O10</f>
        <v>2</v>
      </c>
    </row>
    <row r="8" spans="1:15" x14ac:dyDescent="0.35">
      <c r="I8" s="1"/>
      <c r="J8" s="1"/>
      <c r="K8" s="1"/>
      <c r="N8" s="25" t="s">
        <v>88</v>
      </c>
      <c r="O8">
        <f>O4/O10</f>
        <v>0</v>
      </c>
    </row>
    <row r="9" spans="1:15" x14ac:dyDescent="0.35">
      <c r="N9" s="25" t="s">
        <v>21</v>
      </c>
      <c r="O9">
        <f>COUNTA(C2:G2)</f>
        <v>1</v>
      </c>
    </row>
    <row r="10" spans="1:15" x14ac:dyDescent="0.35">
      <c r="N10" s="25" t="s">
        <v>44</v>
      </c>
      <c r="O10">
        <f>COUNTA(A2:A11)</f>
        <v>5</v>
      </c>
    </row>
    <row r="11" spans="1:15" x14ac:dyDescent="0.35">
      <c r="M11" t="s">
        <v>90</v>
      </c>
      <c r="N11" t="s">
        <v>89</v>
      </c>
      <c r="O11" t="s">
        <v>0</v>
      </c>
    </row>
    <row r="12" spans="1:15" x14ac:dyDescent="0.35">
      <c r="N12" cm="1">
        <f t="array" ref="N12:O12">LINEST(A2:A6,C2:C6)</f>
        <v>1.7</v>
      </c>
      <c r="O12">
        <v>4</v>
      </c>
    </row>
    <row r="14" spans="1:15" x14ac:dyDescent="0.35">
      <c r="N14" t="s">
        <v>16</v>
      </c>
      <c r="O14">
        <f>SUM(D17:D21)</f>
        <v>48.018000000000001</v>
      </c>
    </row>
    <row r="15" spans="1:15" x14ac:dyDescent="0.35">
      <c r="N15" t="s">
        <v>91</v>
      </c>
      <c r="O15">
        <f>O14/(O10-O9-1)</f>
        <v>16.006</v>
      </c>
    </row>
    <row r="16" spans="1:15" x14ac:dyDescent="0.35">
      <c r="A16" t="s">
        <v>26</v>
      </c>
      <c r="C16" t="s">
        <v>81</v>
      </c>
      <c r="D16" t="s">
        <v>93</v>
      </c>
      <c r="F16" t="s">
        <v>70</v>
      </c>
      <c r="I16" t="s">
        <v>34</v>
      </c>
      <c r="N16" t="s">
        <v>18</v>
      </c>
      <c r="O16">
        <f>SUM(D17:D23)</f>
        <v>48.018000000000001</v>
      </c>
    </row>
    <row r="17" spans="1:15" x14ac:dyDescent="0.35">
      <c r="A17">
        <f>I2+C2*J2+D2*K2</f>
        <v>4</v>
      </c>
      <c r="C17">
        <f>A2-A17</f>
        <v>0</v>
      </c>
      <c r="D17">
        <f>(A2-O6)^2</f>
        <v>28.515599999999999</v>
      </c>
      <c r="F17" cm="1">
        <f t="array" ref="F17:G18">MMULT(TRANSPOSE(B2:C6),B2:C6)</f>
        <v>5</v>
      </c>
      <c r="G17">
        <v>10</v>
      </c>
      <c r="I17" cm="1">
        <f t="array" ref="I17:J18">MINVERSE(_xlfn.ANCHORARRAY(F17))</f>
        <v>0.6</v>
      </c>
      <c r="J17">
        <v>-0.2</v>
      </c>
      <c r="N17" t="s">
        <v>19</v>
      </c>
      <c r="O17">
        <f>O16-O14</f>
        <v>0</v>
      </c>
    </row>
    <row r="18" spans="1:15" x14ac:dyDescent="0.35">
      <c r="A18">
        <f>I3+C3*J3+D3*K3</f>
        <v>5.7</v>
      </c>
      <c r="C18">
        <f>A3-A18</f>
        <v>0.29999999999999982</v>
      </c>
      <c r="D18">
        <f>(A3-O6)^2</f>
        <v>11.1556</v>
      </c>
      <c r="F18">
        <v>10</v>
      </c>
      <c r="G18">
        <v>30</v>
      </c>
      <c r="I18">
        <v>-0.2</v>
      </c>
      <c r="J18">
        <v>0.1</v>
      </c>
      <c r="N18" t="s">
        <v>92</v>
      </c>
      <c r="O18">
        <f>O17/O16</f>
        <v>0</v>
      </c>
    </row>
    <row r="19" spans="1:15" x14ac:dyDescent="0.35">
      <c r="A19">
        <f>I4+C4*J4+D4*K4</f>
        <v>7.4</v>
      </c>
      <c r="C19">
        <f>A4-A19</f>
        <v>-0.40000000000000036</v>
      </c>
      <c r="D19">
        <f>(A4-O6)^2</f>
        <v>5.4755999999999991</v>
      </c>
    </row>
    <row r="20" spans="1:15" x14ac:dyDescent="0.35">
      <c r="A20">
        <f>I5+C5*J5+D5*K5</f>
        <v>9.1</v>
      </c>
      <c r="C20">
        <f>A5-A20</f>
        <v>-9.9999999999999645E-2</v>
      </c>
      <c r="D20">
        <f>(A5-O6)^2</f>
        <v>0.1155999999999999</v>
      </c>
    </row>
    <row r="21" spans="1:15" x14ac:dyDescent="0.35">
      <c r="A21">
        <f>I6+C6*J6+D6*K6</f>
        <v>10.8</v>
      </c>
      <c r="C21">
        <f>A6-A21</f>
        <v>0.19999999999999929</v>
      </c>
      <c r="D21">
        <f>(A6-O6)^2</f>
        <v>2.7556000000000003</v>
      </c>
    </row>
    <row r="25" spans="1:15" x14ac:dyDescent="0.35">
      <c r="A25" t="s">
        <v>95</v>
      </c>
    </row>
    <row r="27" spans="1:15" x14ac:dyDescent="0.35">
      <c r="A27" t="s">
        <v>28</v>
      </c>
      <c r="C27" t="s">
        <v>96</v>
      </c>
      <c r="F27" t="s">
        <v>97</v>
      </c>
      <c r="H27" t="s">
        <v>98</v>
      </c>
      <c r="J27" t="s">
        <v>99</v>
      </c>
      <c r="L27" t="s">
        <v>54</v>
      </c>
      <c r="N27" t="s">
        <v>101</v>
      </c>
      <c r="O27" t="s">
        <v>100</v>
      </c>
    </row>
    <row r="28" spans="1:15" x14ac:dyDescent="0.35">
      <c r="A28">
        <v>1</v>
      </c>
      <c r="C28" cm="1">
        <f t="array" ref="C28:D28">O15*MMULT(TRANSPOSE(A28:A29),_xlfn.ANCHORARRAY(I17))</f>
        <v>-22.4084</v>
      </c>
      <c r="D28">
        <v>12.8048</v>
      </c>
      <c r="F28" cm="1">
        <f t="array" ref="F28">MMULT(_xlfn.ANCHORARRAY(C28),A28:A29)</f>
        <v>105.6396</v>
      </c>
      <c r="H28">
        <f>SQRT(F28)</f>
        <v>10.278112667216682</v>
      </c>
      <c r="J28">
        <v>3.1819999999999999</v>
      </c>
      <c r="L28">
        <f>O12*A28+N12*A29</f>
        <v>21</v>
      </c>
      <c r="N28">
        <f>L28-J28*H28</f>
        <v>-11.704954507083478</v>
      </c>
      <c r="O28">
        <f>L28+J28*H28</f>
        <v>53.704954507083478</v>
      </c>
    </row>
    <row r="29" spans="1:15" x14ac:dyDescent="0.35">
      <c r="A29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B2ADC-E3AF-4FA6-A88C-1DD3C28CD375}">
  <dimension ref="A1:L29"/>
  <sheetViews>
    <sheetView topLeftCell="A13" workbookViewId="0">
      <selection activeCell="E23" sqref="E23"/>
    </sheetView>
  </sheetViews>
  <sheetFormatPr baseColWidth="10" defaultRowHeight="14.5" x14ac:dyDescent="0.35"/>
  <cols>
    <col min="1" max="1" width="12.90625" bestFit="1" customWidth="1"/>
    <col min="3" max="3" width="15.1796875" bestFit="1" customWidth="1"/>
  </cols>
  <sheetData>
    <row r="1" spans="1:12" x14ac:dyDescent="0.35">
      <c r="A1" s="1" t="s">
        <v>115</v>
      </c>
      <c r="H1" s="1" t="s">
        <v>116</v>
      </c>
      <c r="I1" t="s">
        <v>117</v>
      </c>
    </row>
    <row r="2" spans="1:12" x14ac:dyDescent="0.35">
      <c r="A2" s="1" t="s">
        <v>44</v>
      </c>
      <c r="B2" s="25">
        <v>56</v>
      </c>
      <c r="E2" s="1" t="s">
        <v>1</v>
      </c>
      <c r="F2">
        <f>B5/B7</f>
        <v>0.6404405979543667</v>
      </c>
    </row>
    <row r="3" spans="1:12" x14ac:dyDescent="0.35">
      <c r="A3" s="1" t="s">
        <v>102</v>
      </c>
      <c r="B3">
        <v>275</v>
      </c>
      <c r="E3" s="1" t="s">
        <v>106</v>
      </c>
      <c r="F3">
        <f>(B3-F2*B4)/B2</f>
        <v>2.4290069686411146</v>
      </c>
      <c r="H3" s="1" t="s">
        <v>118</v>
      </c>
    </row>
    <row r="4" spans="1:12" x14ac:dyDescent="0.35">
      <c r="A4" s="1" t="s">
        <v>103</v>
      </c>
      <c r="B4">
        <v>217</v>
      </c>
      <c r="E4" s="1" t="s">
        <v>108</v>
      </c>
      <c r="F4">
        <f>B4/B2</f>
        <v>3.875</v>
      </c>
      <c r="H4" t="s">
        <v>119</v>
      </c>
      <c r="I4" t="s">
        <v>31</v>
      </c>
      <c r="J4" t="s">
        <v>53</v>
      </c>
      <c r="K4" t="s">
        <v>120</v>
      </c>
      <c r="L4" t="s">
        <v>121</v>
      </c>
    </row>
    <row r="5" spans="1:12" x14ac:dyDescent="0.35">
      <c r="A5" s="1" t="s">
        <v>107</v>
      </c>
      <c r="B5">
        <v>325.60000000000002</v>
      </c>
      <c r="E5" s="1" t="s">
        <v>109</v>
      </c>
      <c r="F5">
        <f>B3/B2</f>
        <v>4.9107142857142856</v>
      </c>
      <c r="H5">
        <f>F2</f>
        <v>0.6404405979543667</v>
      </c>
      <c r="I5" s="25">
        <v>2.66</v>
      </c>
      <c r="J5">
        <f>F14</f>
        <v>6.7987826929111941E-2</v>
      </c>
      <c r="K5">
        <f>H5-I5*J5</f>
        <v>0.45959297832292889</v>
      </c>
      <c r="L5">
        <f>H5+I5*J5</f>
        <v>0.8212882175858045</v>
      </c>
    </row>
    <row r="6" spans="1:12" x14ac:dyDescent="0.35">
      <c r="A6" s="1" t="s">
        <v>104</v>
      </c>
      <c r="B6">
        <v>452.5</v>
      </c>
      <c r="E6" s="1" t="s">
        <v>19</v>
      </c>
      <c r="F6">
        <f>F2*B7</f>
        <v>325.60000000000002</v>
      </c>
    </row>
    <row r="7" spans="1:12" x14ac:dyDescent="0.35">
      <c r="A7" s="1" t="s">
        <v>105</v>
      </c>
      <c r="B7">
        <v>508.4</v>
      </c>
      <c r="E7" s="1" t="s">
        <v>42</v>
      </c>
      <c r="F7">
        <f>B6</f>
        <v>452.5</v>
      </c>
      <c r="H7" s="1" t="s">
        <v>125</v>
      </c>
    </row>
    <row r="8" spans="1:12" x14ac:dyDescent="0.35">
      <c r="E8" s="1" t="s">
        <v>16</v>
      </c>
      <c r="F8">
        <f>F7-F6</f>
        <v>126.89999999999998</v>
      </c>
      <c r="H8" t="s">
        <v>119</v>
      </c>
      <c r="I8" t="s">
        <v>31</v>
      </c>
      <c r="J8" t="s">
        <v>53</v>
      </c>
      <c r="K8" t="s">
        <v>120</v>
      </c>
      <c r="L8" t="s">
        <v>121</v>
      </c>
    </row>
    <row r="9" spans="1:12" x14ac:dyDescent="0.35">
      <c r="E9" s="1" t="s">
        <v>110</v>
      </c>
      <c r="F9">
        <f>B2-1-1</f>
        <v>54</v>
      </c>
      <c r="H9">
        <f>F3</f>
        <v>2.4290069686411146</v>
      </c>
      <c r="I9" s="25">
        <v>2.66</v>
      </c>
      <c r="J9">
        <f>F15</f>
        <v>0.24469546599832895</v>
      </c>
      <c r="K9">
        <f>H9-I9*J9</f>
        <v>1.7781170290855597</v>
      </c>
      <c r="L9">
        <f>H9+I9*J9</f>
        <v>3.0798969081966696</v>
      </c>
    </row>
    <row r="10" spans="1:12" x14ac:dyDescent="0.35">
      <c r="A10" s="1" t="s">
        <v>114</v>
      </c>
      <c r="B10">
        <f>B7+B2*F4</f>
        <v>725.4</v>
      </c>
      <c r="E10" s="1" t="s">
        <v>111</v>
      </c>
      <c r="F10">
        <f>1-(F8/F7)</f>
        <v>0.71955801104972383</v>
      </c>
    </row>
    <row r="11" spans="1:12" x14ac:dyDescent="0.35">
      <c r="E11" s="1" t="s">
        <v>112</v>
      </c>
      <c r="F11">
        <f>1-((B2-1)/F9)*(1-F10)</f>
        <v>0.71436464088397789</v>
      </c>
    </row>
    <row r="12" spans="1:12" x14ac:dyDescent="0.35">
      <c r="E12" s="1"/>
      <c r="H12" s="1" t="s">
        <v>122</v>
      </c>
    </row>
    <row r="13" spans="1:12" x14ac:dyDescent="0.35">
      <c r="E13" s="1" t="s">
        <v>23</v>
      </c>
      <c r="F13">
        <f>F8/F9</f>
        <v>2.3499999999999996</v>
      </c>
      <c r="H13" t="s">
        <v>123</v>
      </c>
    </row>
    <row r="14" spans="1:12" x14ac:dyDescent="0.35">
      <c r="E14" s="1" t="s">
        <v>64</v>
      </c>
      <c r="F14">
        <f>SQRT(F13/B7)</f>
        <v>6.7987826929111941E-2</v>
      </c>
      <c r="H14" t="s">
        <v>124</v>
      </c>
      <c r="I14" s="25" t="s">
        <v>126</v>
      </c>
      <c r="J14" t="s">
        <v>53</v>
      </c>
      <c r="K14" t="s">
        <v>127</v>
      </c>
    </row>
    <row r="15" spans="1:12" x14ac:dyDescent="0.35">
      <c r="E15" s="1" t="s">
        <v>113</v>
      </c>
      <c r="F15">
        <f>SQRT((F13*B10)/(B2*B7))</f>
        <v>0.24469546599832895</v>
      </c>
      <c r="H15">
        <f>F2</f>
        <v>0.6404405979543667</v>
      </c>
      <c r="I15" s="25">
        <v>1</v>
      </c>
      <c r="J15">
        <f>F14</f>
        <v>6.7987826929111941E-2</v>
      </c>
      <c r="K15">
        <f>(H15-I15)/J15</f>
        <v>-5.2885850053794314</v>
      </c>
    </row>
    <row r="18" spans="1:11" x14ac:dyDescent="0.35">
      <c r="A18" s="1" t="s">
        <v>128</v>
      </c>
    </row>
    <row r="19" spans="1:11" x14ac:dyDescent="0.35">
      <c r="B19" t="s">
        <v>129</v>
      </c>
      <c r="C19" t="s">
        <v>131</v>
      </c>
      <c r="D19" t="s">
        <v>132</v>
      </c>
      <c r="E19" t="s">
        <v>133</v>
      </c>
      <c r="G19" t="s">
        <v>137</v>
      </c>
    </row>
    <row r="20" spans="1:11" x14ac:dyDescent="0.35">
      <c r="A20" t="s">
        <v>135</v>
      </c>
      <c r="C20" t="s">
        <v>134</v>
      </c>
      <c r="D20" t="s">
        <v>136</v>
      </c>
      <c r="G20" t="s">
        <v>138</v>
      </c>
    </row>
    <row r="21" spans="1:11" x14ac:dyDescent="0.35">
      <c r="A21" t="s">
        <v>106</v>
      </c>
      <c r="B21">
        <v>1.733266</v>
      </c>
      <c r="C21">
        <f>B21*1</f>
        <v>1.733266</v>
      </c>
      <c r="D21">
        <f>C21*1</f>
        <v>1.733266</v>
      </c>
      <c r="E21">
        <f>C21-D21</f>
        <v>0</v>
      </c>
      <c r="G21" s="1" t="s">
        <v>139</v>
      </c>
      <c r="H21" s="29" t="s">
        <v>31</v>
      </c>
      <c r="I21" t="s">
        <v>140</v>
      </c>
      <c r="J21" t="s">
        <v>141</v>
      </c>
      <c r="K21" s="1" t="s">
        <v>142</v>
      </c>
    </row>
    <row r="22" spans="1:11" x14ac:dyDescent="0.35">
      <c r="A22" t="s">
        <v>1</v>
      </c>
      <c r="B22">
        <f>0.6056659</f>
        <v>0.60566589999999998</v>
      </c>
      <c r="C22">
        <f>3*B22</f>
        <v>1.8169976999999999</v>
      </c>
      <c r="D22">
        <f>3*B22</f>
        <v>1.8169976999999999</v>
      </c>
      <c r="E22">
        <f>C22-D22</f>
        <v>0</v>
      </c>
      <c r="G22" s="1">
        <f>E25</f>
        <v>1.5140490299999998</v>
      </c>
      <c r="H22" s="29">
        <v>1.96</v>
      </c>
      <c r="I22">
        <f>C29^2</f>
        <v>4.6516352652249994E-2</v>
      </c>
      <c r="J22">
        <f>E26^2</f>
        <v>9</v>
      </c>
      <c r="K22" s="1">
        <f>SQRT(J22*I22)</f>
        <v>0.64702949999999992</v>
      </c>
    </row>
    <row r="23" spans="1:11" x14ac:dyDescent="0.35">
      <c r="A23" t="s">
        <v>2</v>
      </c>
      <c r="B23">
        <f>A29</f>
        <v>0.50468300999999993</v>
      </c>
      <c r="C23">
        <f>5*B23</f>
        <v>2.5234150499999997</v>
      </c>
      <c r="D23">
        <f>2*B23</f>
        <v>1.0093660199999999</v>
      </c>
      <c r="E23">
        <f>C23-D23</f>
        <v>1.5140490299999998</v>
      </c>
    </row>
    <row r="24" spans="1:11" x14ac:dyDescent="0.35">
      <c r="G24" t="s">
        <v>143</v>
      </c>
      <c r="H24" t="s">
        <v>144</v>
      </c>
    </row>
    <row r="25" spans="1:11" x14ac:dyDescent="0.35">
      <c r="A25" t="s">
        <v>76</v>
      </c>
      <c r="C25">
        <f>SUM(C21:C23)</f>
        <v>6.0736787499999991</v>
      </c>
      <c r="D25">
        <f>SUM(D21:D23)</f>
        <v>4.5596297200000002</v>
      </c>
      <c r="E25" s="1">
        <f>SUM(E21:E23)</f>
        <v>1.5140490299999998</v>
      </c>
      <c r="G25">
        <f>G22-H22*K22</f>
        <v>0.24587121000000001</v>
      </c>
      <c r="H25">
        <f>G22+H22*K22</f>
        <v>2.7822268499999998</v>
      </c>
    </row>
    <row r="26" spans="1:11" x14ac:dyDescent="0.35">
      <c r="E26" s="1">
        <f>E25/B23</f>
        <v>3</v>
      </c>
    </row>
    <row r="27" spans="1:11" x14ac:dyDescent="0.35">
      <c r="A27" s="1" t="s">
        <v>130</v>
      </c>
    </row>
    <row r="28" spans="1:11" x14ac:dyDescent="0.35">
      <c r="A28" t="s">
        <v>2</v>
      </c>
      <c r="B28" t="s">
        <v>31</v>
      </c>
      <c r="C28" t="s">
        <v>53</v>
      </c>
    </row>
    <row r="29" spans="1:11" x14ac:dyDescent="0.35">
      <c r="A29">
        <f>B29*C29</f>
        <v>0.50468300999999993</v>
      </c>
      <c r="B29">
        <v>2.34</v>
      </c>
      <c r="C29">
        <v>0.21567649999999999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Pred</vt:lpstr>
      <vt:lpstr>Pred 2</vt:lpstr>
      <vt:lpstr>Pred3-simple</vt:lpstr>
      <vt:lpstr>Matrizconsigma</vt:lpstr>
      <vt:lpstr>Matriz multiple</vt:lpstr>
      <vt:lpstr>Matriz-Large</vt:lpstr>
      <vt:lpstr>Sum</vt:lpstr>
      <vt:lpstr>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Andrade</dc:creator>
  <cp:lastModifiedBy>Valentina Andrade</cp:lastModifiedBy>
  <dcterms:created xsi:type="dcterms:W3CDTF">2021-10-03T15:07:50Z</dcterms:created>
  <dcterms:modified xsi:type="dcterms:W3CDTF">2021-12-12T21:05:02Z</dcterms:modified>
</cp:coreProperties>
</file>