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3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33" i="8"/>
  <c r="D33"/>
  <c r="C33"/>
  <c r="B33"/>
  <c r="D32"/>
  <c r="H32" s="1"/>
  <c r="S24" i="4"/>
  <c r="I24"/>
  <c r="R24"/>
  <c r="D31" i="8"/>
  <c r="H31" s="1"/>
  <c r="D30"/>
  <c r="H30" s="1"/>
  <c r="D29"/>
  <c r="H29" s="1"/>
  <c r="H28"/>
  <c r="D28"/>
  <c r="D25"/>
  <c r="C24" i="4"/>
  <c r="G2" i="1" s="1"/>
  <c r="G53" s="1"/>
  <c r="H24" i="4"/>
  <c r="D26" i="8"/>
  <c r="H26" s="1"/>
  <c r="D27"/>
  <c r="H27" s="1"/>
  <c r="D56"/>
  <c r="H56" s="1"/>
  <c r="D24"/>
  <c r="H24" s="1"/>
  <c r="D40"/>
  <c r="D22"/>
  <c r="H22" s="1"/>
  <c r="D23"/>
  <c r="H23" s="1"/>
  <c r="H25"/>
  <c r="D21"/>
  <c r="D55"/>
  <c r="H55" s="1"/>
  <c r="G71" i="1"/>
  <c r="H71"/>
  <c r="H72"/>
  <c r="G72"/>
  <c r="G75"/>
  <c r="H75"/>
  <c r="H74"/>
  <c r="G74"/>
  <c r="H77"/>
  <c r="G77"/>
  <c r="G76"/>
  <c r="G73"/>
  <c r="H70"/>
  <c r="G70"/>
  <c r="H67"/>
  <c r="G67"/>
  <c r="G66"/>
  <c r="H78"/>
  <c r="H64"/>
  <c r="G64"/>
  <c r="H61"/>
  <c r="G60"/>
  <c r="G59"/>
  <c r="H55"/>
  <c r="G55"/>
  <c r="H50"/>
  <c r="G50"/>
  <c r="G28"/>
  <c r="G29"/>
  <c r="H30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3"/>
  <c r="G13"/>
  <c r="H7"/>
  <c r="G7"/>
  <c r="G6"/>
  <c r="H4"/>
  <c r="G4"/>
  <c r="D5" i="8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 s="1"/>
  <c r="B18"/>
  <c r="C18"/>
  <c r="D19"/>
  <c r="H19" s="1"/>
  <c r="D20"/>
  <c r="H20" s="1"/>
  <c r="D36"/>
  <c r="H36" s="1"/>
  <c r="G36"/>
  <c r="D37"/>
  <c r="G37"/>
  <c r="D38"/>
  <c r="D39"/>
  <c r="E39"/>
  <c r="F39"/>
  <c r="D41"/>
  <c r="H41" s="1"/>
  <c r="G41"/>
  <c r="D42"/>
  <c r="G42"/>
  <c r="D43"/>
  <c r="G43"/>
  <c r="D44"/>
  <c r="G44"/>
  <c r="D45"/>
  <c r="G45"/>
  <c r="G46"/>
  <c r="H46" s="1"/>
  <c r="B47"/>
  <c r="B52" s="1"/>
  <c r="C47"/>
  <c r="G47"/>
  <c r="H47" s="1"/>
  <c r="D48"/>
  <c r="H48" s="1"/>
  <c r="G48"/>
  <c r="D49"/>
  <c r="G51"/>
  <c r="H51" s="1"/>
  <c r="C52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M24" i="4"/>
  <c r="C6" i="3"/>
  <c r="Q24" i="4"/>
  <c r="P24"/>
  <c r="O24"/>
  <c r="N24"/>
  <c r="G24"/>
  <c r="F24"/>
  <c r="E24"/>
  <c r="D24"/>
  <c r="C28" l="1"/>
  <c r="B28"/>
  <c r="D28"/>
  <c r="M25"/>
  <c r="H2" i="1"/>
  <c r="H54" s="1"/>
  <c r="G9"/>
  <c r="G23"/>
  <c r="G40" s="1"/>
  <c r="G5"/>
  <c r="G54"/>
  <c r="G56" s="1"/>
  <c r="G3"/>
  <c r="G10"/>
  <c r="H5" i="8"/>
  <c r="H44"/>
  <c r="H42"/>
  <c r="H37"/>
  <c r="D18"/>
  <c r="H18" s="1"/>
  <c r="D8"/>
  <c r="H8" s="1"/>
  <c r="D6"/>
  <c r="H6" s="1"/>
  <c r="H45"/>
  <c r="H43"/>
  <c r="D9"/>
  <c r="H9" s="1"/>
  <c r="D7"/>
  <c r="H7" s="1"/>
  <c r="H21"/>
  <c r="G78" i="1"/>
  <c r="G39" i="8"/>
  <c r="H39" s="1"/>
  <c r="D52"/>
  <c r="C25" i="4"/>
  <c r="L3" i="1"/>
  <c r="L2"/>
  <c r="H53" l="1"/>
  <c r="H56" s="1"/>
  <c r="H3"/>
  <c r="H9"/>
  <c r="H23"/>
  <c r="H40" s="1"/>
  <c r="H5"/>
  <c r="H10"/>
  <c r="L39"/>
  <c r="L49"/>
  <c r="L50"/>
  <c r="L40"/>
  <c r="E7"/>
  <c r="E6"/>
  <c r="E4"/>
  <c r="E39"/>
  <c r="E38"/>
  <c r="E37" l="1"/>
  <c r="L1"/>
  <c r="E50"/>
  <c r="M63"/>
  <c r="M62"/>
  <c r="L63"/>
  <c r="L62"/>
  <c r="L55"/>
  <c r="M55" s="1"/>
  <c r="F40" i="8" s="1"/>
  <c r="L54" i="1"/>
  <c r="M54" s="1"/>
  <c r="E40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40" i="8"/>
  <c r="H40" s="1"/>
  <c r="D5" i="1"/>
  <c r="D10"/>
  <c r="D11"/>
  <c r="D23"/>
  <c r="E23" s="1"/>
  <c r="E40" s="1"/>
  <c r="P22"/>
  <c r="D54"/>
  <c r="E54" s="1"/>
  <c r="D3"/>
  <c r="E3" s="1"/>
  <c r="C11"/>
  <c r="D53"/>
  <c r="E53" s="1"/>
  <c r="E56" l="1"/>
  <c r="H11"/>
  <c r="G11"/>
  <c r="M40"/>
  <c r="M39"/>
  <c r="E11"/>
  <c r="E5"/>
  <c r="E13" l="1"/>
  <c r="E20" l="1"/>
  <c r="D9"/>
  <c r="E9" s="1"/>
  <c r="E10"/>
  <c r="D8"/>
  <c r="C8" s="1"/>
  <c r="H8" l="1"/>
  <c r="H12" s="1"/>
  <c r="H14" s="1"/>
  <c r="H79" s="1"/>
  <c r="G8"/>
  <c r="G12" s="1"/>
  <c r="G14" s="1"/>
  <c r="G79" s="1"/>
  <c r="E12"/>
  <c r="E14" s="1"/>
  <c r="M8"/>
  <c r="M7"/>
  <c r="E79" l="1"/>
  <c r="E15"/>
  <c r="M2"/>
  <c r="M3"/>
  <c r="L80" l="1"/>
  <c r="E38" i="8"/>
  <c r="F38"/>
  <c r="F52" s="1"/>
  <c r="L81" i="1"/>
  <c r="G38" i="8" l="1"/>
  <c r="E52"/>
  <c r="G52" l="1"/>
  <c r="H38"/>
  <c r="H52" s="1"/>
</calcChain>
</file>

<file path=xl/sharedStrings.xml><?xml version="1.0" encoding="utf-8"?>
<sst xmlns="http://schemas.openxmlformats.org/spreadsheetml/2006/main" count="373" uniqueCount="244">
  <si>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</si>
  <si>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</si>
  <si>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</si>
  <si>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</si>
  <si>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</si>
  <si>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</si>
  <si>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</si>
  <si>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</si>
  <si>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</si>
  <si>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</si>
  <si>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</si>
  <si>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</si>
  <si>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</si>
  <si>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</si>
  <si>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</si>
  <si>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</si>
  <si>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</si>
  <si>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</si>
  <si>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</si>
  <si>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</si>
  <si>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</si>
  <si>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</si>
  <si>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</si>
  <si>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</si>
  <si>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</si>
  <si>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</si>
  <si>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</si>
  <si>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</si>
  <si>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</si>
  <si>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</si>
  <si>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</si>
  <si>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</si>
  <si>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</si>
  <si>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</si>
  <si>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</si>
  <si>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</si>
  <si>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</si>
  <si>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</si>
  <si>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</si>
  <si>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</si>
  <si>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</si>
  <si>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</si>
  <si>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</si>
  <si>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</si>
  <si>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</si>
  <si>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</si>
  <si>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</si>
  <si>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</si>
  <si>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</si>
  <si>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</si>
  <si>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</si>
  <si>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</si>
  <si>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</si>
  <si>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</si>
  <si>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</si>
  <si>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</si>
  <si>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</si>
  <si>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</si>
  <si>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</si>
  <si>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</si>
  <si>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</si>
  <si>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</si>
  <si>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</si>
  <si>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</si>
  <si>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</si>
  <si>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</si>
  <si>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</si>
  <si>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</si>
  <si>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</si>
  <si>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</si>
  <si>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</si>
  <si>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</si>
  <si>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</si>
  <si>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</si>
  <si>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</si>
  <si>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</si>
  <si>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</si>
  <si>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</si>
  <si>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</si>
  <si>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</si>
  <si>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</si>
  <si>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</si>
  <si>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</si>
  <si>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</si>
  <si>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</si>
  <si>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</si>
  <si>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</si>
  <si>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</si>
  <si>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</si>
  <si>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</si>
  <si>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</si>
  <si>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</si>
  <si>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</si>
  <si>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</si>
  <si>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</si>
  <si>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</si>
  <si>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</si>
  <si>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</si>
  <si>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</si>
  <si>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</si>
  <si>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</si>
  <si>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</si>
  <si>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</si>
  <si>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</si>
  <si>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</si>
  <si>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</si>
  <si>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</si>
  <si>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</si>
  <si>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</si>
  <si>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</si>
  <si>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</si>
  <si>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</si>
  <si>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</si>
  <si>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</si>
  <si>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</si>
  <si>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</si>
  <si>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</si>
  <si>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</si>
  <si>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</si>
  <si>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</si>
  <si>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</si>
  <si>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</si>
  <si>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</si>
  <si>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</si>
  <si>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</si>
  <si>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</si>
  <si>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</si>
  <si>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</si>
  <si>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</si>
  <si>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</si>
  <si>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</si>
  <si>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</si>
  <si>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</si>
  <si>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</si>
  <si>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</si>
  <si>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</si>
  <si>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</si>
  <si>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</si>
  <si>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</si>
  <si>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</si>
  <si>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</si>
  <si>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</si>
  <si>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</si>
  <si>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</si>
  <si>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</si>
  <si>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</si>
  <si>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</si>
  <si>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</si>
  <si>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</si>
  <si>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</si>
  <si>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</si>
  <si>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</si>
  <si>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</si>
  <si>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</si>
  <si>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</si>
  <si>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</si>
  <si>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</si>
  <si>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</si>
  <si>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</si>
  <si>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</si>
  <si>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</si>
  <si>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</si>
  <si>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</si>
  <si>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</si>
  <si>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</si>
  <si>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</si>
  <si>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</si>
  <si>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</si>
  <si>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</si>
  <si>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</si>
  <si>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</si>
  <si>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</si>
  <si>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</si>
  <si>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</si>
  <si>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</si>
  <si>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</si>
  <si>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</si>
  <si>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</si>
  <si>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</si>
  <si>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</si>
  <si>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</si>
  <si>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</si>
  <si>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</si>
  <si>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</si>
  <si>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</si>
  <si>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</si>
  <si>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</si>
  <si>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</si>
  <si>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</si>
  <si>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</si>
  <si>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</si>
  <si>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</si>
  <si>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</si>
  <si>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</si>
  <si>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</si>
  <si>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</si>
  <si>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</si>
  <si>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</si>
  <si>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</si>
  <si>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</si>
  <si>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</si>
  <si>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</si>
  <si>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</si>
  <si>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</si>
  <si>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</si>
  <si>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</si>
  <si>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</si>
  <si>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</si>
  <si>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</si>
  <si>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</si>
  <si>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</si>
  <si>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</si>
  <si>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</si>
  <si>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</si>
  <si>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</si>
  <si>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</si>
  <si>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</si>
  <si>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</si>
  <si>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</si>
  <si>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</si>
  <si>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</si>
  <si>
    <t>Kelemen Éva, Juhász Tamás</t>
  </si>
  <si>
    <t>Pálinkás üvegek, matricák, kupakok, tetőzárak(buszra)</t>
  </si>
  <si>
    <t>Stóla díj (elbocsátó levélhez)</t>
  </si>
  <si>
    <t>Állás:</t>
  </si>
  <si>
    <t>Ágika néni</t>
  </si>
  <si>
    <t>Bodnár Robi</t>
  </si>
  <si>
    <t>Kántor</t>
  </si>
  <si>
    <t>Almásy László Attila</t>
  </si>
  <si>
    <t>20/952-6250</t>
  </si>
  <si>
    <t>helyszínen fizet</t>
  </si>
  <si>
    <t>Fizetés</t>
  </si>
  <si>
    <t>Valentin szemüveg lencse+keret</t>
  </si>
  <si>
    <t>Mr. és Mrs. lufik</t>
  </si>
  <si>
    <t>Vőfélyszalag (2 féle szalag, filctoll)</t>
  </si>
  <si>
    <t>Sütis doboz</t>
  </si>
  <si>
    <t>Próbahaj</t>
  </si>
  <si>
    <t>éttermi alkoholos pia</t>
  </si>
  <si>
    <t>Kocsi</t>
  </si>
  <si>
    <t>Mind2 hangosítás</t>
  </si>
  <si>
    <t>Süteményesek (busz, étterem, grillázstorta)</t>
  </si>
  <si>
    <t xml:space="preserve">szombat reggel </t>
  </si>
  <si>
    <t>20/582-3257</t>
  </si>
  <si>
    <t>Patakiné Pirike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</si>
</sst>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2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u/>
      <sz val="8.8000000000000007"/>
      <color rgb="FF00B05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4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1" fillId="0" borderId="12" xfId="0" applyFont="1" applyFill="1" applyBorder="1" applyAlignment="1">
      <alignment wrapText="1"/>
    </xf>
    <xf numFmtId="164" fontId="0" fillId="0" borderId="0" xfId="0" applyNumberFormat="1"/>
    <xf numFmtId="0" fontId="0" fillId="3" borderId="12" xfId="0" applyFill="1" applyBorder="1"/>
    <xf numFmtId="164" fontId="14" fillId="0" borderId="12" xfId="0" applyNumberFormat="1" applyFont="1" applyBorder="1"/>
    <xf numFmtId="0" fontId="9" fillId="0" borderId="12" xfId="0" applyFont="1" applyBorder="1"/>
    <xf numFmtId="0" fontId="8" fillId="0" borderId="12" xfId="0" applyFont="1" applyBorder="1"/>
    <xf numFmtId="0" fontId="0" fillId="5" borderId="1" xfId="0" applyFill="1" applyBorder="1"/>
    <xf numFmtId="0" fontId="1" fillId="0" borderId="1" xfId="0" applyFont="1" applyFill="1" applyBorder="1" applyAlignment="1">
      <alignment horizontal="center" vertical="center"/>
    </xf>
    <xf numFmtId="164" fontId="14" fillId="0" borderId="8" xfId="0" applyNumberFormat="1" applyFont="1" applyBorder="1"/>
    <xf numFmtId="0" fontId="11" fillId="0" borderId="1" xfId="0" applyFont="1" applyFill="1" applyBorder="1" applyAlignment="1">
      <alignment wrapText="1"/>
    </xf>
    <xf numFmtId="0" fontId="11" fillId="0" borderId="4" xfId="0" applyFont="1" applyBorder="1"/>
    <xf numFmtId="0" fontId="11" fillId="0" borderId="4" xfId="0" applyFont="1" applyBorder="1" applyAlignment="1">
      <alignment horizontal="center" vertical="center"/>
    </xf>
    <xf numFmtId="3" fontId="11" fillId="0" borderId="4" xfId="0" applyNumberFormat="1" applyFont="1" applyBorder="1"/>
    <xf numFmtId="0" fontId="11" fillId="0" borderId="4" xfId="0" applyFont="1" applyBorder="1" applyAlignment="1">
      <alignment wrapText="1"/>
    </xf>
    <xf numFmtId="0" fontId="14" fillId="0" borderId="3" xfId="0" applyFont="1" applyBorder="1"/>
    <xf numFmtId="0" fontId="14" fillId="0" borderId="0" xfId="0" applyFont="1"/>
    <xf numFmtId="0" fontId="18" fillId="0" borderId="3" xfId="0" applyFont="1" applyBorder="1"/>
    <xf numFmtId="0" fontId="19" fillId="0" borderId="0" xfId="3" applyFont="1" applyAlignment="1" applyProtection="1"/>
    <xf numFmtId="0" fontId="7" fillId="0" borderId="2" xfId="0" applyFont="1" applyBorder="1"/>
    <xf numFmtId="0" fontId="0" fillId="0" borderId="1" xfId="0" applyBorder="1" applyAlignment="1">
      <alignment horizontal="center" vertical="center"/>
    </xf>
    <xf numFmtId="0" fontId="11" fillId="0" borderId="2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zoomScale="80" zoomScaleNormal="80" workbookViewId="0">
      <selection activeCell="K7" sqref="K7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5" t="s">
        <v>29</v>
      </c>
      <c r="B1" s="176"/>
      <c r="C1" s="176"/>
      <c r="D1" s="176"/>
      <c r="E1" s="177"/>
      <c r="G1" t="s">
        <v>23</v>
      </c>
      <c r="H1" t="s">
        <v>17</v>
      </c>
      <c r="K1" s="19" t="s">
        <v>34</v>
      </c>
      <c r="L1" s="178">
        <f>L2+L3</f>
        <v>72</v>
      </c>
      <c r="M1" s="178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Meghívottak!C24</f>
        <v>37</v>
      </c>
      <c r="H2">
        <f>Meghívottak!M24</f>
        <v>35</v>
      </c>
      <c r="K2" s="15" t="s">
        <v>4</v>
      </c>
      <c r="L2" s="5">
        <f>Meghívottak!C24</f>
        <v>37</v>
      </c>
      <c r="M2" s="44">
        <f>(L2-2)*M7+2*M8</f>
        <v>995139.6180555555</v>
      </c>
    </row>
    <row r="3" spans="1:21">
      <c r="A3" s="62" t="s">
        <v>106</v>
      </c>
      <c r="B3" s="63" t="s">
        <v>31</v>
      </c>
      <c r="C3" s="64">
        <v>2000</v>
      </c>
      <c r="D3" s="65">
        <f>L1</f>
        <v>72</v>
      </c>
      <c r="E3" s="64">
        <f>C3*D3</f>
        <v>144000</v>
      </c>
      <c r="G3" s="143">
        <f>G2*$C$3</f>
        <v>74000</v>
      </c>
      <c r="H3" s="143">
        <f>H2*$C$3</f>
        <v>70000</v>
      </c>
      <c r="K3" s="15" t="s">
        <v>2</v>
      </c>
      <c r="L3" s="5">
        <f>Meghívottak!M24</f>
        <v>35</v>
      </c>
      <c r="M3" s="44">
        <f>L3*M7</f>
        <v>957641.5625</v>
      </c>
    </row>
    <row r="4" spans="1:21">
      <c r="A4" s="62" t="s">
        <v>109</v>
      </c>
      <c r="B4" s="66" t="s">
        <v>3</v>
      </c>
      <c r="C4" s="64">
        <v>12000</v>
      </c>
      <c r="D4" s="65">
        <v>1</v>
      </c>
      <c r="E4" s="64">
        <f>C4*D4</f>
        <v>12000</v>
      </c>
      <c r="G4" s="143">
        <f>$E$4/2</f>
        <v>6000</v>
      </c>
      <c r="H4" s="143">
        <f>$E$4/2</f>
        <v>6000</v>
      </c>
      <c r="K4" s="18"/>
      <c r="L4" s="60"/>
      <c r="M4" s="61"/>
    </row>
    <row r="5" spans="1:21">
      <c r="A5" s="52" t="s">
        <v>107</v>
      </c>
      <c r="B5" s="63" t="s">
        <v>31</v>
      </c>
      <c r="C5" s="64">
        <v>7800</v>
      </c>
      <c r="D5" s="65">
        <f>L1-2</f>
        <v>70</v>
      </c>
      <c r="E5" s="64">
        <f>C5*D5</f>
        <v>546000</v>
      </c>
      <c r="G5" s="143">
        <f>(G2-2)*C5</f>
        <v>273000</v>
      </c>
      <c r="H5" s="143">
        <f>H2*C5</f>
        <v>273000</v>
      </c>
    </row>
    <row r="6" spans="1:21">
      <c r="A6" s="67" t="s">
        <v>111</v>
      </c>
      <c r="B6" s="63" t="s">
        <v>31</v>
      </c>
      <c r="C6" s="64">
        <v>3900</v>
      </c>
      <c r="D6" s="65">
        <v>2</v>
      </c>
      <c r="E6" s="64">
        <f>C6*D6</f>
        <v>7800</v>
      </c>
      <c r="G6" s="143">
        <f>2*C6</f>
        <v>7800</v>
      </c>
      <c r="H6" s="143">
        <v>0</v>
      </c>
    </row>
    <row r="7" spans="1:21">
      <c r="A7" s="65" t="s">
        <v>1</v>
      </c>
      <c r="B7" s="63" t="s">
        <v>31</v>
      </c>
      <c r="C7" s="64">
        <v>2900</v>
      </c>
      <c r="D7" s="68">
        <v>37</v>
      </c>
      <c r="E7" s="64">
        <f>C7*D7</f>
        <v>107300</v>
      </c>
      <c r="G7" s="143">
        <f>$E$7/2</f>
        <v>53650</v>
      </c>
      <c r="H7" s="143">
        <f>$E$7/2</f>
        <v>53650</v>
      </c>
      <c r="M7">
        <f>C4/L1+(C3+C5+C7/2+C8+C9+C10+C11+E13/L1)*1.1</f>
        <v>27361.1875</v>
      </c>
      <c r="S7" s="8"/>
    </row>
    <row r="8" spans="1:21">
      <c r="A8" s="52" t="s">
        <v>110</v>
      </c>
      <c r="B8" s="63" t="s">
        <v>31</v>
      </c>
      <c r="C8" s="68">
        <f>E8/D8</f>
        <v>1305.5555555555557</v>
      </c>
      <c r="D8" s="65">
        <f>$L$1</f>
        <v>72</v>
      </c>
      <c r="E8" s="64">
        <v>94000</v>
      </c>
      <c r="G8" s="143">
        <f>$G$2*$C$8</f>
        <v>48305.555555555562</v>
      </c>
      <c r="H8" s="143">
        <f>$H$2*$C$8</f>
        <v>45694.444444444445</v>
      </c>
      <c r="M8">
        <f>C4/L1+(C3+C6+C7/2+C8+C9+E13/L1)*1.1</f>
        <v>18749.027777777781</v>
      </c>
    </row>
    <row r="9" spans="1:21">
      <c r="A9" s="52" t="s">
        <v>108</v>
      </c>
      <c r="B9" s="63" t="s">
        <v>31</v>
      </c>
      <c r="C9" s="64">
        <v>7800</v>
      </c>
      <c r="D9" s="65">
        <f>$L$1</f>
        <v>72</v>
      </c>
      <c r="E9" s="64">
        <f t="shared" ref="E9:E10" si="0">C9*D9</f>
        <v>561600</v>
      </c>
      <c r="G9" s="143">
        <f>$G$2*$C$9</f>
        <v>288600</v>
      </c>
      <c r="H9" s="143">
        <f>$H$2*$C$9</f>
        <v>273000</v>
      </c>
    </row>
    <row r="10" spans="1:21">
      <c r="A10" s="65" t="s">
        <v>5</v>
      </c>
      <c r="B10" s="63" t="s">
        <v>31</v>
      </c>
      <c r="C10" s="64">
        <v>1500</v>
      </c>
      <c r="D10" s="65">
        <f>$L$1-2</f>
        <v>70</v>
      </c>
      <c r="E10" s="64">
        <f t="shared" si="0"/>
        <v>105000</v>
      </c>
      <c r="G10" s="143">
        <f>($G$2-2)*C10</f>
        <v>52500</v>
      </c>
      <c r="H10" s="143">
        <f>H2*C10</f>
        <v>52500</v>
      </c>
      <c r="M10" s="1"/>
      <c r="S10" s="8"/>
    </row>
    <row r="11" spans="1:21">
      <c r="A11" s="65" t="s">
        <v>6</v>
      </c>
      <c r="B11" s="63"/>
      <c r="C11" s="68">
        <f>'Kieg. - Ital'!C4/TERVEZETT!L1</f>
        <v>2429.2361111111113</v>
      </c>
      <c r="D11" s="65">
        <f>$L$1-2</f>
        <v>70</v>
      </c>
      <c r="E11" s="100">
        <f>C11*D11</f>
        <v>170046.52777777778</v>
      </c>
      <c r="G11" s="143">
        <f>(G2-2)*C11</f>
        <v>85023.263888888891</v>
      </c>
      <c r="H11" s="143">
        <f>H2*C11</f>
        <v>85023.263888888891</v>
      </c>
      <c r="U11" s="1"/>
    </row>
    <row r="12" spans="1:21">
      <c r="A12" s="65" t="s">
        <v>16</v>
      </c>
      <c r="B12" s="63"/>
      <c r="C12" s="65"/>
      <c r="D12" s="65"/>
      <c r="E12" s="64">
        <f>(E3+E5+E6+E7+E8+E9+E13)*0.1</f>
        <v>149220</v>
      </c>
      <c r="G12" s="143">
        <f>SUM(G3,G5:G10)*0.1+G13*0.1</f>
        <v>81360.555555555562</v>
      </c>
      <c r="H12" s="143">
        <f>SUM(H3,H5:H10)*0.1+H13*0.1</f>
        <v>78359.444444444453</v>
      </c>
      <c r="U12" s="1"/>
    </row>
    <row r="13" spans="1:21">
      <c r="A13" s="65" t="s">
        <v>28</v>
      </c>
      <c r="B13" s="66" t="s">
        <v>31</v>
      </c>
      <c r="C13" s="65">
        <v>3500</v>
      </c>
      <c r="D13" s="65">
        <v>9</v>
      </c>
      <c r="E13" s="64">
        <f>C13*D13</f>
        <v>31500</v>
      </c>
      <c r="G13" s="143">
        <f>$E$13/2</f>
        <v>15750</v>
      </c>
      <c r="H13" s="143">
        <f>$E$13/2</f>
        <v>15750</v>
      </c>
    </row>
    <row r="14" spans="1:21">
      <c r="A14" s="69" t="s">
        <v>7</v>
      </c>
      <c r="B14" s="70" t="s">
        <v>3</v>
      </c>
      <c r="C14" s="186"/>
      <c r="D14" s="187"/>
      <c r="E14" s="71">
        <f>SUM(E3:E13)</f>
        <v>1928466.5277777778</v>
      </c>
      <c r="G14" s="144">
        <f>SUM(G3:G13)</f>
        <v>985989.375</v>
      </c>
      <c r="H14" s="144">
        <f>SUM(H3:H13)</f>
        <v>952977.15277777787</v>
      </c>
    </row>
    <row r="15" spans="1:21">
      <c r="A15" s="72" t="s">
        <v>7</v>
      </c>
      <c r="B15" s="63" t="s">
        <v>31</v>
      </c>
      <c r="C15" s="186"/>
      <c r="D15" s="187"/>
      <c r="E15" s="64">
        <f>E14/L1</f>
        <v>26784.257330246914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5" t="s">
        <v>30</v>
      </c>
      <c r="B17" s="176"/>
      <c r="C17" s="176"/>
      <c r="D17" s="176"/>
      <c r="E17" s="177"/>
      <c r="N17" s="1"/>
    </row>
    <row r="18" spans="1:23">
      <c r="A18" s="13" t="s">
        <v>23</v>
      </c>
      <c r="B18" s="188" t="s">
        <v>3</v>
      </c>
      <c r="C18" s="182"/>
      <c r="D18" s="183"/>
      <c r="E18" s="3">
        <f>250*310</f>
        <v>77500</v>
      </c>
      <c r="G18" s="144">
        <f>E18</f>
        <v>77500</v>
      </c>
      <c r="H18" s="144">
        <f>E19</f>
        <v>198400</v>
      </c>
      <c r="K18" s="15" t="s">
        <v>4</v>
      </c>
      <c r="L18" s="193">
        <f>E18</f>
        <v>77500</v>
      </c>
      <c r="M18" s="194"/>
    </row>
    <row r="19" spans="1:23">
      <c r="A19" s="13" t="s">
        <v>17</v>
      </c>
      <c r="B19" s="189"/>
      <c r="C19" s="173"/>
      <c r="D19" s="184"/>
      <c r="E19" s="14">
        <f>640*310</f>
        <v>198400</v>
      </c>
      <c r="K19" s="15" t="s">
        <v>2</v>
      </c>
      <c r="L19" s="191">
        <f>E19</f>
        <v>198400</v>
      </c>
      <c r="M19" s="192"/>
    </row>
    <row r="20" spans="1:23">
      <c r="A20" s="16" t="s">
        <v>7</v>
      </c>
      <c r="B20" s="190"/>
      <c r="C20" s="185"/>
      <c r="D20" s="184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9" t="s">
        <v>45</v>
      </c>
      <c r="B22" s="180"/>
      <c r="C22" s="180"/>
      <c r="D22" s="180"/>
      <c r="E22" s="181"/>
      <c r="O22" s="2" t="s">
        <v>37</v>
      </c>
      <c r="P22" s="173">
        <f>L1</f>
        <v>72</v>
      </c>
      <c r="Q22" s="174"/>
      <c r="W22" s="1"/>
    </row>
    <row r="23" spans="1:23">
      <c r="A23" s="2" t="s">
        <v>35</v>
      </c>
      <c r="B23" s="178" t="s">
        <v>36</v>
      </c>
      <c r="C23" s="2">
        <v>450</v>
      </c>
      <c r="D23" s="2">
        <f>L1+5</f>
        <v>77</v>
      </c>
      <c r="E23" s="3">
        <f>C23*D23</f>
        <v>34650</v>
      </c>
      <c r="G23" s="143">
        <f>(G2+2.5)*C23</f>
        <v>17775</v>
      </c>
      <c r="H23" s="143">
        <f>(H2+2.5)*C23</f>
        <v>16875</v>
      </c>
      <c r="O23" s="2" t="s">
        <v>38</v>
      </c>
      <c r="P23" s="173">
        <v>1</v>
      </c>
      <c r="Q23" s="174"/>
      <c r="W23" s="1"/>
    </row>
    <row r="24" spans="1:23">
      <c r="A24" s="2" t="s">
        <v>172</v>
      </c>
      <c r="B24" s="178"/>
      <c r="C24" s="21">
        <v>12000</v>
      </c>
      <c r="D24" s="2">
        <v>9</v>
      </c>
      <c r="E24" s="3">
        <f>C24*D24</f>
        <v>108000</v>
      </c>
      <c r="G24" s="143">
        <f>C24*5</f>
        <v>60000</v>
      </c>
      <c r="H24" s="143">
        <f>C24*4</f>
        <v>48000</v>
      </c>
      <c r="O24" s="2" t="s">
        <v>39</v>
      </c>
      <c r="P24" s="173">
        <v>9</v>
      </c>
      <c r="Q24" s="174"/>
      <c r="W24" s="1"/>
    </row>
    <row r="25" spans="1:23">
      <c r="A25" s="2" t="s">
        <v>40</v>
      </c>
      <c r="B25" s="178"/>
      <c r="C25" s="21">
        <v>18500</v>
      </c>
      <c r="D25" s="2">
        <v>1</v>
      </c>
      <c r="E25" s="3">
        <f>C25*D25</f>
        <v>18500</v>
      </c>
      <c r="G25" s="143">
        <f t="shared" ref="G25:H38" si="1">$E25/2</f>
        <v>9250</v>
      </c>
      <c r="H25" s="143">
        <f t="shared" si="1"/>
        <v>9250</v>
      </c>
      <c r="O25" s="15" t="s">
        <v>4</v>
      </c>
      <c r="P25" s="199"/>
      <c r="Q25" s="199"/>
      <c r="W25" s="1"/>
    </row>
    <row r="26" spans="1:23">
      <c r="A26" s="2" t="s">
        <v>41</v>
      </c>
      <c r="B26" s="178"/>
      <c r="C26" s="21">
        <v>7500</v>
      </c>
      <c r="D26" s="2">
        <v>1</v>
      </c>
      <c r="E26" s="3">
        <f>C26*D26</f>
        <v>7500</v>
      </c>
      <c r="G26" s="143">
        <f t="shared" si="1"/>
        <v>3750</v>
      </c>
      <c r="H26" s="143">
        <f t="shared" si="1"/>
        <v>3750</v>
      </c>
      <c r="O26" s="15" t="s">
        <v>2</v>
      </c>
      <c r="P26" s="197"/>
      <c r="Q26" s="198"/>
      <c r="W26" s="1"/>
    </row>
    <row r="27" spans="1:23">
      <c r="A27" s="2" t="s">
        <v>42</v>
      </c>
      <c r="B27" s="108" t="s">
        <v>3</v>
      </c>
      <c r="C27" s="2"/>
      <c r="D27" s="2">
        <v>1</v>
      </c>
      <c r="E27" s="74">
        <v>20000</v>
      </c>
      <c r="G27" s="143">
        <f t="shared" si="1"/>
        <v>10000</v>
      </c>
      <c r="H27" s="143">
        <f t="shared" si="1"/>
        <v>10000</v>
      </c>
      <c r="W27" s="1"/>
    </row>
    <row r="28" spans="1:23">
      <c r="A28" s="2" t="s">
        <v>43</v>
      </c>
      <c r="B28" s="178" t="s">
        <v>36</v>
      </c>
      <c r="C28" s="21">
        <v>22500</v>
      </c>
      <c r="D28" s="2">
        <v>1</v>
      </c>
      <c r="E28" s="3">
        <f t="shared" ref="E28:E36" si="2">C28*D28</f>
        <v>22500</v>
      </c>
      <c r="F28" s="45" t="s">
        <v>79</v>
      </c>
      <c r="G28" s="143">
        <f>E28</f>
        <v>22500</v>
      </c>
      <c r="H28" s="143">
        <v>0</v>
      </c>
      <c r="I28" s="45"/>
      <c r="J28" s="45"/>
    </row>
    <row r="29" spans="1:23">
      <c r="A29" s="2" t="s">
        <v>170</v>
      </c>
      <c r="B29" s="178"/>
      <c r="C29" s="21">
        <v>5500</v>
      </c>
      <c r="D29" s="2">
        <v>1</v>
      </c>
      <c r="E29" s="3">
        <f t="shared" si="2"/>
        <v>5500</v>
      </c>
      <c r="F29" s="45" t="s">
        <v>79</v>
      </c>
      <c r="G29" s="143">
        <f>E29</f>
        <v>5500</v>
      </c>
      <c r="H29" s="143">
        <v>0</v>
      </c>
      <c r="I29" s="45"/>
      <c r="J29" s="45"/>
      <c r="N29" s="1"/>
    </row>
    <row r="30" spans="1:23">
      <c r="A30" s="2" t="s">
        <v>44</v>
      </c>
      <c r="B30" s="178"/>
      <c r="C30" s="21">
        <v>1850</v>
      </c>
      <c r="D30" s="2">
        <v>1</v>
      </c>
      <c r="E30" s="3">
        <f t="shared" si="2"/>
        <v>1850</v>
      </c>
      <c r="F30" s="45" t="s">
        <v>80</v>
      </c>
      <c r="G30" s="143">
        <v>0</v>
      </c>
      <c r="H30" s="143">
        <f>E30</f>
        <v>1850</v>
      </c>
      <c r="I30" s="45"/>
      <c r="J30" s="45"/>
      <c r="N30" s="1"/>
    </row>
    <row r="31" spans="1:23">
      <c r="A31" s="2" t="s">
        <v>173</v>
      </c>
      <c r="B31" s="178"/>
      <c r="C31" s="21">
        <v>1850</v>
      </c>
      <c r="D31" s="2">
        <v>2</v>
      </c>
      <c r="E31" s="3">
        <f>C31*D31</f>
        <v>3700</v>
      </c>
      <c r="G31" s="143">
        <f t="shared" si="1"/>
        <v>1850</v>
      </c>
      <c r="H31" s="143">
        <f t="shared" si="1"/>
        <v>1850</v>
      </c>
      <c r="K31" s="1"/>
      <c r="M31" s="1"/>
      <c r="N31" s="1"/>
    </row>
    <row r="32" spans="1:23">
      <c r="A32" s="2" t="s">
        <v>175</v>
      </c>
      <c r="B32" s="178"/>
      <c r="C32" s="21">
        <v>1850</v>
      </c>
      <c r="D32" s="2">
        <v>2</v>
      </c>
      <c r="E32" s="3">
        <f>C32*D32</f>
        <v>3700</v>
      </c>
      <c r="G32" s="143">
        <f t="shared" si="1"/>
        <v>1850</v>
      </c>
      <c r="H32" s="143">
        <f t="shared" si="1"/>
        <v>1850</v>
      </c>
      <c r="K32" s="1"/>
      <c r="N32" s="1"/>
    </row>
    <row r="33" spans="1:14">
      <c r="A33" s="2" t="s">
        <v>174</v>
      </c>
      <c r="B33" s="178"/>
      <c r="C33" s="21">
        <v>2000</v>
      </c>
      <c r="D33" s="2">
        <v>2</v>
      </c>
      <c r="E33" s="3">
        <f>C33*D33</f>
        <v>4000</v>
      </c>
      <c r="G33" s="143">
        <f t="shared" si="1"/>
        <v>2000</v>
      </c>
      <c r="H33" s="143">
        <f t="shared" si="1"/>
        <v>2000</v>
      </c>
      <c r="N33" s="1"/>
    </row>
    <row r="34" spans="1:14">
      <c r="A34" s="2" t="s">
        <v>171</v>
      </c>
      <c r="B34" s="178"/>
      <c r="C34" s="21">
        <v>2000</v>
      </c>
      <c r="D34" s="2">
        <v>3</v>
      </c>
      <c r="E34" s="74">
        <f>C34*D34</f>
        <v>6000</v>
      </c>
      <c r="G34" s="143">
        <f t="shared" si="1"/>
        <v>3000</v>
      </c>
      <c r="H34" s="143">
        <f t="shared" si="1"/>
        <v>3000</v>
      </c>
      <c r="N34" s="1"/>
    </row>
    <row r="35" spans="1:14">
      <c r="A35" s="2" t="s">
        <v>176</v>
      </c>
      <c r="B35" s="178"/>
      <c r="C35" s="21">
        <v>7500</v>
      </c>
      <c r="D35" s="2">
        <v>2</v>
      </c>
      <c r="E35" s="3">
        <f t="shared" si="2"/>
        <v>15000</v>
      </c>
      <c r="G35" s="143">
        <f t="shared" si="1"/>
        <v>7500</v>
      </c>
      <c r="H35" s="143">
        <f t="shared" si="1"/>
        <v>7500</v>
      </c>
      <c r="N35" s="1"/>
    </row>
    <row r="36" spans="1:14">
      <c r="A36" s="2" t="s">
        <v>177</v>
      </c>
      <c r="B36" s="107" t="s">
        <v>3</v>
      </c>
      <c r="C36" s="21">
        <v>20000</v>
      </c>
      <c r="D36" s="2">
        <v>1</v>
      </c>
      <c r="E36" s="3">
        <f t="shared" si="2"/>
        <v>20000</v>
      </c>
      <c r="G36" s="143">
        <f t="shared" si="1"/>
        <v>10000</v>
      </c>
      <c r="H36" s="143">
        <f t="shared" si="1"/>
        <v>10000</v>
      </c>
      <c r="N36" s="1"/>
    </row>
    <row r="37" spans="1:14">
      <c r="A37" s="11" t="s">
        <v>46</v>
      </c>
      <c r="B37" s="200" t="s">
        <v>36</v>
      </c>
      <c r="C37" s="11">
        <v>500</v>
      </c>
      <c r="D37" s="2">
        <v>53</v>
      </c>
      <c r="E37" s="3">
        <f>D37*C37</f>
        <v>26500</v>
      </c>
      <c r="G37" s="143">
        <f t="shared" si="1"/>
        <v>13250</v>
      </c>
      <c r="H37" s="143">
        <f t="shared" si="1"/>
        <v>13250</v>
      </c>
      <c r="K37" s="1"/>
      <c r="M37" s="1"/>
      <c r="N37" s="1"/>
    </row>
    <row r="38" spans="1:14">
      <c r="A38" s="2" t="s">
        <v>103</v>
      </c>
      <c r="B38" s="200"/>
      <c r="C38" s="2">
        <v>1500</v>
      </c>
      <c r="D38" s="2">
        <v>1</v>
      </c>
      <c r="E38" s="3">
        <f>D38*C38</f>
        <v>1500</v>
      </c>
      <c r="G38" s="143">
        <f t="shared" si="1"/>
        <v>750</v>
      </c>
      <c r="H38" s="143">
        <f t="shared" si="1"/>
        <v>750</v>
      </c>
      <c r="K38" s="1"/>
    </row>
    <row r="39" spans="1:14">
      <c r="A39" s="59" t="s">
        <v>102</v>
      </c>
      <c r="B39" s="201"/>
      <c r="C39" s="2">
        <v>300</v>
      </c>
      <c r="D39" s="2">
        <v>1</v>
      </c>
      <c r="E39" s="3">
        <f>D39*C39</f>
        <v>300</v>
      </c>
      <c r="G39" s="143">
        <f>$E39/2</f>
        <v>150</v>
      </c>
      <c r="H39" s="143">
        <f>$E39/2</f>
        <v>150</v>
      </c>
      <c r="K39" s="15" t="s">
        <v>4</v>
      </c>
      <c r="L39" s="142">
        <f>$L$2</f>
        <v>37</v>
      </c>
      <c r="M39" s="44">
        <f>E40/2</f>
        <v>149600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299200</v>
      </c>
      <c r="G40" s="144">
        <f>SUM(G23:G39)</f>
        <v>169125</v>
      </c>
      <c r="H40" s="144">
        <f>SUM(H23:H39)</f>
        <v>130075</v>
      </c>
      <c r="K40" s="15" t="s">
        <v>2</v>
      </c>
      <c r="L40" s="142">
        <f>$L$3</f>
        <v>35</v>
      </c>
      <c r="M40" s="44">
        <f>E40/2</f>
        <v>149600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5" t="s">
        <v>8</v>
      </c>
      <c r="B42" s="176"/>
      <c r="C42" s="176"/>
      <c r="D42" s="176"/>
      <c r="E42" s="177"/>
    </row>
    <row r="43" spans="1:14">
      <c r="A43" s="24" t="s">
        <v>9</v>
      </c>
      <c r="B43" s="195" t="s">
        <v>3</v>
      </c>
      <c r="C43" s="11"/>
      <c r="D43" s="11"/>
      <c r="E43" s="14">
        <v>50000</v>
      </c>
    </row>
    <row r="44" spans="1:14">
      <c r="A44" s="19" t="s">
        <v>14</v>
      </c>
      <c r="B44" s="195"/>
      <c r="C44" s="2"/>
      <c r="D44" s="2"/>
      <c r="E44" s="3">
        <v>27000</v>
      </c>
    </row>
    <row r="45" spans="1:14">
      <c r="A45" s="19" t="s">
        <v>10</v>
      </c>
      <c r="B45" s="195"/>
      <c r="C45" s="2"/>
      <c r="D45" s="2"/>
      <c r="E45" s="3">
        <v>240000</v>
      </c>
    </row>
    <row r="46" spans="1:14">
      <c r="A46" s="19" t="s">
        <v>19</v>
      </c>
      <c r="B46" s="195"/>
      <c r="C46" s="2"/>
      <c r="D46" s="2"/>
      <c r="E46" s="3">
        <v>120000</v>
      </c>
    </row>
    <row r="47" spans="1:14">
      <c r="A47" s="23" t="s">
        <v>11</v>
      </c>
      <c r="B47" s="195"/>
      <c r="C47" s="2"/>
      <c r="D47" s="2"/>
      <c r="E47" s="3">
        <v>169900</v>
      </c>
    </row>
    <row r="48" spans="1:14">
      <c r="A48" s="23" t="s">
        <v>12</v>
      </c>
      <c r="B48" s="195"/>
      <c r="C48" s="2"/>
      <c r="D48" s="2"/>
      <c r="E48" s="3">
        <v>220000</v>
      </c>
    </row>
    <row r="49" spans="1:13">
      <c r="A49" s="23" t="s">
        <v>25</v>
      </c>
      <c r="B49" s="195"/>
      <c r="C49" s="2"/>
      <c r="D49" s="2"/>
      <c r="E49" s="74">
        <v>123000</v>
      </c>
      <c r="K49" s="15" t="s">
        <v>4</v>
      </c>
      <c r="L49" s="142">
        <f>$L$2</f>
        <v>37</v>
      </c>
      <c r="M49" s="44">
        <f>E50/2</f>
        <v>474950</v>
      </c>
    </row>
    <row r="50" spans="1:13">
      <c r="A50" s="16" t="s">
        <v>7</v>
      </c>
      <c r="B50" s="196"/>
      <c r="C50" s="2"/>
      <c r="D50" s="2"/>
      <c r="E50" s="4">
        <f>SUM(E43:E49)</f>
        <v>949900</v>
      </c>
      <c r="G50" s="144">
        <f>E50/2</f>
        <v>474950</v>
      </c>
      <c r="H50" s="144">
        <f>E50/2</f>
        <v>474950</v>
      </c>
      <c r="K50" s="15" t="s">
        <v>2</v>
      </c>
      <c r="L50" s="142">
        <f>$L$3</f>
        <v>35</v>
      </c>
      <c r="M50" s="44">
        <f>E50/2</f>
        <v>474950</v>
      </c>
    </row>
    <row r="51" spans="1:13" ht="15.75" thickBot="1"/>
    <row r="52" spans="1:13" ht="15.75" thickBot="1">
      <c r="A52" s="175" t="s">
        <v>13</v>
      </c>
      <c r="B52" s="176"/>
      <c r="C52" s="176"/>
      <c r="D52" s="176"/>
      <c r="E52" s="177"/>
    </row>
    <row r="53" spans="1:13">
      <c r="A53" s="160" t="s">
        <v>47</v>
      </c>
      <c r="B53" s="161" t="s">
        <v>31</v>
      </c>
      <c r="C53" s="162">
        <v>1200</v>
      </c>
      <c r="D53" s="160">
        <f>L1</f>
        <v>72</v>
      </c>
      <c r="E53" s="162">
        <f>C53*D53</f>
        <v>86400</v>
      </c>
      <c r="G53" s="143">
        <f>$G$2*$C53</f>
        <v>44400</v>
      </c>
      <c r="H53" s="143">
        <f>$H$2*$C53</f>
        <v>42000</v>
      </c>
    </row>
    <row r="54" spans="1:13">
      <c r="A54" s="163" t="s">
        <v>127</v>
      </c>
      <c r="B54" s="161" t="s">
        <v>31</v>
      </c>
      <c r="C54" s="162">
        <v>1550</v>
      </c>
      <c r="D54" s="160">
        <f>L1</f>
        <v>72</v>
      </c>
      <c r="E54" s="162">
        <f>C54*D54</f>
        <v>111600</v>
      </c>
      <c r="G54" s="143">
        <f>$G$2*$C54</f>
        <v>57350</v>
      </c>
      <c r="H54" s="143">
        <f>$H$2*$C54</f>
        <v>54250</v>
      </c>
      <c r="K54" s="15" t="s">
        <v>4</v>
      </c>
      <c r="L54" s="5">
        <f>$L$2</f>
        <v>37</v>
      </c>
      <c r="M54" s="44">
        <f>$E$55/2+($L$54*$C$53)+($L$54*$C$54)</f>
        <v>211750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43">
        <f>E55/2</f>
        <v>110000</v>
      </c>
      <c r="H55" s="143">
        <f>E55/2</f>
        <v>110000</v>
      </c>
      <c r="K55" s="15" t="s">
        <v>2</v>
      </c>
      <c r="L55" s="5">
        <f>$L$3</f>
        <v>35</v>
      </c>
      <c r="M55" s="44">
        <f>$E$55/2+($L$55*$C$53)+($L$55*$C$54)</f>
        <v>206250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418000</v>
      </c>
      <c r="G56" s="144">
        <f>SUM(G53:G55)</f>
        <v>211750</v>
      </c>
      <c r="H56" s="144">
        <f>SUM(H53:H55)</f>
        <v>206250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5" t="s">
        <v>48</v>
      </c>
      <c r="B58" s="176"/>
      <c r="C58" s="176"/>
      <c r="D58" s="176"/>
      <c r="E58" s="177"/>
    </row>
    <row r="59" spans="1:13">
      <c r="A59" s="23" t="s">
        <v>22</v>
      </c>
      <c r="B59" s="200" t="s">
        <v>3</v>
      </c>
      <c r="C59" s="131"/>
      <c r="D59" s="131"/>
      <c r="E59" s="3">
        <v>30000</v>
      </c>
      <c r="G59" s="143">
        <f>E59</f>
        <v>30000</v>
      </c>
      <c r="H59" s="143">
        <v>0</v>
      </c>
    </row>
    <row r="60" spans="1:13">
      <c r="A60" s="23" t="s">
        <v>21</v>
      </c>
      <c r="B60" s="200"/>
      <c r="C60" s="130"/>
      <c r="D60" s="130"/>
      <c r="E60" s="3">
        <v>190000</v>
      </c>
      <c r="G60" s="143">
        <f>E60</f>
        <v>190000</v>
      </c>
      <c r="H60" s="143">
        <v>0</v>
      </c>
    </row>
    <row r="61" spans="1:13">
      <c r="A61" s="23" t="s">
        <v>24</v>
      </c>
      <c r="B61" s="200"/>
      <c r="C61" s="130"/>
      <c r="D61" s="130"/>
      <c r="E61" s="74">
        <v>149970</v>
      </c>
      <c r="G61" s="143">
        <v>0</v>
      </c>
      <c r="H61" s="143">
        <f>E61</f>
        <v>149970</v>
      </c>
    </row>
    <row r="62" spans="1:13">
      <c r="A62" s="160" t="s">
        <v>205</v>
      </c>
      <c r="B62" s="200"/>
      <c r="C62" s="11"/>
      <c r="D62" s="11"/>
      <c r="E62" s="126">
        <v>53970</v>
      </c>
      <c r="G62" s="143"/>
      <c r="H62" s="143"/>
      <c r="K62" s="15" t="s">
        <v>4</v>
      </c>
      <c r="L62" s="5">
        <f>$L$2</f>
        <v>37</v>
      </c>
      <c r="M62" s="44">
        <f>SUM(E62:E64)/2</f>
        <v>144535</v>
      </c>
    </row>
    <row r="63" spans="1:13">
      <c r="A63" s="160" t="s">
        <v>206</v>
      </c>
      <c r="B63" s="200"/>
      <c r="C63" s="11"/>
      <c r="D63" s="11"/>
      <c r="E63" s="126"/>
      <c r="G63" s="143"/>
      <c r="H63" s="143"/>
      <c r="K63" s="15" t="s">
        <v>2</v>
      </c>
      <c r="L63" s="5">
        <f>$L$3</f>
        <v>35</v>
      </c>
      <c r="M63" s="44">
        <f>SUM(E62:E64)/2</f>
        <v>144535</v>
      </c>
    </row>
    <row r="64" spans="1:13">
      <c r="A64" s="86" t="s">
        <v>49</v>
      </c>
      <c r="B64" s="200"/>
      <c r="C64" s="2"/>
      <c r="D64" s="2"/>
      <c r="E64" s="74">
        <v>235100</v>
      </c>
      <c r="G64" s="143">
        <f>$E$64/2</f>
        <v>117550</v>
      </c>
      <c r="H64" s="143">
        <f>$E$64/2</f>
        <v>117550</v>
      </c>
    </row>
    <row r="65" spans="1:13">
      <c r="A65" s="129" t="s">
        <v>208</v>
      </c>
      <c r="B65" s="200"/>
      <c r="C65" s="2"/>
      <c r="D65" s="2"/>
      <c r="E65" s="74">
        <v>25000</v>
      </c>
      <c r="G65" s="143"/>
      <c r="H65" s="143"/>
      <c r="K65" s="18"/>
      <c r="L65" s="60"/>
      <c r="M65" s="61"/>
    </row>
    <row r="66" spans="1:13">
      <c r="A66" s="129" t="s">
        <v>125</v>
      </c>
      <c r="B66" s="200"/>
      <c r="C66" s="2"/>
      <c r="D66" s="2"/>
      <c r="E66" s="74">
        <v>24900</v>
      </c>
      <c r="G66" s="143">
        <f>E66</f>
        <v>24900</v>
      </c>
      <c r="H66" s="143">
        <v>0</v>
      </c>
      <c r="K66" s="18"/>
      <c r="L66" s="60"/>
      <c r="M66" s="61"/>
    </row>
    <row r="67" spans="1:13">
      <c r="A67" s="129" t="s">
        <v>182</v>
      </c>
      <c r="B67" s="200"/>
      <c r="C67" s="2"/>
      <c r="D67" s="2"/>
      <c r="E67" s="74">
        <v>41910</v>
      </c>
      <c r="G67" s="143">
        <f>$E$67/2</f>
        <v>20955</v>
      </c>
      <c r="H67" s="143">
        <f>$E$67/2</f>
        <v>20955</v>
      </c>
      <c r="K67" s="18"/>
      <c r="L67" s="60"/>
      <c r="M67" s="61"/>
    </row>
    <row r="68" spans="1:13">
      <c r="A68" s="129" t="s">
        <v>105</v>
      </c>
      <c r="B68" s="200"/>
      <c r="C68" s="2"/>
      <c r="D68" s="2"/>
      <c r="E68" s="22"/>
      <c r="G68" s="143"/>
      <c r="H68" s="143"/>
      <c r="K68" s="18"/>
      <c r="L68" s="60"/>
      <c r="M68" s="61"/>
    </row>
    <row r="69" spans="1:13">
      <c r="A69" s="129" t="s">
        <v>112</v>
      </c>
      <c r="B69" s="200"/>
      <c r="C69" s="2"/>
      <c r="D69" s="2"/>
      <c r="E69" s="22"/>
      <c r="G69" s="143"/>
      <c r="H69" s="143"/>
      <c r="K69" s="18"/>
      <c r="L69" s="60"/>
      <c r="M69" s="61"/>
    </row>
    <row r="70" spans="1:13">
      <c r="A70" s="9" t="s">
        <v>126</v>
      </c>
      <c r="B70" s="200"/>
      <c r="C70" s="2"/>
      <c r="D70" s="2"/>
      <c r="E70" s="74">
        <v>80000</v>
      </c>
      <c r="G70" s="143">
        <f>$E$70/2</f>
        <v>40000</v>
      </c>
      <c r="H70" s="143">
        <f>$E$70/2</f>
        <v>40000</v>
      </c>
      <c r="K70" s="18"/>
      <c r="L70" s="60"/>
      <c r="M70" s="61"/>
    </row>
    <row r="71" spans="1:13">
      <c r="A71" s="9" t="s">
        <v>128</v>
      </c>
      <c r="B71" s="200"/>
      <c r="C71" s="2">
        <v>59</v>
      </c>
      <c r="D71" s="2">
        <v>50</v>
      </c>
      <c r="E71" s="74">
        <f>C71*D71</f>
        <v>2950</v>
      </c>
      <c r="G71" s="143">
        <f>$E71/2</f>
        <v>1475</v>
      </c>
      <c r="H71" s="143">
        <f>$E71/2</f>
        <v>1475</v>
      </c>
      <c r="K71" s="18"/>
      <c r="L71" s="60"/>
      <c r="M71" s="61"/>
    </row>
    <row r="72" spans="1:13">
      <c r="A72" s="9" t="s">
        <v>168</v>
      </c>
      <c r="B72" s="200"/>
      <c r="C72" s="2"/>
      <c r="D72" s="2"/>
      <c r="E72" s="21">
        <v>6925</v>
      </c>
      <c r="G72" s="143">
        <f>$E72/2</f>
        <v>3462.5</v>
      </c>
      <c r="H72" s="143">
        <f>$E72/2</f>
        <v>3462.5</v>
      </c>
    </row>
    <row r="73" spans="1:13">
      <c r="A73" s="9" t="s">
        <v>169</v>
      </c>
      <c r="B73" s="200"/>
      <c r="C73" s="2"/>
      <c r="D73" s="2"/>
      <c r="E73" s="74">
        <f>23198+4890</f>
        <v>28088</v>
      </c>
      <c r="G73" s="143">
        <f>E73</f>
        <v>28088</v>
      </c>
      <c r="H73" s="143">
        <v>0</v>
      </c>
    </row>
    <row r="74" spans="1:13">
      <c r="A74" s="9" t="s">
        <v>179</v>
      </c>
      <c r="B74" s="200"/>
      <c r="C74" s="2">
        <v>450</v>
      </c>
      <c r="D74" s="2">
        <v>6</v>
      </c>
      <c r="E74" s="74">
        <f>C74*D74</f>
        <v>2700</v>
      </c>
      <c r="G74" s="143">
        <f>$E74/2</f>
        <v>1350</v>
      </c>
      <c r="H74" s="143">
        <f>$E74/2</f>
        <v>1350</v>
      </c>
    </row>
    <row r="75" spans="1:13">
      <c r="A75" s="9" t="s">
        <v>192</v>
      </c>
      <c r="B75" s="200"/>
      <c r="C75" s="2">
        <v>2392</v>
      </c>
      <c r="D75" s="2">
        <v>3</v>
      </c>
      <c r="E75" s="74">
        <f>C75*D75</f>
        <v>7176</v>
      </c>
      <c r="G75" s="143">
        <f>$E75/2</f>
        <v>3588</v>
      </c>
      <c r="H75" s="143">
        <f>$E75/2</f>
        <v>3588</v>
      </c>
      <c r="M75" s="113"/>
    </row>
    <row r="76" spans="1:13">
      <c r="A76" s="9" t="s">
        <v>178</v>
      </c>
      <c r="B76" s="200"/>
      <c r="C76" s="2"/>
      <c r="D76" s="2"/>
      <c r="E76" s="74">
        <f>2405+(278*3)</f>
        <v>3239</v>
      </c>
      <c r="G76" s="143">
        <f>E76</f>
        <v>3239</v>
      </c>
      <c r="H76" s="143">
        <v>0</v>
      </c>
    </row>
    <row r="77" spans="1:13">
      <c r="A77" s="9" t="s">
        <v>180</v>
      </c>
      <c r="B77" s="201"/>
      <c r="C77" s="2"/>
      <c r="D77" s="2"/>
      <c r="E77" s="21">
        <f>950+490</f>
        <v>1440</v>
      </c>
      <c r="G77" s="143">
        <f>$E$77/2</f>
        <v>720</v>
      </c>
      <c r="H77" s="143">
        <f>$E$77/2</f>
        <v>720</v>
      </c>
    </row>
    <row r="78" spans="1:13" ht="15.75" thickBot="1">
      <c r="A78" s="6"/>
      <c r="B78" s="6"/>
      <c r="C78" s="6"/>
      <c r="D78" s="6"/>
      <c r="E78" s="7"/>
      <c r="G78" s="144">
        <f>SUM(G59:G77)</f>
        <v>465327.5</v>
      </c>
      <c r="H78" s="144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3871466.527777778</v>
      </c>
      <c r="G79" s="144">
        <f>G14+G18+G40+G50+G56+G78</f>
        <v>2384641.875</v>
      </c>
      <c r="H79" s="144">
        <f>H56+H50+H40+H18+H14+H78</f>
        <v>2301722.652777778</v>
      </c>
      <c r="K79" s="205" t="s">
        <v>81</v>
      </c>
      <c r="L79" s="206"/>
      <c r="M79" s="207"/>
    </row>
    <row r="80" spans="1:13">
      <c r="K80" s="46" t="s">
        <v>4</v>
      </c>
      <c r="L80" s="193">
        <f>M2+L18+M39+M49+M54+M62</f>
        <v>2053474.6180555555</v>
      </c>
      <c r="M80" s="202"/>
    </row>
    <row r="81" spans="11:13" ht="15.75" thickBot="1">
      <c r="K81" s="47" t="s">
        <v>2</v>
      </c>
      <c r="L81" s="203">
        <f>M3+L19+M40+M50+M55+M63</f>
        <v>2131376.5625</v>
      </c>
      <c r="M81" s="204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topLeftCell="A24" zoomScaleNormal="100" workbookViewId="0">
      <selection activeCell="M42" sqref="M42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5" t="s">
        <v>27</v>
      </c>
      <c r="B1" s="185" t="s">
        <v>189</v>
      </c>
      <c r="C1" s="211"/>
      <c r="D1" s="211"/>
      <c r="E1" s="211"/>
      <c r="F1" s="211"/>
      <c r="G1" s="211"/>
      <c r="H1" s="212"/>
    </row>
    <row r="2" spans="1:8">
      <c r="A2" s="215"/>
      <c r="B2" s="199" t="s">
        <v>26</v>
      </c>
      <c r="C2" s="199"/>
      <c r="D2" s="216" t="s">
        <v>50</v>
      </c>
      <c r="E2" s="199" t="s">
        <v>190</v>
      </c>
      <c r="F2" s="199"/>
      <c r="G2" s="218" t="s">
        <v>50</v>
      </c>
      <c r="H2" s="213" t="s">
        <v>0</v>
      </c>
    </row>
    <row r="3" spans="1:8">
      <c r="A3" s="215"/>
      <c r="B3" s="142" t="s">
        <v>18</v>
      </c>
      <c r="C3" s="142" t="s">
        <v>17</v>
      </c>
      <c r="D3" s="217"/>
      <c r="E3" s="142" t="s">
        <v>18</v>
      </c>
      <c r="F3" s="142" t="s">
        <v>17</v>
      </c>
      <c r="G3" s="219"/>
      <c r="H3" s="213"/>
    </row>
    <row r="4" spans="1:8">
      <c r="A4" s="209" t="s">
        <v>196</v>
      </c>
      <c r="B4" s="209"/>
      <c r="C4" s="209"/>
      <c r="D4" s="209"/>
      <c r="E4" s="209"/>
      <c r="F4" s="209"/>
      <c r="G4" s="209"/>
      <c r="H4" s="209"/>
    </row>
    <row r="5" spans="1:8">
      <c r="A5" s="129" t="s">
        <v>46</v>
      </c>
      <c r="B5" s="135">
        <v>14150</v>
      </c>
      <c r="C5" s="135">
        <v>14150</v>
      </c>
      <c r="D5" s="135">
        <f t="shared" ref="D5:D19" si="0">SUM(B5:C5)</f>
        <v>28300</v>
      </c>
      <c r="E5" s="173" t="s">
        <v>69</v>
      </c>
      <c r="F5" s="214"/>
      <c r="G5" s="174"/>
      <c r="H5" s="136">
        <f t="shared" ref="H5:H20" si="1">D5</f>
        <v>28300</v>
      </c>
    </row>
    <row r="6" spans="1:8">
      <c r="A6" s="9" t="s">
        <v>181</v>
      </c>
      <c r="B6" s="135">
        <f>235100/2</f>
        <v>117550</v>
      </c>
      <c r="C6" s="135">
        <f>235100/2</f>
        <v>117550</v>
      </c>
      <c r="D6" s="135">
        <f t="shared" si="0"/>
        <v>235100</v>
      </c>
      <c r="E6" s="173" t="s">
        <v>69</v>
      </c>
      <c r="F6" s="214"/>
      <c r="G6" s="174"/>
      <c r="H6" s="136">
        <f t="shared" si="1"/>
        <v>235100</v>
      </c>
    </row>
    <row r="7" spans="1:8">
      <c r="A7" s="9" t="s">
        <v>124</v>
      </c>
      <c r="B7" s="133">
        <f>20193/2</f>
        <v>10096.5</v>
      </c>
      <c r="C7" s="133">
        <f>20193/2</f>
        <v>10096.5</v>
      </c>
      <c r="D7" s="133">
        <f t="shared" si="0"/>
        <v>20193</v>
      </c>
      <c r="E7" s="173" t="s">
        <v>69</v>
      </c>
      <c r="F7" s="214"/>
      <c r="G7" s="174"/>
      <c r="H7" s="136">
        <f t="shared" si="1"/>
        <v>20193</v>
      </c>
    </row>
    <row r="8" spans="1:8">
      <c r="A8" s="9" t="s">
        <v>182</v>
      </c>
      <c r="B8" s="133">
        <f>41910/2</f>
        <v>20955</v>
      </c>
      <c r="C8" s="133">
        <f>41910/2</f>
        <v>20955</v>
      </c>
      <c r="D8" s="138">
        <f t="shared" si="0"/>
        <v>41910</v>
      </c>
      <c r="E8" s="173" t="s">
        <v>69</v>
      </c>
      <c r="F8" s="214"/>
      <c r="G8" s="174"/>
      <c r="H8" s="136">
        <f t="shared" si="1"/>
        <v>41910</v>
      </c>
    </row>
    <row r="9" spans="1:8">
      <c r="A9" s="116" t="s">
        <v>168</v>
      </c>
      <c r="B9" s="133">
        <f>6925/2</f>
        <v>3462.5</v>
      </c>
      <c r="C9" s="133">
        <f>6925/2</f>
        <v>3462.5</v>
      </c>
      <c r="D9" s="138">
        <f t="shared" si="0"/>
        <v>6925</v>
      </c>
      <c r="E9" s="173" t="s">
        <v>69</v>
      </c>
      <c r="F9" s="214"/>
      <c r="G9" s="174"/>
      <c r="H9" s="136">
        <f t="shared" si="1"/>
        <v>6925</v>
      </c>
    </row>
    <row r="10" spans="1:8">
      <c r="A10" s="9" t="s">
        <v>185</v>
      </c>
      <c r="B10" s="133">
        <v>720</v>
      </c>
      <c r="C10" s="133">
        <v>720</v>
      </c>
      <c r="D10" s="138">
        <f t="shared" si="0"/>
        <v>1440</v>
      </c>
      <c r="E10" s="173" t="s">
        <v>69</v>
      </c>
      <c r="F10" s="214"/>
      <c r="G10" s="174"/>
      <c r="H10" s="136">
        <f t="shared" si="1"/>
        <v>1440</v>
      </c>
    </row>
    <row r="11" spans="1:8" ht="30">
      <c r="A11" s="121" t="s">
        <v>193</v>
      </c>
      <c r="B11" s="133">
        <v>2500</v>
      </c>
      <c r="C11" s="134">
        <v>0</v>
      </c>
      <c r="D11" s="138">
        <f t="shared" si="0"/>
        <v>2500</v>
      </c>
      <c r="E11" s="173" t="s">
        <v>69</v>
      </c>
      <c r="F11" s="214"/>
      <c r="G11" s="174"/>
      <c r="H11" s="136">
        <f t="shared" si="1"/>
        <v>2500</v>
      </c>
    </row>
    <row r="12" spans="1:8">
      <c r="A12" s="9" t="s">
        <v>194</v>
      </c>
      <c r="B12" s="133">
        <v>1500</v>
      </c>
      <c r="C12" s="134">
        <v>0</v>
      </c>
      <c r="D12" s="138">
        <f t="shared" si="0"/>
        <v>1500</v>
      </c>
      <c r="E12" s="173" t="s">
        <v>69</v>
      </c>
      <c r="F12" s="214"/>
      <c r="G12" s="174"/>
      <c r="H12" s="136">
        <f t="shared" si="1"/>
        <v>1500</v>
      </c>
    </row>
    <row r="13" spans="1:8">
      <c r="A13" s="9" t="s">
        <v>191</v>
      </c>
      <c r="B13" s="133">
        <v>14995</v>
      </c>
      <c r="C13" s="134">
        <v>0</v>
      </c>
      <c r="D13" s="138">
        <f t="shared" si="0"/>
        <v>14995</v>
      </c>
      <c r="E13" s="223" t="s">
        <v>69</v>
      </c>
      <c r="F13" s="224"/>
      <c r="G13" s="225"/>
      <c r="H13" s="136">
        <f t="shared" si="1"/>
        <v>14995</v>
      </c>
    </row>
    <row r="14" spans="1:8">
      <c r="A14" s="9" t="s">
        <v>183</v>
      </c>
      <c r="B14" s="133">
        <v>24900</v>
      </c>
      <c r="C14" s="139">
        <v>0</v>
      </c>
      <c r="D14" s="138">
        <f t="shared" si="0"/>
        <v>24900</v>
      </c>
      <c r="E14" s="173" t="s">
        <v>69</v>
      </c>
      <c r="F14" s="214"/>
      <c r="G14" s="174"/>
      <c r="H14" s="136">
        <f t="shared" si="1"/>
        <v>24900</v>
      </c>
    </row>
    <row r="15" spans="1:8">
      <c r="A15" s="9" t="s">
        <v>184</v>
      </c>
      <c r="B15" s="133">
        <v>28088</v>
      </c>
      <c r="C15" s="139">
        <v>0</v>
      </c>
      <c r="D15" s="138">
        <f t="shared" si="0"/>
        <v>28088</v>
      </c>
      <c r="E15" s="173" t="s">
        <v>69</v>
      </c>
      <c r="F15" s="214"/>
      <c r="G15" s="174"/>
      <c r="H15" s="136">
        <f t="shared" si="1"/>
        <v>28088</v>
      </c>
    </row>
    <row r="16" spans="1:8">
      <c r="A16" s="9" t="s">
        <v>178</v>
      </c>
      <c r="B16" s="133">
        <v>3239</v>
      </c>
      <c r="C16" s="139">
        <v>0</v>
      </c>
      <c r="D16" s="138">
        <f t="shared" si="0"/>
        <v>3239</v>
      </c>
      <c r="E16" s="173" t="s">
        <v>69</v>
      </c>
      <c r="F16" s="214"/>
      <c r="G16" s="174"/>
      <c r="H16" s="136">
        <f t="shared" si="1"/>
        <v>3239</v>
      </c>
    </row>
    <row r="17" spans="1:8">
      <c r="A17" s="9" t="s">
        <v>186</v>
      </c>
      <c r="B17" s="133">
        <v>2700</v>
      </c>
      <c r="C17" s="139">
        <v>0</v>
      </c>
      <c r="D17" s="138">
        <f t="shared" si="0"/>
        <v>2700</v>
      </c>
      <c r="E17" s="173" t="s">
        <v>69</v>
      </c>
      <c r="F17" s="214"/>
      <c r="G17" s="174"/>
      <c r="H17" s="136">
        <f t="shared" si="1"/>
        <v>2700</v>
      </c>
    </row>
    <row r="18" spans="1:8">
      <c r="A18" s="86" t="s">
        <v>187</v>
      </c>
      <c r="B18" s="133">
        <f>7176/2</f>
        <v>3588</v>
      </c>
      <c r="C18" s="133">
        <f>7176/2</f>
        <v>3588</v>
      </c>
      <c r="D18" s="138">
        <f t="shared" si="0"/>
        <v>7176</v>
      </c>
      <c r="E18" s="173" t="s">
        <v>69</v>
      </c>
      <c r="F18" s="214"/>
      <c r="G18" s="174"/>
      <c r="H18" s="136">
        <f t="shared" si="1"/>
        <v>7176</v>
      </c>
    </row>
    <row r="19" spans="1:8">
      <c r="A19" s="9" t="s">
        <v>128</v>
      </c>
      <c r="B19" s="133">
        <v>1475</v>
      </c>
      <c r="C19" s="133">
        <v>1475</v>
      </c>
      <c r="D19" s="133">
        <f t="shared" si="0"/>
        <v>2950</v>
      </c>
      <c r="E19" s="226" t="s">
        <v>69</v>
      </c>
      <c r="F19" s="226"/>
      <c r="G19" s="226"/>
      <c r="H19" s="136">
        <f t="shared" si="1"/>
        <v>2950</v>
      </c>
    </row>
    <row r="20" spans="1:8">
      <c r="A20" s="9" t="s">
        <v>188</v>
      </c>
      <c r="B20" s="134">
        <v>0</v>
      </c>
      <c r="C20" s="133">
        <v>149970</v>
      </c>
      <c r="D20" s="133">
        <f>C20</f>
        <v>149970</v>
      </c>
      <c r="E20" s="226" t="s">
        <v>69</v>
      </c>
      <c r="F20" s="226"/>
      <c r="G20" s="226"/>
      <c r="H20" s="136">
        <f t="shared" si="1"/>
        <v>149970</v>
      </c>
    </row>
    <row r="21" spans="1:8">
      <c r="A21" s="9" t="s">
        <v>211</v>
      </c>
      <c r="B21" s="134">
        <v>0</v>
      </c>
      <c r="C21" s="133">
        <v>31980</v>
      </c>
      <c r="D21" s="133">
        <f>C21</f>
        <v>31980</v>
      </c>
      <c r="E21" s="208" t="s">
        <v>69</v>
      </c>
      <c r="F21" s="208"/>
      <c r="G21" s="208"/>
      <c r="H21" s="136">
        <f>D21</f>
        <v>31980</v>
      </c>
    </row>
    <row r="22" spans="1:8">
      <c r="A22" s="9" t="s">
        <v>217</v>
      </c>
      <c r="B22" s="134">
        <v>0</v>
      </c>
      <c r="C22" s="133">
        <v>38700</v>
      </c>
      <c r="D22" s="133">
        <f t="shared" ref="D22:D24" si="2">C22</f>
        <v>38700</v>
      </c>
      <c r="E22" s="208" t="s">
        <v>69</v>
      </c>
      <c r="F22" s="208"/>
      <c r="G22" s="208"/>
      <c r="H22" s="136">
        <f t="shared" ref="H22:H26" si="3">D22</f>
        <v>38700</v>
      </c>
    </row>
    <row r="23" spans="1:8">
      <c r="A23" s="9" t="s">
        <v>212</v>
      </c>
      <c r="B23" s="134">
        <v>0</v>
      </c>
      <c r="C23" s="133">
        <v>19990</v>
      </c>
      <c r="D23" s="133">
        <f t="shared" si="2"/>
        <v>19990</v>
      </c>
      <c r="E23" s="208" t="s">
        <v>69</v>
      </c>
      <c r="F23" s="208"/>
      <c r="G23" s="208"/>
      <c r="H23" s="136">
        <f t="shared" si="3"/>
        <v>19990</v>
      </c>
    </row>
    <row r="24" spans="1:8" ht="30">
      <c r="A24" s="148" t="s">
        <v>218</v>
      </c>
      <c r="B24" s="147">
        <v>0</v>
      </c>
      <c r="C24" s="146">
        <v>13480</v>
      </c>
      <c r="D24" s="133">
        <f t="shared" si="2"/>
        <v>13480</v>
      </c>
      <c r="E24" s="208" t="s">
        <v>69</v>
      </c>
      <c r="F24" s="208"/>
      <c r="G24" s="208"/>
      <c r="H24" s="136">
        <f t="shared" si="3"/>
        <v>13480</v>
      </c>
    </row>
    <row r="25" spans="1:8">
      <c r="A25" s="152" t="s">
        <v>213</v>
      </c>
      <c r="B25" s="146">
        <v>13500</v>
      </c>
      <c r="C25" s="146">
        <v>13500</v>
      </c>
      <c r="D25" s="146">
        <f t="shared" ref="D25:D32" si="4">SUM(B25:C25)</f>
        <v>27000</v>
      </c>
      <c r="E25" s="208" t="s">
        <v>69</v>
      </c>
      <c r="F25" s="208"/>
      <c r="G25" s="208"/>
      <c r="H25" s="136">
        <f t="shared" si="3"/>
        <v>27000</v>
      </c>
    </row>
    <row r="26" spans="1:8">
      <c r="A26" s="152" t="s">
        <v>223</v>
      </c>
      <c r="B26" s="133">
        <v>1000</v>
      </c>
      <c r="C26" s="147">
        <v>0</v>
      </c>
      <c r="D26" s="133">
        <f t="shared" si="4"/>
        <v>1000</v>
      </c>
      <c r="E26" s="208" t="s">
        <v>69</v>
      </c>
      <c r="F26" s="208"/>
      <c r="G26" s="208"/>
      <c r="H26" s="153">
        <f t="shared" si="3"/>
        <v>1000</v>
      </c>
    </row>
    <row r="27" spans="1:8" ht="30">
      <c r="A27" s="159" t="s">
        <v>222</v>
      </c>
      <c r="B27" s="136">
        <v>2040</v>
      </c>
      <c r="C27" s="134">
        <v>0</v>
      </c>
      <c r="D27" s="136">
        <f t="shared" si="4"/>
        <v>2040</v>
      </c>
      <c r="E27" s="208" t="s">
        <v>69</v>
      </c>
      <c r="F27" s="208"/>
      <c r="G27" s="208"/>
      <c r="H27" s="153">
        <f t="shared" ref="H27:H32" si="5">D27</f>
        <v>2040</v>
      </c>
    </row>
    <row r="28" spans="1:8" ht="30">
      <c r="A28" s="150" t="s">
        <v>232</v>
      </c>
      <c r="B28" s="147">
        <v>0</v>
      </c>
      <c r="C28" s="153">
        <v>51400</v>
      </c>
      <c r="D28" s="158">
        <f t="shared" si="4"/>
        <v>51400</v>
      </c>
      <c r="E28" s="210" t="s">
        <v>69</v>
      </c>
      <c r="F28" s="210"/>
      <c r="G28" s="210"/>
      <c r="H28" s="153">
        <f t="shared" si="5"/>
        <v>51400</v>
      </c>
    </row>
    <row r="29" spans="1:8">
      <c r="A29" s="159" t="s">
        <v>105</v>
      </c>
      <c r="B29" s="136">
        <v>14988</v>
      </c>
      <c r="C29" s="136">
        <v>14988</v>
      </c>
      <c r="D29" s="136">
        <f t="shared" si="4"/>
        <v>29976</v>
      </c>
      <c r="E29" s="208" t="s">
        <v>69</v>
      </c>
      <c r="F29" s="208"/>
      <c r="G29" s="208"/>
      <c r="H29" s="136">
        <f t="shared" si="5"/>
        <v>29976</v>
      </c>
    </row>
    <row r="30" spans="1:8">
      <c r="A30" s="159" t="s">
        <v>233</v>
      </c>
      <c r="B30" s="136">
        <v>1599</v>
      </c>
      <c r="C30" s="136">
        <v>1599</v>
      </c>
      <c r="D30" s="136">
        <f t="shared" si="4"/>
        <v>3198</v>
      </c>
      <c r="E30" s="208" t="s">
        <v>69</v>
      </c>
      <c r="F30" s="208"/>
      <c r="G30" s="208"/>
      <c r="H30" s="136">
        <f t="shared" si="5"/>
        <v>3198</v>
      </c>
    </row>
    <row r="31" spans="1:8" ht="30">
      <c r="A31" s="150" t="s">
        <v>234</v>
      </c>
      <c r="B31" s="136">
        <v>1490</v>
      </c>
      <c r="C31" s="136">
        <v>1490</v>
      </c>
      <c r="D31" s="136">
        <f t="shared" si="4"/>
        <v>2980</v>
      </c>
      <c r="E31" s="210" t="s">
        <v>69</v>
      </c>
      <c r="F31" s="210"/>
      <c r="G31" s="210"/>
      <c r="H31" s="136">
        <f t="shared" si="5"/>
        <v>2980</v>
      </c>
    </row>
    <row r="32" spans="1:8" ht="15.75" thickBot="1">
      <c r="A32" s="170" t="s">
        <v>236</v>
      </c>
      <c r="B32" s="158">
        <v>12000</v>
      </c>
      <c r="C32" s="158">
        <v>0</v>
      </c>
      <c r="D32" s="158">
        <f t="shared" si="4"/>
        <v>12000</v>
      </c>
      <c r="E32" s="210" t="s">
        <v>69</v>
      </c>
      <c r="F32" s="210"/>
      <c r="G32" s="210"/>
      <c r="H32" s="153">
        <f t="shared" si="5"/>
        <v>12000</v>
      </c>
    </row>
    <row r="33" spans="1:9" ht="15.75" thickBot="1">
      <c r="A33" s="118" t="s">
        <v>7</v>
      </c>
      <c r="B33" s="137">
        <f>SUM(B5:B32)</f>
        <v>296536</v>
      </c>
      <c r="C33" s="137">
        <f>SUM(C5:C32)</f>
        <v>509094</v>
      </c>
      <c r="D33" s="137">
        <f>SUM(D5:D32)</f>
        <v>805630</v>
      </c>
      <c r="E33" s="220" t="s">
        <v>69</v>
      </c>
      <c r="F33" s="221"/>
      <c r="G33" s="222"/>
      <c r="H33" s="132">
        <f>SUM(H5:H32)</f>
        <v>805630</v>
      </c>
    </row>
    <row r="34" spans="1:9">
      <c r="A34" s="122"/>
      <c r="B34" s="123"/>
      <c r="C34" s="123"/>
      <c r="D34" s="123"/>
      <c r="E34" s="124"/>
      <c r="F34" s="124"/>
      <c r="G34" s="124"/>
      <c r="H34" s="123"/>
    </row>
    <row r="35" spans="1:9">
      <c r="A35" s="209" t="s">
        <v>197</v>
      </c>
      <c r="B35" s="209"/>
      <c r="C35" s="209"/>
      <c r="D35" s="209"/>
      <c r="E35" s="209"/>
      <c r="F35" s="209"/>
      <c r="G35" s="209"/>
      <c r="H35" s="209"/>
    </row>
    <row r="36" spans="1:9">
      <c r="A36" s="2" t="s">
        <v>195</v>
      </c>
      <c r="B36" s="133">
        <v>15000</v>
      </c>
      <c r="C36" s="134">
        <v>0</v>
      </c>
      <c r="D36" s="133">
        <f t="shared" ref="D36:D45" si="6">SUM(B36:C36)</f>
        <v>15000</v>
      </c>
      <c r="E36" s="111">
        <v>15000</v>
      </c>
      <c r="F36" s="115">
        <v>0</v>
      </c>
      <c r="G36" s="111">
        <f t="shared" ref="G36:G48" si="7">SUM(E36:F36)</f>
        <v>15000</v>
      </c>
      <c r="H36" s="111">
        <f>D36+G36</f>
        <v>30000</v>
      </c>
      <c r="I36" s="125" t="s">
        <v>219</v>
      </c>
    </row>
    <row r="37" spans="1:9">
      <c r="A37" s="2" t="s">
        <v>21</v>
      </c>
      <c r="B37" s="133">
        <v>100000</v>
      </c>
      <c r="C37" s="134">
        <v>0</v>
      </c>
      <c r="D37" s="133">
        <f t="shared" si="6"/>
        <v>100000</v>
      </c>
      <c r="E37" s="111">
        <v>190000</v>
      </c>
      <c r="F37" s="115">
        <v>0</v>
      </c>
      <c r="G37" s="111">
        <f t="shared" si="7"/>
        <v>190000</v>
      </c>
      <c r="H37" s="114">
        <f>D37+G37</f>
        <v>290000</v>
      </c>
      <c r="I37" s="125" t="s">
        <v>220</v>
      </c>
    </row>
    <row r="38" spans="1:9">
      <c r="A38" s="86" t="s">
        <v>198</v>
      </c>
      <c r="B38" s="135">
        <v>100000</v>
      </c>
      <c r="C38" s="135">
        <v>100000</v>
      </c>
      <c r="D38" s="135">
        <f t="shared" si="6"/>
        <v>200000</v>
      </c>
      <c r="E38" s="111">
        <f>TERVEZETT!M2-B38</f>
        <v>895139.6180555555</v>
      </c>
      <c r="F38" s="111">
        <f>TERVEZETT!M3-C38</f>
        <v>857641.5625</v>
      </c>
      <c r="G38" s="114">
        <f t="shared" si="7"/>
        <v>1752781.1805555555</v>
      </c>
      <c r="H38" s="114">
        <f>D38+G38</f>
        <v>1952781.1805555555</v>
      </c>
    </row>
    <row r="39" spans="1:9">
      <c r="A39" s="2" t="s">
        <v>199</v>
      </c>
      <c r="B39" s="115">
        <v>0</v>
      </c>
      <c r="C39" s="115">
        <v>0</v>
      </c>
      <c r="D39" s="115">
        <f t="shared" si="6"/>
        <v>0</v>
      </c>
      <c r="E39" s="111">
        <f>TERVEZETT!L18</f>
        <v>77500</v>
      </c>
      <c r="F39" s="111">
        <f>TERVEZETT!L19</f>
        <v>198400</v>
      </c>
      <c r="G39" s="111">
        <f t="shared" si="7"/>
        <v>275900</v>
      </c>
      <c r="H39" s="111">
        <f>G39</f>
        <v>275900</v>
      </c>
    </row>
    <row r="40" spans="1:9">
      <c r="A40" s="86" t="s">
        <v>136</v>
      </c>
      <c r="B40" s="145"/>
      <c r="C40" s="135">
        <v>220000</v>
      </c>
      <c r="D40" s="135">
        <f t="shared" si="6"/>
        <v>220000</v>
      </c>
      <c r="E40" s="111">
        <f>TERVEZETT!M54</f>
        <v>211750</v>
      </c>
      <c r="F40" s="111">
        <f>TERVEZETT!M55</f>
        <v>206250</v>
      </c>
      <c r="G40" s="111">
        <f t="shared" si="7"/>
        <v>418000</v>
      </c>
      <c r="H40" s="111">
        <f>G40</f>
        <v>418000</v>
      </c>
    </row>
    <row r="41" spans="1:9">
      <c r="A41" s="2" t="s">
        <v>200</v>
      </c>
      <c r="B41" s="135">
        <v>5000</v>
      </c>
      <c r="C41" s="135">
        <v>5000</v>
      </c>
      <c r="D41" s="135">
        <f t="shared" si="6"/>
        <v>10000</v>
      </c>
      <c r="E41" s="110">
        <v>20000</v>
      </c>
      <c r="F41" s="110">
        <v>20000</v>
      </c>
      <c r="G41" s="110">
        <f t="shared" si="7"/>
        <v>40000</v>
      </c>
      <c r="H41" s="114">
        <f t="shared" ref="H41:H48" si="8">D41+G41</f>
        <v>50000</v>
      </c>
    </row>
    <row r="42" spans="1:9">
      <c r="A42" s="2" t="s">
        <v>201</v>
      </c>
      <c r="B42" s="135">
        <v>10000</v>
      </c>
      <c r="C42" s="135">
        <v>10000</v>
      </c>
      <c r="D42" s="135">
        <f t="shared" si="6"/>
        <v>20000</v>
      </c>
      <c r="E42" s="110">
        <v>110000</v>
      </c>
      <c r="F42" s="110">
        <v>110000</v>
      </c>
      <c r="G42" s="110">
        <f t="shared" si="7"/>
        <v>220000</v>
      </c>
      <c r="H42" s="114">
        <f t="shared" si="8"/>
        <v>240000</v>
      </c>
    </row>
    <row r="43" spans="1:9">
      <c r="A43" s="9" t="s">
        <v>202</v>
      </c>
      <c r="B43" s="135">
        <v>15000</v>
      </c>
      <c r="C43" s="135">
        <v>15000</v>
      </c>
      <c r="D43" s="135">
        <f t="shared" si="6"/>
        <v>30000</v>
      </c>
      <c r="E43" s="110">
        <v>45000</v>
      </c>
      <c r="F43" s="110">
        <v>45000</v>
      </c>
      <c r="G43" s="110">
        <f t="shared" si="7"/>
        <v>90000</v>
      </c>
      <c r="H43" s="110">
        <f t="shared" si="8"/>
        <v>120000</v>
      </c>
    </row>
    <row r="44" spans="1:9">
      <c r="A44" s="2" t="s">
        <v>203</v>
      </c>
      <c r="B44" s="135">
        <v>15000</v>
      </c>
      <c r="C44" s="135">
        <v>15000</v>
      </c>
      <c r="D44" s="135">
        <f t="shared" si="6"/>
        <v>30000</v>
      </c>
      <c r="E44" s="110">
        <v>69950</v>
      </c>
      <c r="F44" s="110">
        <v>69950</v>
      </c>
      <c r="G44" s="110">
        <f t="shared" si="7"/>
        <v>139900</v>
      </c>
      <c r="H44" s="114">
        <f t="shared" si="8"/>
        <v>169900</v>
      </c>
    </row>
    <row r="45" spans="1:9">
      <c r="A45" s="129" t="s">
        <v>204</v>
      </c>
      <c r="B45" s="135">
        <v>10000</v>
      </c>
      <c r="C45" s="135">
        <v>10000</v>
      </c>
      <c r="D45" s="135">
        <f t="shared" si="6"/>
        <v>20000</v>
      </c>
      <c r="E45" s="110">
        <v>100000</v>
      </c>
      <c r="F45" s="110">
        <v>100000</v>
      </c>
      <c r="G45" s="110">
        <f t="shared" si="7"/>
        <v>200000</v>
      </c>
      <c r="H45" s="110">
        <f t="shared" si="8"/>
        <v>220000</v>
      </c>
    </row>
    <row r="46" spans="1:9">
      <c r="A46" s="9" t="s">
        <v>126</v>
      </c>
      <c r="B46" s="133">
        <v>7500</v>
      </c>
      <c r="C46" s="133">
        <v>7500</v>
      </c>
      <c r="D46" s="133">
        <v>15000</v>
      </c>
      <c r="E46" s="111">
        <v>32500</v>
      </c>
      <c r="F46" s="111">
        <v>32500</v>
      </c>
      <c r="G46" s="111">
        <f t="shared" si="7"/>
        <v>65000</v>
      </c>
      <c r="H46" s="111">
        <f t="shared" si="8"/>
        <v>80000</v>
      </c>
    </row>
    <row r="47" spans="1:9">
      <c r="A47" s="9" t="s">
        <v>164</v>
      </c>
      <c r="B47" s="136">
        <f>D47/2</f>
        <v>70000</v>
      </c>
      <c r="C47" s="136">
        <f>D47/2</f>
        <v>70000</v>
      </c>
      <c r="D47" s="136">
        <v>140000</v>
      </c>
      <c r="E47" s="109">
        <v>66800</v>
      </c>
      <c r="F47" s="109">
        <v>66800</v>
      </c>
      <c r="G47" s="109">
        <f t="shared" si="7"/>
        <v>133600</v>
      </c>
      <c r="H47" s="109">
        <f t="shared" si="8"/>
        <v>273600</v>
      </c>
    </row>
    <row r="48" spans="1:9">
      <c r="A48" s="129" t="s">
        <v>25</v>
      </c>
      <c r="B48" s="115">
        <v>0</v>
      </c>
      <c r="C48" s="115">
        <v>0</v>
      </c>
      <c r="D48" s="115">
        <f>SUM(B48:C48)</f>
        <v>0</v>
      </c>
      <c r="E48" s="109">
        <v>61500</v>
      </c>
      <c r="F48" s="109">
        <v>61500</v>
      </c>
      <c r="G48" s="109">
        <f t="shared" si="7"/>
        <v>123000</v>
      </c>
      <c r="H48" s="109">
        <f t="shared" si="8"/>
        <v>123000</v>
      </c>
    </row>
    <row r="49" spans="1:10">
      <c r="A49" s="112" t="s">
        <v>205</v>
      </c>
      <c r="B49" s="136">
        <v>20000</v>
      </c>
      <c r="C49" s="136"/>
      <c r="D49" s="136">
        <f>SUM(B49:C49)</f>
        <v>20000</v>
      </c>
      <c r="E49" s="2"/>
      <c r="F49" s="2"/>
      <c r="G49" s="2"/>
      <c r="H49" s="2"/>
    </row>
    <row r="50" spans="1:10">
      <c r="A50" s="112" t="s">
        <v>206</v>
      </c>
      <c r="B50" s="115"/>
      <c r="C50" s="115"/>
      <c r="D50" s="115"/>
      <c r="E50" s="109"/>
      <c r="F50" s="109"/>
      <c r="G50" s="109"/>
      <c r="H50" s="109"/>
    </row>
    <row r="51" spans="1:10" ht="15.75" thickBot="1">
      <c r="A51" s="141" t="s">
        <v>207</v>
      </c>
      <c r="B51" s="117"/>
      <c r="C51" s="117"/>
      <c r="D51" s="117"/>
      <c r="E51" s="127">
        <v>15000</v>
      </c>
      <c r="F51" s="127">
        <v>10000</v>
      </c>
      <c r="G51" s="127">
        <f>SUM(E51:F51)</f>
        <v>25000</v>
      </c>
      <c r="H51" s="127">
        <f>G51</f>
        <v>25000</v>
      </c>
    </row>
    <row r="52" spans="1:10" ht="15.75" thickBot="1">
      <c r="A52" s="128" t="s">
        <v>7</v>
      </c>
      <c r="B52" s="119">
        <f t="shared" ref="B52:H52" si="9">SUM(B36:B51)</f>
        <v>367500</v>
      </c>
      <c r="C52" s="119">
        <f t="shared" si="9"/>
        <v>452500</v>
      </c>
      <c r="D52" s="119">
        <f t="shared" si="9"/>
        <v>820000</v>
      </c>
      <c r="E52" s="119">
        <f t="shared" si="9"/>
        <v>1910139.6180555555</v>
      </c>
      <c r="F52" s="119">
        <f t="shared" si="9"/>
        <v>1778041.5625</v>
      </c>
      <c r="G52" s="119">
        <f t="shared" si="9"/>
        <v>3688181.1805555555</v>
      </c>
      <c r="H52" s="120">
        <f t="shared" si="9"/>
        <v>4268181.180555556</v>
      </c>
      <c r="I52" s="140"/>
      <c r="J52" s="6"/>
    </row>
    <row r="54" spans="1:10">
      <c r="A54" s="209" t="s">
        <v>209</v>
      </c>
      <c r="B54" s="209"/>
      <c r="C54" s="209"/>
      <c r="D54" s="209"/>
      <c r="E54" s="209"/>
      <c r="F54" s="209"/>
      <c r="G54" s="209"/>
      <c r="H54" s="209"/>
    </row>
    <row r="55" spans="1:10">
      <c r="A55" s="2" t="s">
        <v>210</v>
      </c>
      <c r="B55" s="136">
        <v>91480</v>
      </c>
      <c r="C55" s="136">
        <v>91480</v>
      </c>
      <c r="D55" s="136">
        <f>SUM(B55:C55)</f>
        <v>182960</v>
      </c>
      <c r="E55" s="208" t="s">
        <v>69</v>
      </c>
      <c r="F55" s="208"/>
      <c r="G55" s="208"/>
      <c r="H55" s="136">
        <f>D55+G55</f>
        <v>182960</v>
      </c>
    </row>
    <row r="56" spans="1:10">
      <c r="A56" s="2" t="s">
        <v>215</v>
      </c>
      <c r="B56" s="136">
        <v>2075</v>
      </c>
      <c r="C56" s="149">
        <v>0</v>
      </c>
      <c r="D56" s="136">
        <f>SUM(B56:C56)</f>
        <v>2075</v>
      </c>
      <c r="E56" s="208" t="s">
        <v>69</v>
      </c>
      <c r="F56" s="208"/>
      <c r="G56" s="208"/>
      <c r="H56" s="136">
        <f>D56+G56</f>
        <v>2075</v>
      </c>
    </row>
    <row r="57" spans="1:10">
      <c r="A57" s="9" t="s">
        <v>216</v>
      </c>
      <c r="B57" s="2"/>
      <c r="C57" s="2"/>
      <c r="D57" s="2"/>
      <c r="E57" s="2"/>
      <c r="F57" s="2"/>
      <c r="G57" s="2"/>
      <c r="H57" s="2"/>
    </row>
    <row r="59" spans="1:10">
      <c r="A59" t="s">
        <v>224</v>
      </c>
    </row>
    <row r="60" spans="1:10">
      <c r="B60" s="151"/>
    </row>
    <row r="61" spans="1:10">
      <c r="A61" t="s">
        <v>17</v>
      </c>
      <c r="B61" t="s">
        <v>237</v>
      </c>
    </row>
  </sheetData>
  <mergeCells count="41">
    <mergeCell ref="E8:G8"/>
    <mergeCell ref="E33:G33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55:G55"/>
    <mergeCell ref="E56:G56"/>
    <mergeCell ref="A54:H54"/>
    <mergeCell ref="E21:G21"/>
    <mergeCell ref="E22:G22"/>
    <mergeCell ref="E23:G23"/>
    <mergeCell ref="E25:G25"/>
    <mergeCell ref="A35:H35"/>
    <mergeCell ref="E27:G27"/>
    <mergeCell ref="E26:G26"/>
    <mergeCell ref="E28:G28"/>
    <mergeCell ref="E29:G29"/>
    <mergeCell ref="E30:G30"/>
    <mergeCell ref="E31:G31"/>
    <mergeCell ref="E32:G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29">
        <f>B1*H18</f>
        <v>85935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</row>
    <row r="2" spans="1:10" ht="15.75">
      <c r="A2" t="s">
        <v>57</v>
      </c>
      <c r="B2">
        <v>10</v>
      </c>
      <c r="C2" s="29">
        <f>B2*I4</f>
        <v>59980</v>
      </c>
      <c r="E2" s="31" t="s">
        <v>58</v>
      </c>
      <c r="F2" s="31" t="s">
        <v>59</v>
      </c>
      <c r="G2" s="31">
        <v>0.7</v>
      </c>
      <c r="H2" s="32">
        <v>2698</v>
      </c>
      <c r="I2" s="33">
        <f>H2/G2</f>
        <v>3854.2857142857147</v>
      </c>
    </row>
    <row r="3" spans="1:10" ht="15.75">
      <c r="A3" t="s">
        <v>60</v>
      </c>
      <c r="B3">
        <v>5</v>
      </c>
      <c r="C3" s="29">
        <f>B3*I10</f>
        <v>28990</v>
      </c>
      <c r="E3" s="31"/>
      <c r="F3" s="31" t="s">
        <v>61</v>
      </c>
      <c r="G3" s="31">
        <v>0.7</v>
      </c>
      <c r="H3" s="32">
        <v>2698</v>
      </c>
      <c r="I3" s="33">
        <f t="shared" ref="I3:I24" si="0">H3/G3</f>
        <v>3854.2857142857147</v>
      </c>
    </row>
    <row r="4" spans="1:10" ht="15.75">
      <c r="C4" s="29">
        <f>SUM(C1:C3)</f>
        <v>174905</v>
      </c>
      <c r="E4" s="34" t="s">
        <v>57</v>
      </c>
      <c r="F4" s="34" t="s">
        <v>62</v>
      </c>
      <c r="G4" s="34">
        <v>0.5</v>
      </c>
      <c r="H4" s="35">
        <v>2999</v>
      </c>
      <c r="I4" s="36">
        <f t="shared" si="0"/>
        <v>5998</v>
      </c>
      <c r="J4" t="s">
        <v>63</v>
      </c>
    </row>
    <row r="5" spans="1:10" ht="15.75">
      <c r="E5" s="31"/>
      <c r="F5" s="31" t="s">
        <v>64</v>
      </c>
      <c r="G5" s="31">
        <v>0.5</v>
      </c>
      <c r="H5" s="32">
        <v>2999</v>
      </c>
      <c r="I5" s="33">
        <f t="shared" si="0"/>
        <v>5998</v>
      </c>
    </row>
    <row r="6" spans="1:10" ht="15.75">
      <c r="C6" s="37">
        <f>C4/93</f>
        <v>1880.6989247311828</v>
      </c>
      <c r="E6" s="31"/>
      <c r="F6" s="31" t="s">
        <v>65</v>
      </c>
      <c r="G6" s="31">
        <v>0.5</v>
      </c>
      <c r="H6" s="32">
        <v>2999</v>
      </c>
      <c r="I6" s="33">
        <f t="shared" si="0"/>
        <v>5998</v>
      </c>
    </row>
    <row r="7" spans="1:10" ht="15.75">
      <c r="E7" s="31"/>
      <c r="F7" s="31" t="s">
        <v>66</v>
      </c>
      <c r="G7" s="31">
        <v>0.5</v>
      </c>
      <c r="H7" s="32">
        <v>2999</v>
      </c>
      <c r="I7" s="33">
        <f t="shared" si="0"/>
        <v>5998</v>
      </c>
    </row>
    <row r="8" spans="1:10" ht="15.75">
      <c r="E8" s="31"/>
      <c r="F8" s="31" t="s">
        <v>67</v>
      </c>
      <c r="G8" s="31">
        <v>0.5</v>
      </c>
      <c r="H8" s="32">
        <v>2999</v>
      </c>
      <c r="I8" s="33">
        <f t="shared" si="0"/>
        <v>5998</v>
      </c>
    </row>
    <row r="9" spans="1:10" ht="15.75">
      <c r="E9" s="31"/>
      <c r="F9" s="31" t="s">
        <v>68</v>
      </c>
      <c r="G9" s="31">
        <v>0.5</v>
      </c>
      <c r="H9" s="32">
        <v>2999</v>
      </c>
      <c r="I9" s="33">
        <f t="shared" si="0"/>
        <v>5998</v>
      </c>
    </row>
    <row r="10" spans="1:10" ht="15.75">
      <c r="E10" s="34" t="s">
        <v>60</v>
      </c>
      <c r="F10" s="34" t="s">
        <v>69</v>
      </c>
      <c r="G10" s="34">
        <v>0.5</v>
      </c>
      <c r="H10" s="35">
        <v>2899</v>
      </c>
      <c r="I10" s="36">
        <f t="shared" si="0"/>
        <v>5798</v>
      </c>
    </row>
    <row r="11" spans="1:10" ht="15.75">
      <c r="E11" s="31"/>
      <c r="F11" s="31" t="s">
        <v>69</v>
      </c>
      <c r="G11" s="31">
        <v>0.7</v>
      </c>
      <c r="H11" s="32">
        <v>4332</v>
      </c>
      <c r="I11" s="33">
        <f t="shared" si="0"/>
        <v>6188.5714285714294</v>
      </c>
    </row>
    <row r="12" spans="1:10" ht="15.75">
      <c r="E12" s="31"/>
      <c r="F12" s="31" t="s">
        <v>69</v>
      </c>
      <c r="G12" s="31">
        <v>1</v>
      </c>
      <c r="H12" s="32">
        <v>5719</v>
      </c>
      <c r="I12" s="33">
        <f t="shared" si="0"/>
        <v>5719</v>
      </c>
    </row>
    <row r="13" spans="1:10" ht="15.75">
      <c r="E13" s="31"/>
      <c r="F13" s="31" t="s">
        <v>70</v>
      </c>
      <c r="G13" s="31">
        <v>0.5</v>
      </c>
      <c r="H13" s="32">
        <v>3099</v>
      </c>
      <c r="I13" s="33">
        <f t="shared" si="0"/>
        <v>6198</v>
      </c>
    </row>
    <row r="14" spans="1:10" ht="15.75">
      <c r="E14" s="31"/>
      <c r="F14" s="31" t="s">
        <v>70</v>
      </c>
      <c r="G14" s="31">
        <v>1</v>
      </c>
      <c r="H14" s="32">
        <v>5734</v>
      </c>
      <c r="I14" s="33">
        <f t="shared" si="0"/>
        <v>5734</v>
      </c>
    </row>
    <row r="15" spans="1:10" ht="15.75">
      <c r="E15" s="31" t="s">
        <v>71</v>
      </c>
      <c r="F15" s="31" t="s">
        <v>69</v>
      </c>
      <c r="G15" s="31">
        <v>0.5</v>
      </c>
      <c r="H15" s="32">
        <v>1999</v>
      </c>
      <c r="I15" s="38">
        <f t="shared" si="0"/>
        <v>3998</v>
      </c>
    </row>
    <row r="16" spans="1:10" ht="15.75">
      <c r="E16" s="31"/>
      <c r="F16" s="31" t="s">
        <v>69</v>
      </c>
      <c r="G16" s="31">
        <v>0.7</v>
      </c>
      <c r="H16" s="32">
        <v>2999</v>
      </c>
      <c r="I16" s="33">
        <f t="shared" si="0"/>
        <v>4284.2857142857147</v>
      </c>
    </row>
    <row r="17" spans="5:9" ht="15.75">
      <c r="E17" s="31"/>
      <c r="F17" s="31" t="s">
        <v>69</v>
      </c>
      <c r="G17" s="31">
        <v>1</v>
      </c>
      <c r="H17" s="32">
        <v>4259</v>
      </c>
      <c r="I17" s="33">
        <f t="shared" si="0"/>
        <v>4259</v>
      </c>
    </row>
    <row r="18" spans="5:9" ht="16.5" thickBot="1">
      <c r="E18" s="39" t="s">
        <v>51</v>
      </c>
      <c r="F18" s="39" t="s">
        <v>69</v>
      </c>
      <c r="G18" s="39">
        <v>1</v>
      </c>
      <c r="H18" s="40">
        <v>5729</v>
      </c>
      <c r="I18" s="41">
        <f t="shared" si="0"/>
        <v>5729</v>
      </c>
    </row>
    <row r="19" spans="5:9" ht="16.5" thickTop="1">
      <c r="E19" s="42" t="s">
        <v>72</v>
      </c>
      <c r="F19" s="42" t="s">
        <v>73</v>
      </c>
      <c r="G19" s="42">
        <v>0.5</v>
      </c>
      <c r="H19" s="43">
        <v>5526</v>
      </c>
      <c r="I19" s="43">
        <f t="shared" si="0"/>
        <v>11052</v>
      </c>
    </row>
    <row r="20" spans="5:9" ht="15.75">
      <c r="E20" s="31"/>
      <c r="F20" s="31" t="s">
        <v>74</v>
      </c>
      <c r="G20" s="31">
        <v>0.5</v>
      </c>
      <c r="H20" s="33">
        <v>5479</v>
      </c>
      <c r="I20" s="33">
        <f t="shared" si="0"/>
        <v>10958</v>
      </c>
    </row>
    <row r="21" spans="5:9" ht="15.75">
      <c r="E21" s="31"/>
      <c r="F21" s="31" t="s">
        <v>75</v>
      </c>
      <c r="G21" s="31">
        <v>0.5</v>
      </c>
      <c r="H21" s="33">
        <v>4580</v>
      </c>
      <c r="I21" s="33">
        <f t="shared" si="0"/>
        <v>9160</v>
      </c>
    </row>
    <row r="22" spans="5:9" ht="15.75">
      <c r="E22" s="31"/>
      <c r="F22" s="31" t="s">
        <v>76</v>
      </c>
      <c r="G22" s="31">
        <v>0.5</v>
      </c>
      <c r="H22" s="33">
        <v>5999</v>
      </c>
      <c r="I22" s="33">
        <f t="shared" si="0"/>
        <v>11998</v>
      </c>
    </row>
    <row r="23" spans="5:9" ht="15.75">
      <c r="E23" s="31"/>
      <c r="F23" s="31" t="s">
        <v>77</v>
      </c>
      <c r="G23" s="31">
        <v>0.5</v>
      </c>
      <c r="H23" s="33">
        <v>7075</v>
      </c>
      <c r="I23" s="33">
        <f t="shared" si="0"/>
        <v>14150</v>
      </c>
    </row>
    <row r="24" spans="5:9" ht="15.75">
      <c r="E24" s="31"/>
      <c r="F24" s="31" t="s">
        <v>78</v>
      </c>
      <c r="G24" s="31">
        <v>0.5</v>
      </c>
      <c r="H24" s="33">
        <v>5500</v>
      </c>
      <c r="I24" s="3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6"/>
  <sheetViews>
    <sheetView tabSelected="1" zoomScale="80" zoomScaleNormal="80" workbookViewId="0">
      <selection activeCell="C21" sqref="C21"/>
    </sheetView>
  </sheetViews>
  <sheetFormatPr defaultRowHeight="15"/>
  <sheetData>
    <row r="1" spans="1:19" ht="16.5" thickTop="1" thickBot="1">
      <c r="A1" s="235" t="s">
        <v>82</v>
      </c>
      <c r="B1" s="235"/>
      <c r="C1" s="236"/>
      <c r="D1" s="199" t="s">
        <v>83</v>
      </c>
      <c r="E1" s="199"/>
      <c r="F1" s="199"/>
      <c r="G1" s="185"/>
      <c r="H1" s="239" t="s">
        <v>113</v>
      </c>
      <c r="I1" s="227" t="s">
        <v>235</v>
      </c>
      <c r="K1" s="240" t="s">
        <v>82</v>
      </c>
      <c r="L1" s="241"/>
      <c r="M1" s="242"/>
      <c r="N1" s="185" t="s">
        <v>83</v>
      </c>
      <c r="O1" s="211"/>
      <c r="P1" s="211"/>
      <c r="Q1" s="212"/>
      <c r="R1" s="228" t="s">
        <v>113</v>
      </c>
      <c r="S1" s="227" t="s">
        <v>235</v>
      </c>
    </row>
    <row r="2" spans="1:19" ht="16.5" thickTop="1" thickBot="1">
      <c r="A2" s="237"/>
      <c r="B2" s="237"/>
      <c r="C2" s="238"/>
      <c r="D2" s="75" t="s">
        <v>84</v>
      </c>
      <c r="E2" s="75" t="s">
        <v>85</v>
      </c>
      <c r="F2" s="75" t="s">
        <v>86</v>
      </c>
      <c r="G2" s="76" t="s">
        <v>87</v>
      </c>
      <c r="H2" s="239"/>
      <c r="I2" s="227"/>
      <c r="K2" s="243"/>
      <c r="L2" s="237"/>
      <c r="M2" s="238"/>
      <c r="N2" s="75" t="s">
        <v>84</v>
      </c>
      <c r="O2" s="75" t="s">
        <v>85</v>
      </c>
      <c r="P2" s="75" t="s">
        <v>86</v>
      </c>
      <c r="Q2" s="75" t="s">
        <v>87</v>
      </c>
      <c r="R2" s="229"/>
      <c r="S2" s="227"/>
    </row>
    <row r="3" spans="1:19" ht="16.5" thickTop="1" thickBot="1">
      <c r="A3" s="55" t="s">
        <v>89</v>
      </c>
      <c r="B3" s="56"/>
      <c r="C3" s="53">
        <v>8</v>
      </c>
      <c r="D3" s="77">
        <v>1</v>
      </c>
      <c r="E3" s="77">
        <v>1</v>
      </c>
      <c r="F3" s="77">
        <v>1</v>
      </c>
      <c r="G3" s="78"/>
      <c r="H3" s="79">
        <v>1</v>
      </c>
      <c r="I3" s="164">
        <v>3</v>
      </c>
      <c r="K3" s="80" t="s">
        <v>89</v>
      </c>
      <c r="L3" s="49"/>
      <c r="M3" s="81">
        <v>5</v>
      </c>
      <c r="N3" s="230">
        <v>2</v>
      </c>
      <c r="O3" s="82">
        <v>2</v>
      </c>
      <c r="P3" s="82">
        <v>1</v>
      </c>
      <c r="Q3" s="83"/>
      <c r="R3" s="79">
        <v>1</v>
      </c>
      <c r="S3" s="164">
        <v>4</v>
      </c>
    </row>
    <row r="4" spans="1:19" ht="16.5" thickTop="1" thickBot="1">
      <c r="A4" s="55" t="s">
        <v>114</v>
      </c>
      <c r="B4" s="56"/>
      <c r="C4" s="53">
        <v>6</v>
      </c>
      <c r="D4" s="77">
        <v>1</v>
      </c>
      <c r="E4" s="77">
        <v>1</v>
      </c>
      <c r="F4" s="77"/>
      <c r="G4" s="78"/>
      <c r="H4" s="79">
        <v>0</v>
      </c>
      <c r="I4" s="164">
        <v>2</v>
      </c>
      <c r="K4" s="52" t="s">
        <v>91</v>
      </c>
      <c r="L4" s="52"/>
      <c r="M4" s="81">
        <v>3</v>
      </c>
      <c r="N4" s="231"/>
      <c r="O4" s="84"/>
      <c r="P4" s="84"/>
      <c r="Q4" s="85"/>
      <c r="R4" s="79">
        <v>2</v>
      </c>
      <c r="S4" s="164">
        <v>1</v>
      </c>
    </row>
    <row r="5" spans="1:19" ht="16.5" thickTop="1" thickBot="1">
      <c r="A5" s="73" t="s">
        <v>90</v>
      </c>
      <c r="B5" s="51"/>
      <c r="C5" s="86">
        <v>1</v>
      </c>
      <c r="D5" s="48"/>
      <c r="E5" s="77"/>
      <c r="F5" s="77">
        <v>1</v>
      </c>
      <c r="G5" s="78"/>
      <c r="H5" s="79">
        <v>1</v>
      </c>
      <c r="I5" s="164">
        <v>1</v>
      </c>
      <c r="K5" s="52" t="s">
        <v>93</v>
      </c>
      <c r="L5" s="52"/>
      <c r="M5" s="81">
        <v>10</v>
      </c>
      <c r="N5" s="84"/>
      <c r="O5" s="84">
        <v>6</v>
      </c>
      <c r="P5" s="84"/>
      <c r="Q5" s="85"/>
      <c r="R5" s="79">
        <v>0</v>
      </c>
      <c r="S5" s="164">
        <v>5</v>
      </c>
    </row>
    <row r="6" spans="1:19" ht="16.5" thickTop="1" thickBot="1">
      <c r="A6" s="19" t="s">
        <v>92</v>
      </c>
      <c r="B6" s="2"/>
      <c r="C6" s="86">
        <v>2</v>
      </c>
      <c r="D6" s="48"/>
      <c r="E6" s="77">
        <v>1</v>
      </c>
      <c r="F6" s="77"/>
      <c r="G6" s="78"/>
      <c r="H6" s="79">
        <v>2</v>
      </c>
      <c r="I6" s="164">
        <v>1</v>
      </c>
      <c r="K6" s="52" t="s">
        <v>95</v>
      </c>
      <c r="L6" s="52"/>
      <c r="M6" s="81">
        <v>4</v>
      </c>
      <c r="N6" s="84"/>
      <c r="O6" s="84">
        <v>2</v>
      </c>
      <c r="P6" s="84"/>
      <c r="Q6" s="85"/>
      <c r="R6" s="79">
        <v>4</v>
      </c>
      <c r="S6" s="164">
        <v>2</v>
      </c>
    </row>
    <row r="7" spans="1:19" ht="16.5" thickTop="1" thickBot="1">
      <c r="A7" s="19" t="s">
        <v>94</v>
      </c>
      <c r="B7" s="2"/>
      <c r="C7" s="86">
        <v>2</v>
      </c>
      <c r="D7" s="48"/>
      <c r="E7" s="77">
        <v>1</v>
      </c>
      <c r="F7" s="77"/>
      <c r="G7" s="78"/>
      <c r="H7" s="79">
        <v>2</v>
      </c>
      <c r="I7" s="164">
        <v>1</v>
      </c>
      <c r="K7" s="52" t="s">
        <v>97</v>
      </c>
      <c r="L7" s="52"/>
      <c r="M7" s="81">
        <v>6</v>
      </c>
      <c r="N7" s="84"/>
      <c r="O7" s="84">
        <v>3</v>
      </c>
      <c r="P7" s="84"/>
      <c r="Q7" s="85"/>
      <c r="R7" s="79">
        <v>2</v>
      </c>
      <c r="S7" s="164">
        <v>3</v>
      </c>
    </row>
    <row r="8" spans="1:19" ht="16.5" thickTop="1" thickBot="1">
      <c r="A8" s="53" t="s">
        <v>96</v>
      </c>
      <c r="B8" s="53"/>
      <c r="C8" s="53">
        <v>2</v>
      </c>
      <c r="D8" s="48"/>
      <c r="E8" s="77">
        <v>1</v>
      </c>
      <c r="F8" s="77"/>
      <c r="G8" s="78"/>
      <c r="H8" s="79">
        <v>2</v>
      </c>
      <c r="I8" s="164">
        <v>1</v>
      </c>
      <c r="K8" s="52" t="s">
        <v>98</v>
      </c>
      <c r="L8" s="52"/>
      <c r="M8" s="81">
        <v>2</v>
      </c>
      <c r="N8" s="84"/>
      <c r="O8" s="84">
        <v>1</v>
      </c>
      <c r="P8" s="84"/>
      <c r="Q8" s="85"/>
      <c r="R8" s="79">
        <v>0</v>
      </c>
      <c r="S8" s="164">
        <v>1</v>
      </c>
    </row>
    <row r="9" spans="1:19" ht="16.5" thickTop="1" thickBot="1">
      <c r="A9" s="55" t="s">
        <v>101</v>
      </c>
      <c r="B9" s="56"/>
      <c r="C9" s="53">
        <v>0</v>
      </c>
      <c r="D9" s="48"/>
      <c r="E9" s="77"/>
      <c r="F9" s="77">
        <v>1</v>
      </c>
      <c r="G9" s="78"/>
      <c r="H9" s="79">
        <v>0</v>
      </c>
      <c r="I9" s="164">
        <v>0</v>
      </c>
      <c r="K9" s="52" t="s">
        <v>99</v>
      </c>
      <c r="L9" s="52"/>
      <c r="M9" s="81">
        <v>1</v>
      </c>
      <c r="N9" s="84"/>
      <c r="O9" s="84"/>
      <c r="P9" s="84">
        <v>1</v>
      </c>
      <c r="Q9" s="85"/>
      <c r="R9" s="79">
        <v>1</v>
      </c>
      <c r="S9" s="164">
        <v>1</v>
      </c>
    </row>
    <row r="10" spans="1:19" ht="16.5" thickTop="1" thickBot="1">
      <c r="A10" s="87" t="s">
        <v>115</v>
      </c>
      <c r="B10" s="56"/>
      <c r="C10" s="53">
        <v>2</v>
      </c>
      <c r="D10" s="48"/>
      <c r="E10" s="77">
        <v>1</v>
      </c>
      <c r="F10" s="77"/>
      <c r="G10" s="78"/>
      <c r="H10" s="79">
        <v>0</v>
      </c>
      <c r="I10" s="164">
        <v>1</v>
      </c>
      <c r="K10" s="52" t="s">
        <v>100</v>
      </c>
      <c r="L10" s="52"/>
      <c r="M10" s="81">
        <v>4</v>
      </c>
      <c r="N10" s="84"/>
      <c r="O10" s="84">
        <v>2</v>
      </c>
      <c r="P10" s="84"/>
      <c r="Q10" s="85">
        <v>1</v>
      </c>
      <c r="R10" s="79">
        <v>2</v>
      </c>
      <c r="S10" s="164">
        <v>2</v>
      </c>
    </row>
    <row r="11" spans="1:19" ht="16.5" thickTop="1" thickBot="1">
      <c r="A11" s="87" t="s">
        <v>116</v>
      </c>
      <c r="B11" s="56"/>
      <c r="C11" s="53">
        <v>1</v>
      </c>
      <c r="D11" s="48"/>
      <c r="E11" s="77"/>
      <c r="F11" s="88">
        <v>1</v>
      </c>
      <c r="G11" s="78"/>
      <c r="H11" s="79">
        <v>1</v>
      </c>
      <c r="I11" s="164">
        <v>1</v>
      </c>
      <c r="R11" s="89"/>
      <c r="S11" s="165"/>
    </row>
    <row r="12" spans="1:19" ht="16.5" thickTop="1" thickBot="1">
      <c r="A12" s="87" t="s">
        <v>117</v>
      </c>
      <c r="B12" s="56"/>
      <c r="C12" s="53">
        <v>2</v>
      </c>
      <c r="D12" s="48"/>
      <c r="E12" s="77">
        <v>1</v>
      </c>
      <c r="F12" s="77"/>
      <c r="G12" s="78"/>
      <c r="H12" s="79">
        <v>0</v>
      </c>
      <c r="I12" s="164">
        <v>1</v>
      </c>
      <c r="S12" s="165"/>
    </row>
    <row r="13" spans="1:19" ht="16.5" thickTop="1" thickBot="1">
      <c r="A13" s="15" t="s">
        <v>88</v>
      </c>
      <c r="B13" s="2"/>
      <c r="C13" s="86">
        <v>0</v>
      </c>
      <c r="D13" s="48"/>
      <c r="E13" s="77"/>
      <c r="F13" s="77">
        <v>1</v>
      </c>
      <c r="G13" s="78"/>
      <c r="H13" s="79">
        <v>0</v>
      </c>
      <c r="I13" s="164">
        <v>0</v>
      </c>
      <c r="S13" s="165"/>
    </row>
    <row r="14" spans="1:19" ht="16.5" thickTop="1" thickBot="1">
      <c r="A14" s="2" t="s">
        <v>118</v>
      </c>
      <c r="B14" s="2"/>
      <c r="C14" s="86">
        <v>2</v>
      </c>
      <c r="D14" s="48"/>
      <c r="E14" s="85">
        <v>1</v>
      </c>
      <c r="F14" s="85"/>
      <c r="G14" s="90"/>
      <c r="H14" s="79">
        <v>2</v>
      </c>
      <c r="I14" s="164">
        <v>1</v>
      </c>
      <c r="R14" s="89"/>
      <c r="S14" s="165"/>
    </row>
    <row r="15" spans="1:19" ht="16.5" thickTop="1" thickBot="1">
      <c r="A15" s="50" t="s">
        <v>119</v>
      </c>
      <c r="B15" s="51"/>
      <c r="C15" s="86">
        <v>1</v>
      </c>
      <c r="D15" s="48"/>
      <c r="E15" s="85"/>
      <c r="F15" s="84">
        <v>1</v>
      </c>
      <c r="G15" s="90"/>
      <c r="H15" s="79">
        <v>1</v>
      </c>
      <c r="I15" s="164">
        <v>1</v>
      </c>
      <c r="R15" s="89"/>
      <c r="S15" s="165"/>
    </row>
    <row r="16" spans="1:19" ht="16.5" thickTop="1" thickBot="1">
      <c r="A16" s="91" t="s">
        <v>243</v>
      </c>
      <c r="B16" s="92"/>
      <c r="C16" s="86">
        <v>1</v>
      </c>
      <c r="D16" s="48"/>
      <c r="E16" s="85"/>
      <c r="F16" s="84">
        <v>1</v>
      </c>
      <c r="G16" s="90"/>
      <c r="H16" s="79">
        <v>1</v>
      </c>
      <c r="I16" s="164">
        <v>1</v>
      </c>
      <c r="R16" s="89"/>
      <c r="S16" s="165"/>
    </row>
    <row r="17" spans="1:19" ht="16.5" thickTop="1" thickBot="1">
      <c r="A17" s="86" t="s">
        <v>120</v>
      </c>
      <c r="B17" s="2"/>
      <c r="C17" s="93">
        <v>0</v>
      </c>
      <c r="D17" s="94"/>
      <c r="E17" s="84">
        <v>1</v>
      </c>
      <c r="F17" s="85"/>
      <c r="G17" s="90"/>
      <c r="H17" s="79">
        <v>0</v>
      </c>
      <c r="I17" s="164">
        <v>0</v>
      </c>
      <c r="S17" s="165"/>
    </row>
    <row r="18" spans="1:19" ht="16.5" thickTop="1" thickBot="1">
      <c r="A18" s="86" t="s">
        <v>121</v>
      </c>
      <c r="B18" s="2"/>
      <c r="C18" s="93">
        <v>2</v>
      </c>
      <c r="D18" s="94"/>
      <c r="E18" s="85">
        <v>1</v>
      </c>
      <c r="F18" s="85"/>
      <c r="G18" s="90"/>
      <c r="H18" s="79">
        <v>2</v>
      </c>
      <c r="I18" s="164">
        <v>1</v>
      </c>
      <c r="R18" s="89"/>
      <c r="S18" s="165"/>
    </row>
    <row r="19" spans="1:19" ht="16.5" thickTop="1" thickBot="1">
      <c r="A19" s="86" t="s">
        <v>122</v>
      </c>
      <c r="B19" s="2"/>
      <c r="C19" s="93">
        <v>0</v>
      </c>
      <c r="D19" s="94"/>
      <c r="E19" s="84">
        <v>1</v>
      </c>
      <c r="F19" s="85"/>
      <c r="G19" s="90"/>
      <c r="H19" s="79">
        <v>0</v>
      </c>
      <c r="I19" s="164">
        <v>0</v>
      </c>
      <c r="R19" s="89"/>
      <c r="S19" s="165"/>
    </row>
    <row r="20" spans="1:19" ht="16.5" thickTop="1" thickBot="1">
      <c r="A20" s="154" t="s">
        <v>93</v>
      </c>
      <c r="B20" s="154"/>
      <c r="C20" s="155">
        <v>2</v>
      </c>
      <c r="D20" s="94"/>
      <c r="E20" s="85">
        <v>2</v>
      </c>
      <c r="F20" s="85"/>
      <c r="G20" s="85">
        <v>1</v>
      </c>
      <c r="H20" s="79">
        <v>0</v>
      </c>
      <c r="I20" s="164">
        <v>2</v>
      </c>
      <c r="R20" s="89"/>
      <c r="S20" s="167"/>
    </row>
    <row r="21" spans="1:19" ht="16.5" thickTop="1" thickBot="1">
      <c r="A21" s="54" t="s">
        <v>225</v>
      </c>
      <c r="B21" s="54"/>
      <c r="C21" s="53">
        <v>1</v>
      </c>
      <c r="D21" s="94"/>
      <c r="E21" s="85"/>
      <c r="F21" s="85">
        <v>1</v>
      </c>
      <c r="G21" s="85"/>
      <c r="H21" s="79">
        <v>1</v>
      </c>
      <c r="I21" s="164">
        <v>1</v>
      </c>
      <c r="R21" s="89"/>
      <c r="S21" s="167"/>
    </row>
    <row r="22" spans="1:19" ht="16.5" thickTop="1" thickBot="1">
      <c r="A22" s="54" t="s">
        <v>226</v>
      </c>
      <c r="B22" s="54"/>
      <c r="C22" s="53">
        <v>2</v>
      </c>
      <c r="D22" s="94"/>
      <c r="E22" s="85">
        <v>1</v>
      </c>
      <c r="F22" s="85"/>
      <c r="G22" s="85"/>
      <c r="H22" s="79">
        <v>2</v>
      </c>
      <c r="I22" s="164">
        <v>1</v>
      </c>
      <c r="R22" s="89"/>
      <c r="S22" s="167"/>
    </row>
    <row r="23" spans="1:19" ht="16.5" thickTop="1" thickBot="1">
      <c r="I23" s="165"/>
      <c r="S23" s="165"/>
    </row>
    <row r="24" spans="1:19" ht="17.25" thickTop="1" thickBot="1">
      <c r="A24" s="234" t="s">
        <v>15</v>
      </c>
      <c r="B24" s="234"/>
      <c r="C24" s="58">
        <f>SUM(C3:C22)</f>
        <v>37</v>
      </c>
      <c r="D24" s="57">
        <f>SUM(D3:D20)</f>
        <v>2</v>
      </c>
      <c r="E24" s="57">
        <f>SUM(E3:E20)</f>
        <v>13</v>
      </c>
      <c r="F24" s="57">
        <f>SUM(F3:F20)</f>
        <v>7</v>
      </c>
      <c r="G24" s="57">
        <f>SUM(G5:G20)</f>
        <v>1</v>
      </c>
      <c r="H24" s="95">
        <f>SUM(H3:H22)</f>
        <v>18</v>
      </c>
      <c r="I24" s="166">
        <f>SUM(I3:I22)</f>
        <v>20</v>
      </c>
      <c r="K24" s="232" t="s">
        <v>15</v>
      </c>
      <c r="L24" s="233"/>
      <c r="M24" s="96">
        <f>SUM(M3:M10)</f>
        <v>35</v>
      </c>
      <c r="N24" s="97">
        <f t="shared" ref="N24:Q24" si="0">SUM(N3:N10)</f>
        <v>2</v>
      </c>
      <c r="O24" s="97">
        <f t="shared" si="0"/>
        <v>16</v>
      </c>
      <c r="P24" s="97">
        <f t="shared" si="0"/>
        <v>2</v>
      </c>
      <c r="Q24" s="98">
        <f t="shared" si="0"/>
        <v>1</v>
      </c>
      <c r="R24" s="95">
        <f>SUM(R3:R10)</f>
        <v>12</v>
      </c>
      <c r="S24" s="166">
        <f>SUM(S3:S10)</f>
        <v>19</v>
      </c>
    </row>
    <row r="25" spans="1:19" ht="15.75" thickTop="1">
      <c r="C25">
        <f>C24-3</f>
        <v>34</v>
      </c>
      <c r="M25">
        <f>M24-3</f>
        <v>32</v>
      </c>
      <c r="R25" s="89"/>
    </row>
    <row r="27" spans="1:19" ht="15.75" thickBot="1"/>
    <row r="28" spans="1:19" ht="16.5" thickTop="1" thickBot="1">
      <c r="A28" s="69" t="s">
        <v>123</v>
      </c>
      <c r="B28" s="168">
        <f>C24+M24</f>
        <v>72</v>
      </c>
      <c r="C28" s="95">
        <f>H24+R24</f>
        <v>30</v>
      </c>
      <c r="D28" s="166">
        <f>I24+S24</f>
        <v>39</v>
      </c>
    </row>
    <row r="29" spans="1:19" ht="15.75" thickTop="1"/>
    <row r="30" spans="1:19">
      <c r="A30" s="6"/>
      <c r="B30" s="6"/>
      <c r="C30" s="6"/>
      <c r="D30" s="6"/>
      <c r="E30" s="6"/>
      <c r="F30" s="6"/>
      <c r="G30" s="6"/>
    </row>
    <row r="31" spans="1:19">
      <c r="A31" s="6"/>
      <c r="B31" s="6"/>
      <c r="C31" s="6"/>
      <c r="D31" s="6"/>
      <c r="E31" s="6"/>
      <c r="F31" s="6"/>
      <c r="G31" s="6"/>
    </row>
    <row r="32" spans="1:19">
      <c r="A32" s="6"/>
      <c r="B32" s="101"/>
      <c r="C32" s="101"/>
      <c r="D32" s="101"/>
      <c r="E32" s="101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99"/>
      <c r="C35" s="99"/>
      <c r="D35" s="99"/>
      <c r="E35" s="99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</sheetData>
  <mergeCells count="11">
    <mergeCell ref="A24:B24"/>
    <mergeCell ref="A1:C2"/>
    <mergeCell ref="D1:G1"/>
    <mergeCell ref="H1:H2"/>
    <mergeCell ref="K1:M2"/>
    <mergeCell ref="I1:I2"/>
    <mergeCell ref="S1:S2"/>
    <mergeCell ref="N1:Q1"/>
    <mergeCell ref="R1:R2"/>
    <mergeCell ref="N3:N4"/>
    <mergeCell ref="K24:L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15" sqref="A15"/>
    </sheetView>
  </sheetViews>
  <sheetFormatPr defaultRowHeight="15"/>
  <cols>
    <col min="1" max="1" width="18.7109375" bestFit="1" customWidth="1"/>
    <col min="2" max="2" width="21.7109375" bestFit="1" customWidth="1"/>
    <col min="3" max="3" width="25.7109375" bestFit="1" customWidth="1"/>
    <col min="4" max="4" width="13.7109375" bestFit="1" customWidth="1"/>
    <col min="5" max="5" width="15" bestFit="1" customWidth="1"/>
  </cols>
  <sheetData>
    <row r="1" spans="1:6">
      <c r="A1" s="103" t="s">
        <v>131</v>
      </c>
      <c r="B1" s="103" t="s">
        <v>129</v>
      </c>
      <c r="C1" s="103" t="s">
        <v>52</v>
      </c>
      <c r="D1" s="103" t="s">
        <v>130</v>
      </c>
      <c r="E1" s="157" t="s">
        <v>231</v>
      </c>
      <c r="F1" s="157" t="s">
        <v>238</v>
      </c>
    </row>
    <row r="2" spans="1:6">
      <c r="A2" s="2" t="s">
        <v>126</v>
      </c>
      <c r="B2" s="102" t="s">
        <v>69</v>
      </c>
      <c r="C2" s="2" t="s">
        <v>132</v>
      </c>
      <c r="D2" s="104" t="s">
        <v>143</v>
      </c>
      <c r="E2" s="2"/>
      <c r="F2" s="2"/>
    </row>
    <row r="3" spans="1:6">
      <c r="A3" s="2" t="s">
        <v>135</v>
      </c>
      <c r="B3" s="2" t="s">
        <v>133</v>
      </c>
      <c r="C3" s="2" t="s">
        <v>134</v>
      </c>
      <c r="D3" s="2" t="s">
        <v>144</v>
      </c>
      <c r="E3" s="2"/>
      <c r="F3" s="2"/>
    </row>
    <row r="4" spans="1:6">
      <c r="A4" s="2" t="s">
        <v>136</v>
      </c>
      <c r="B4" s="2" t="s">
        <v>137</v>
      </c>
      <c r="C4" s="2" t="s">
        <v>138</v>
      </c>
      <c r="D4" s="2" t="s">
        <v>145</v>
      </c>
      <c r="E4" s="2"/>
      <c r="F4" s="2"/>
    </row>
    <row r="5" spans="1:6">
      <c r="A5" s="2" t="s">
        <v>139</v>
      </c>
      <c r="B5" s="2" t="s">
        <v>140</v>
      </c>
      <c r="C5" s="2" t="s">
        <v>141</v>
      </c>
      <c r="D5" s="2" t="s">
        <v>146</v>
      </c>
      <c r="E5" s="2"/>
      <c r="F5" s="2"/>
    </row>
    <row r="6" spans="1:6">
      <c r="A6" s="156" t="s">
        <v>19</v>
      </c>
      <c r="B6" s="102" t="s">
        <v>69</v>
      </c>
      <c r="C6" s="2" t="s">
        <v>142</v>
      </c>
      <c r="D6" s="2" t="s">
        <v>147</v>
      </c>
      <c r="E6" s="2" t="s">
        <v>230</v>
      </c>
      <c r="F6" s="2">
        <v>0</v>
      </c>
    </row>
    <row r="7" spans="1:6">
      <c r="A7" s="9" t="s">
        <v>104</v>
      </c>
      <c r="B7" s="2" t="s">
        <v>149</v>
      </c>
      <c r="C7" s="2" t="s">
        <v>148</v>
      </c>
      <c r="D7" s="2" t="s">
        <v>150</v>
      </c>
      <c r="E7" s="2"/>
      <c r="F7" s="2"/>
    </row>
    <row r="8" spans="1:6">
      <c r="A8" s="9" t="s">
        <v>151</v>
      </c>
      <c r="B8" s="105" t="s">
        <v>152</v>
      </c>
      <c r="C8" s="2" t="s">
        <v>221</v>
      </c>
      <c r="D8" s="2" t="s">
        <v>153</v>
      </c>
      <c r="E8" s="2"/>
      <c r="F8" s="2"/>
    </row>
    <row r="9" spans="1:6">
      <c r="A9" s="9" t="s">
        <v>12</v>
      </c>
      <c r="B9" s="2" t="s">
        <v>154</v>
      </c>
      <c r="C9" s="2" t="s">
        <v>155</v>
      </c>
      <c r="D9" s="2" t="s">
        <v>242</v>
      </c>
      <c r="E9" s="2"/>
      <c r="F9" s="2"/>
    </row>
    <row r="10" spans="1:6">
      <c r="A10" s="244" t="s">
        <v>157</v>
      </c>
      <c r="B10" s="106" t="s">
        <v>69</v>
      </c>
      <c r="C10" s="2" t="s">
        <v>158</v>
      </c>
      <c r="D10" s="2" t="s">
        <v>214</v>
      </c>
      <c r="E10" s="2"/>
      <c r="F10" s="2"/>
    </row>
    <row r="11" spans="1:6">
      <c r="A11" s="245"/>
      <c r="B11" s="106" t="s">
        <v>69</v>
      </c>
      <c r="C11" s="2" t="s">
        <v>159</v>
      </c>
      <c r="D11" s="2" t="s">
        <v>156</v>
      </c>
      <c r="E11" s="2"/>
      <c r="F11" s="2"/>
    </row>
    <row r="12" spans="1:6">
      <c r="A12" s="172" t="s">
        <v>164</v>
      </c>
      <c r="B12" s="2" t="s">
        <v>162</v>
      </c>
      <c r="C12" s="9" t="s">
        <v>160</v>
      </c>
      <c r="D12" s="3" t="s">
        <v>161</v>
      </c>
      <c r="E12" s="171" t="s">
        <v>241</v>
      </c>
      <c r="F12" s="2">
        <v>1</v>
      </c>
    </row>
    <row r="13" spans="1:6">
      <c r="A13" s="9" t="s">
        <v>163</v>
      </c>
      <c r="B13" s="2" t="s">
        <v>165</v>
      </c>
      <c r="C13" s="2" t="s">
        <v>166</v>
      </c>
      <c r="D13" s="2" t="s">
        <v>167</v>
      </c>
      <c r="E13" s="2"/>
      <c r="F13" s="2"/>
    </row>
    <row r="14" spans="1:6">
      <c r="A14" s="156" t="s">
        <v>227</v>
      </c>
      <c r="B14" s="106" t="s">
        <v>69</v>
      </c>
      <c r="C14" s="2" t="s">
        <v>228</v>
      </c>
      <c r="D14" s="2" t="s">
        <v>229</v>
      </c>
      <c r="E14" s="2" t="s">
        <v>69</v>
      </c>
      <c r="F14" s="2"/>
    </row>
    <row r="15" spans="1:6">
      <c r="A15" s="9" t="s">
        <v>239</v>
      </c>
      <c r="B15" s="169" t="s">
        <v>69</v>
      </c>
      <c r="C15" s="2"/>
      <c r="D15" s="2"/>
      <c r="E15" s="2"/>
      <c r="F15" s="2"/>
    </row>
    <row r="16" spans="1:6" ht="45">
      <c r="A16" s="121" t="s">
        <v>240</v>
      </c>
      <c r="B16" s="2"/>
      <c r="C16" s="2"/>
      <c r="D16" s="2"/>
      <c r="E16" s="2"/>
      <c r="F16" s="2">
        <v>1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2017-08-09T10:42:03Z</dcterms:modified>
</cp:coreProperties>
</file>