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05\Documents\modele1D\"/>
    </mc:Choice>
  </mc:AlternateContent>
  <xr:revisionPtr revIDLastSave="0" documentId="13_ncr:1_{3BABD05E-0F44-47C8-8CD7-BD805AA1FA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cap" sheetId="6" r:id="rId2"/>
  </sheets>
  <externalReferences>
    <externalReference r:id="rId3"/>
  </externalReferences>
  <definedNames>
    <definedName name="A_G">Main!$B$18</definedName>
    <definedName name="a_htop">Main!$B$128</definedName>
    <definedName name="ail_biot">Main!#REF!</definedName>
    <definedName name="ailette">Main!$B$50</definedName>
    <definedName name="air_layer">Main!$B$117</definedName>
    <definedName name="alpha">[1]Feuil1!$B$9</definedName>
    <definedName name="b_htop">Main!$B$129</definedName>
    <definedName name="beta">[1]Feuil1!$B$10</definedName>
    <definedName name="Bi_hd">Main!#REF!</definedName>
    <definedName name="C_B">Main!$B$137</definedName>
    <definedName name="C_p">Main!$B$151</definedName>
    <definedName name="coeff_f1">Main!$B$84</definedName>
    <definedName name="coeff_G_p">Main!$B$142</definedName>
    <definedName name="coeff_h_back">Main!$B$131</definedName>
    <definedName name="coeff_h_top">Main!$B$127</definedName>
    <definedName name="D">Main!$B$60</definedName>
    <definedName name="D_4">Main!$B$61</definedName>
    <definedName name="D_tube">Main!$B$24</definedName>
    <definedName name="delta">Main!$B$55</definedName>
    <definedName name="DELTA_a">Main!$B$59</definedName>
    <definedName name="delta_f0">Main!$B$74</definedName>
    <definedName name="delta_f1">Main!$B$82</definedName>
    <definedName name="delta_f2">Main!$B$91</definedName>
    <definedName name="delta_f3">Main!$B$96</definedName>
    <definedName name="delta_fins_on_abs">Main!#REF!</definedName>
    <definedName name="delta_hd">Main!#REF!</definedName>
    <definedName name="delta_tube">Main!#REF!</definedName>
    <definedName name="delta_vf">Main!#REF!</definedName>
    <definedName name="Dext_tube">Main!$B$25</definedName>
    <definedName name="e_insulation">Main!$B$124</definedName>
    <definedName name="Eff_G">Main!$B$11</definedName>
    <definedName name="Eff_T">Main!$B$9</definedName>
    <definedName name="eps">Main!$B$104</definedName>
    <definedName name="eta_nom">Main!$B$8</definedName>
    <definedName name="fin_0">Main!$B$71</definedName>
    <definedName name="fin_1">Main!$B$79</definedName>
    <definedName name="fin_2">Main!$B$88</definedName>
    <definedName name="fin_3">Main!$B$93</definedName>
    <definedName name="G_p">Main!$B$141</definedName>
    <definedName name="G_ref">Main!$B$12</definedName>
    <definedName name="G_T0">Main!$B$140</definedName>
    <definedName name="geometry">Main!$B$33</definedName>
    <definedName name="h_fluid">Main!$B$125</definedName>
    <definedName name="h_inner">Main!$B$130</definedName>
    <definedName name="h_top">Main!$B$126</definedName>
    <definedName name="Heta">Main!$B$54</definedName>
    <definedName name="insulated">Main!$B$51</definedName>
    <definedName name="iota">Main!$B$26</definedName>
    <definedName name="k_abs">Main!$C$119</definedName>
    <definedName name="k_ail">Main!$C$123</definedName>
    <definedName name="k_air">Main!$C$117</definedName>
    <definedName name="k_fluid">Main!$B$152</definedName>
    <definedName name="k_insulation">Main!$C$124</definedName>
    <definedName name="k_riser">Main!$C$120</definedName>
    <definedName name="L_a">Main!$B$63</definedName>
    <definedName name="L_a_tube">Main!#REF!</definedName>
    <definedName name="L_af">Main!$B$43</definedName>
    <definedName name="l_B">Main!$B$28</definedName>
    <definedName name="l_c">Main!$B$27</definedName>
    <definedName name="L_f0">Main!$B$73</definedName>
    <definedName name="L_f1">Main!$B$81</definedName>
    <definedName name="L_f2">Main!$B$90</definedName>
    <definedName name="L_f3">Main!$B$95</definedName>
    <definedName name="L_hd">Main!#REF!</definedName>
    <definedName name="l_i">Main!$B$42</definedName>
    <definedName name="L_riser">Main!$B$32</definedName>
    <definedName name="L_vf">Main!#REF!</definedName>
    <definedName name="lambd_abs">Main!$B$119</definedName>
    <definedName name="lambd_ail">Main!$B$123</definedName>
    <definedName name="lambd_riser">Main!$B$120</definedName>
    <definedName name="largeur">Main!$B$21</definedName>
    <definedName name="longueur">Main!$B$20</definedName>
    <definedName name="m_dot">Main!$B$157</definedName>
    <definedName name="mu_fluid">Main!$B$154</definedName>
    <definedName name="N_ail">Main!$B$57</definedName>
    <definedName name="N_f0">Main!$B$72</definedName>
    <definedName name="N_f1">Main!$B$80</definedName>
    <definedName name="N_f2">Main!$B$89</definedName>
    <definedName name="N_f3">Main!$B$94</definedName>
    <definedName name="N_fins_on_abs">Main!#REF!</definedName>
    <definedName name="N_fins_on_tube">Main!#REF!</definedName>
    <definedName name="N_fins_per_EP">Main!$B$58</definedName>
    <definedName name="N_harp">Main!$B$35</definedName>
    <definedName name="N_harp_actual">Main!$B$36</definedName>
    <definedName name="N_meander">Main!$B$37</definedName>
    <definedName name="Nu_fluid">Main!$B$164</definedName>
    <definedName name="orientation">Main!$B$34</definedName>
    <definedName name="Pr_fluid">Main!$B$163</definedName>
    <definedName name="R_2">Main!$B$135</definedName>
    <definedName name="R_B">Main!$B$136</definedName>
    <definedName name="R_INTER">Main!$B$133</definedName>
    <definedName name="R_T">Main!$B$134</definedName>
    <definedName name="R_TOP">Main!$B$132</definedName>
    <definedName name="Re">Main!$B$162</definedName>
    <definedName name="rho_fluid">Main!$B$153</definedName>
    <definedName name="sigma">Main!$B$4</definedName>
    <definedName name="T_amb">Main!$B$144</definedName>
    <definedName name="T_back">Main!$B$145</definedName>
    <definedName name="T_fluid_in0">Main!$B$149</definedName>
    <definedName name="T_ref">Main!$B$10</definedName>
    <definedName name="T_sky">Main!$B$143</definedName>
    <definedName name="tau_alpha">Main!$B$103</definedName>
    <definedName name="test">Main!$B$1</definedName>
    <definedName name="theta">Main!$B$17</definedName>
    <definedName name="tube_contact">Main!#REF!</definedName>
    <definedName name="tube_conv">Main!$B$49</definedName>
    <definedName name="u">Main!$B$146</definedName>
    <definedName name="W">Main!$B$41</definedName>
    <definedName name="X_corr">Main!$B$13</definedName>
    <definedName name="Z_2">Main!#REF!</definedName>
    <definedName name="zeta">Main!#REF!</definedName>
    <definedName name="zetap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17" i="6"/>
  <c r="B41" i="1"/>
  <c r="C4" i="6" s="1"/>
  <c r="B149" i="1"/>
  <c r="B144" i="1"/>
  <c r="B145" i="1" s="1"/>
  <c r="C23" i="6"/>
  <c r="C25" i="6"/>
  <c r="C26" i="6"/>
  <c r="C27" i="6"/>
  <c r="C28" i="6"/>
  <c r="C29" i="6"/>
  <c r="C30" i="6"/>
  <c r="C31" i="6"/>
  <c r="B31" i="6"/>
  <c r="B30" i="6"/>
  <c r="B22" i="6"/>
  <c r="B23" i="6"/>
  <c r="B24" i="6"/>
  <c r="B25" i="6"/>
  <c r="B26" i="6"/>
  <c r="B27" i="6"/>
  <c r="B21" i="6"/>
  <c r="C21" i="6"/>
  <c r="C8" i="6" l="1"/>
  <c r="B26" i="1"/>
  <c r="B28" i="1"/>
  <c r="C7" i="6" s="1"/>
  <c r="B50" i="1"/>
  <c r="B72" i="1" l="1"/>
  <c r="B80" i="1"/>
  <c r="B90" i="1"/>
  <c r="B73" i="1"/>
  <c r="B74" i="1" l="1"/>
  <c r="B76" i="1" s="1"/>
  <c r="B89" i="1"/>
  <c r="B82" i="1"/>
  <c r="B86" i="1" s="1"/>
  <c r="B137" i="1" l="1"/>
  <c r="J110" i="1"/>
  <c r="B112" i="1"/>
  <c r="C24" i="6" s="1"/>
  <c r="B110" i="1"/>
  <c r="C22" i="6" s="1"/>
  <c r="C3" i="6"/>
  <c r="B122" i="1"/>
  <c r="C122" i="1"/>
  <c r="C9" i="6"/>
  <c r="E18" i="1"/>
  <c r="C18" i="6"/>
  <c r="C6" i="6"/>
  <c r="C2" i="6"/>
  <c r="C15" i="6"/>
  <c r="C14" i="6"/>
  <c r="C12" i="6"/>
  <c r="C11" i="6"/>
  <c r="C10" i="6"/>
  <c r="B61" i="1"/>
  <c r="C58" i="1"/>
  <c r="B126" i="1" l="1"/>
  <c r="B25" i="1"/>
  <c r="B21" i="1"/>
  <c r="G41" i="1"/>
  <c r="F41" i="1" l="1"/>
  <c r="B43" i="1"/>
  <c r="B66" i="1" s="1"/>
  <c r="B32" i="1"/>
  <c r="B22" i="1"/>
  <c r="B157" i="1"/>
  <c r="B42" i="1"/>
  <c r="B160" i="1"/>
  <c r="B159" i="1" l="1"/>
  <c r="B167" i="1"/>
  <c r="C5" i="6"/>
  <c r="B67" i="1"/>
  <c r="B68" i="1" s="1"/>
  <c r="B9" i="1"/>
  <c r="C68" i="1" l="1"/>
  <c r="B69" i="1"/>
  <c r="D159" i="1"/>
  <c r="B161" i="1" s="1"/>
  <c r="B162" i="1" s="1"/>
  <c r="G157" i="1"/>
  <c r="G63" i="1"/>
  <c r="I63" i="1"/>
  <c r="B164" i="1" l="1"/>
  <c r="B165" i="1" l="1"/>
  <c r="B125" i="1" s="1"/>
  <c r="C16" i="6" s="1"/>
  <c r="B143" i="1"/>
  <c r="B141" i="1" s="1"/>
  <c r="B59" i="1" l="1"/>
  <c r="B60" i="1"/>
  <c r="D124" i="1" l="1"/>
  <c r="D118" i="1" l="1"/>
  <c r="G118" i="1" s="1"/>
  <c r="B158" i="1" l="1"/>
  <c r="B46" i="1"/>
  <c r="B45" i="1"/>
  <c r="D145" i="1" l="1"/>
  <c r="D144" i="1"/>
  <c r="C10" i="1" l="1"/>
  <c r="D143" i="1"/>
  <c r="D125" i="1" l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9" i="1"/>
  <c r="G119" i="1" s="1"/>
  <c r="D121" i="1"/>
  <c r="G121" i="1" s="1"/>
  <c r="D122" i="1"/>
  <c r="G122" i="1" s="1"/>
  <c r="D123" i="1"/>
  <c r="G123" i="1" s="1"/>
  <c r="G124" i="1"/>
  <c r="B135" i="1" s="1"/>
  <c r="B136" i="1" s="1"/>
  <c r="D109" i="1"/>
  <c r="G109" i="1" s="1"/>
  <c r="B132" i="1" s="1"/>
  <c r="B133" i="1" l="1"/>
  <c r="H108" i="1"/>
  <c r="H118" i="1" s="1"/>
  <c r="I55" i="1"/>
  <c r="G55" i="1"/>
  <c r="B55" i="1"/>
  <c r="D126" i="1"/>
  <c r="B134" i="1"/>
  <c r="B81" i="1" l="1"/>
  <c r="B85" i="1" s="1"/>
  <c r="C85" i="1" s="1"/>
  <c r="B91" i="1"/>
  <c r="H110" i="1"/>
  <c r="H111" i="1"/>
  <c r="H112" i="1"/>
  <c r="H113" i="1"/>
  <c r="H114" i="1"/>
  <c r="H115" i="1"/>
  <c r="H116" i="1"/>
  <c r="H109" i="1"/>
  <c r="H117" i="1"/>
  <c r="D130" i="1"/>
  <c r="D120" i="1" l="1"/>
  <c r="G120" i="1" s="1"/>
  <c r="I1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tc={093B1D8F-1D98-418E-92EF-45D3D291F5B0}</author>
    <author>tc={D137E0A2-0792-4F1D-8DCF-4C1BCE068DED}</author>
    <author>tc={02308CF5-8010-47C7-805A-0691D7A7CF23}</author>
    <author>tc={7EDE9B34-B53C-44F9-8DDD-365CD60F8E14}</author>
    <author>tc={F8DD3D5E-6469-4A02-8BB5-98EC93A4D81B}</author>
  </authors>
  <commentList>
    <comment ref="C109" authorId="0" shapeId="0" xr:uid="{093B1D8F-1D98-418E-92EF-45D3D291F5B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https://fr.wikipedia.org/wiki/Liste_de_conductivit%C3%A9s_thermiques</t>
      </text>
    </comment>
    <comment ref="C110" authorId="1" shapeId="0" xr:uid="{D137E0A2-0792-4F1D-8DCF-4C1BCE068DE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https://aip.scitation.org/doi/10.1063/1.4944557</t>
      </text>
    </comment>
    <comment ref="C113" authorId="2" shapeId="0" xr:uid="{02308CF5-8010-47C7-805A-0691D7A7CF2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https://www.fluorotherm.com/technical-information/materials-overview/pvdf-properties/</t>
      </text>
    </comment>
    <comment ref="C114" authorId="3" shapeId="0" xr:uid="{7EDE9B34-B53C-44F9-8DDD-365CD60F8E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https://material-properties.org/pet-density-strength-melting-point-thermal-conductivity/#:~:text=Thermal%20conductivity%20of%20PET%20is%200.3%20W%2F(m%C2%B7K).</t>
      </text>
    </comment>
    <comment ref="B157" authorId="4" shapeId="0" xr:uid="{F8DD3D5E-6469-4A02-8BB5-98EC93A4D8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Norme ISO : 0,02 kg/s par m2 de collecteur
Réponse :
    La valeur de 0.034 c'est celle des tests du TÜV</t>
      </text>
    </comment>
  </commentList>
</comments>
</file>

<file path=xl/sharedStrings.xml><?xml version="1.0" encoding="utf-8"?>
<sst xmlns="http://schemas.openxmlformats.org/spreadsheetml/2006/main" count="295" uniqueCount="220">
  <si>
    <t>Constantes physiques</t>
  </si>
  <si>
    <t>sigma : constante de Stefan-Boltzman</t>
  </si>
  <si>
    <t>Caractéristiques PV</t>
  </si>
  <si>
    <t>eta_nominal : efficacité nominale du PV</t>
  </si>
  <si>
    <t>Eff_T</t>
  </si>
  <si>
    <t>T_ref</t>
  </si>
  <si>
    <t>Eff_G</t>
  </si>
  <si>
    <t>G_ref</t>
  </si>
  <si>
    <t>X_corr</t>
  </si>
  <si>
    <t>Géométrie</t>
  </si>
  <si>
    <t>m</t>
  </si>
  <si>
    <t>m²</t>
  </si>
  <si>
    <t>D_tube : diamètre tube</t>
  </si>
  <si>
    <t>Caractéristiques thermiques/rayonnement</t>
  </si>
  <si>
    <t>tau_frontsheet</t>
  </si>
  <si>
    <t>-</t>
  </si>
  <si>
    <t>absorbance_cells</t>
  </si>
  <si>
    <t>absorbance_backsheet</t>
  </si>
  <si>
    <t>Facteur Correction</t>
  </si>
  <si>
    <t>Résistance corrigée</t>
  </si>
  <si>
    <t>Packing factor</t>
  </si>
  <si>
    <t>τα_eff</t>
  </si>
  <si>
    <t>eps : émissivité_frontsheet</t>
  </si>
  <si>
    <t>Résistance thermique des couches</t>
  </si>
  <si>
    <t>épaisseur</t>
  </si>
  <si>
    <t>conductivité</t>
  </si>
  <si>
    <t>résistance</t>
  </si>
  <si>
    <t>W/m/K</t>
  </si>
  <si>
    <t>m2.K/W</t>
  </si>
  <si>
    <t>Frontsheet : verre</t>
  </si>
  <si>
    <t>EVA</t>
  </si>
  <si>
    <t>Silicium (PV cells)</t>
  </si>
  <si>
    <t>Backsheet : PVDF</t>
  </si>
  <si>
    <t>Backsheet : PET</t>
  </si>
  <si>
    <t>Backsheet : Adhesive</t>
  </si>
  <si>
    <t>Fluide</t>
  </si>
  <si>
    <t>Isolant</t>
  </si>
  <si>
    <t>Hfluid : coefficient de transfert thermique interne du fluide</t>
  </si>
  <si>
    <t>h_top = h_outer = h_wind : coefficient de transfert thermique de l'avant collecteur à l'air</t>
  </si>
  <si>
    <t>h_inner = h_back : coefficient de transfert thermique de l'arrière collecteur à l'air</t>
  </si>
  <si>
    <t>R_TOP</t>
  </si>
  <si>
    <t>R_INTER = R_1 : résistance thermique des couches entre les cellules PV et l'absorbeur</t>
  </si>
  <si>
    <t>R_T : résistance thermique des cellules PV à la plaque d'absorption</t>
  </si>
  <si>
    <t>G_T0 : flux solaire (=G.IAM) (beam + diffuse) incident sur la surface du collecteur (POA)</t>
  </si>
  <si>
    <t>W/m²</t>
  </si>
  <si>
    <t>Contient déjà l'impact de l'orientation/ pente et de la réflexion du sol!</t>
  </si>
  <si>
    <t>G'</t>
  </si>
  <si>
    <t>T_sky : température du ciel pour le rayonnement longues-ondes</t>
  </si>
  <si>
    <t>K</t>
  </si>
  <si>
    <t>°C</t>
  </si>
  <si>
    <t>Par défaut : Tsky=Tamb-6</t>
  </si>
  <si>
    <t>T_amb : temp extérieur</t>
  </si>
  <si>
    <t>T_back : temp arrière</t>
  </si>
  <si>
    <t>Par défaut : Tback=Tamb si non intégré, 15°C si bipv</t>
  </si>
  <si>
    <t>Vitesse du vent</t>
  </si>
  <si>
    <t>m/s</t>
  </si>
  <si>
    <t>B0 (pour IAM)</t>
  </si>
  <si>
    <t>Pas utile</t>
  </si>
  <si>
    <t>Tf_in : température d'entrée</t>
  </si>
  <si>
    <t>Débit Q</t>
  </si>
  <si>
    <t>L/s</t>
  </si>
  <si>
    <t>L/h</t>
  </si>
  <si>
    <t>Cp - capacité thermique du fluide</t>
  </si>
  <si>
    <t>J/(kg.K)</t>
  </si>
  <si>
    <t>Eau : 4186, Glycol : 3782</t>
  </si>
  <si>
    <t>λ - conductivité thermique</t>
  </si>
  <si>
    <t>Eau : 0,62, Glycol40% : 0,42</t>
  </si>
  <si>
    <t>ρ - densité</t>
  </si>
  <si>
    <t>kg/m3</t>
  </si>
  <si>
    <t>Eau : 1000</t>
  </si>
  <si>
    <t>??</t>
  </si>
  <si>
    <t>Eau : 8,9e-4</t>
  </si>
  <si>
    <t>Qlinéique</t>
  </si>
  <si>
    <t>L/s/m</t>
  </si>
  <si>
    <t>V entrée fluide</t>
  </si>
  <si>
    <t>m_dot : débit massique de fluide dans le collecteur</t>
  </si>
  <si>
    <t>kg/s</t>
  </si>
  <si>
    <t>1 L eau = 1 kg eau</t>
  </si>
  <si>
    <t>à adapter avec de l'eau glycolée</t>
  </si>
  <si>
    <t>Horizontal = 0°, Vertical = 90°</t>
  </si>
  <si>
    <t>portrait</t>
  </si>
  <si>
    <t>Ailettes</t>
  </si>
  <si>
    <t>Ailettes : lambd_fin et k_fin</t>
  </si>
  <si>
    <t>Absorber plate : lambd_abs et k_abs</t>
  </si>
  <si>
    <t>DELTA_a : densité d'ailettes</t>
  </si>
  <si>
    <t>/m</t>
  </si>
  <si>
    <t>Tube en cuivre ?</t>
  </si>
  <si>
    <t>Adhesive, substrate / air</t>
  </si>
  <si>
    <t>Test</t>
  </si>
  <si>
    <t>Largeur panneau Spring 375 Shingle Black</t>
  </si>
  <si>
    <t>Longueur panneau Spring 375 Shingle Black</t>
  </si>
  <si>
    <t>Aire absorbeur</t>
  </si>
  <si>
    <t>Aire totale collecteur A_G</t>
  </si>
  <si>
    <t>SolarKeymark p50 : 0,02 kg/s par m2 collecteur</t>
  </si>
  <si>
    <t>m3/s</t>
  </si>
  <si>
    <t>W/m2/K</t>
  </si>
  <si>
    <t>=(W-D_tube)/2</t>
  </si>
  <si>
    <t>conductivité cuivre</t>
  </si>
  <si>
    <t>mm</t>
  </si>
  <si>
    <t>L_riser : longueur du riser dans la direction du flux</t>
  </si>
  <si>
    <t>C_B : conductivité entre l'absorbeur et le tuyau = conductivité du riser</t>
  </si>
  <si>
    <t>Longueur absorbeur = longueur ailette</t>
  </si>
  <si>
    <t>Largeur absorbeur ~ longueur riser</t>
  </si>
  <si>
    <t>Angle par rapport à l'horizontale (inclinaison toit)</t>
  </si>
  <si>
    <t>Thermoconductive plate</t>
  </si>
  <si>
    <t>R_B : résistance thermique de l'absorbeur à l'arrière du collecteur (hors tuyau)  CONVECTION + ISOLANT</t>
  </si>
  <si>
    <t>R_2 : résistance thermique de la couche entre l'absorbeur et la protection arrière collecteur (hors tuyau) ISOLANT</t>
  </si>
  <si>
    <t>iota : longueur à l'air libre au niveau de la base B</t>
  </si>
  <si>
    <t>D</t>
  </si>
  <si>
    <t>m2</t>
  </si>
  <si>
    <t>=0,02*A_G</t>
  </si>
  <si>
    <t>Coeff G'</t>
  </si>
  <si>
    <t>Hêta</t>
  </si>
  <si>
    <t>Dissipateur thermique modé 1</t>
  </si>
  <si>
    <t>Fin-and-tubes</t>
  </si>
  <si>
    <t>Fin-and-tubes modé 2</t>
  </si>
  <si>
    <t>coeff h_back</t>
  </si>
  <si>
    <t>Débit par riser en parallèle</t>
  </si>
  <si>
    <t>Vitesse dans un riser</t>
  </si>
  <si>
    <t>Section tube</t>
  </si>
  <si>
    <t>Reynolds</t>
  </si>
  <si>
    <t>μ : viscosité dynamique de l'eau</t>
  </si>
  <si>
    <t>Prandt eau</t>
  </si>
  <si>
    <t>h internal transfer</t>
  </si>
  <si>
    <t>Nu internal transfer</t>
  </si>
  <si>
    <r>
      <rPr>
        <b/>
        <sz val="11"/>
        <color theme="4"/>
        <rFont val="Calibri"/>
        <family val="2"/>
        <scheme val="minor"/>
      </rPr>
      <t>delta</t>
    </r>
    <r>
      <rPr>
        <sz val="11"/>
        <color theme="4"/>
        <rFont val="Calibri"/>
        <family val="2"/>
        <scheme val="minor"/>
      </rPr>
      <t xml:space="preserve"> : demi-intervalle entre deux risers (extérieur à extérieur)</t>
    </r>
  </si>
  <si>
    <t>L_a : longueur ailette // hauteur ailette (axe z) (fins_on_abs pour configuration 4)</t>
  </si>
  <si>
    <t>general</t>
  </si>
  <si>
    <t>D_4 : distance inter-ailettes pour la configuration 4</t>
  </si>
  <si>
    <t>N_meander = nombre de tranches de panneau (méandre)</t>
  </si>
  <si>
    <t>W en configuration méandre</t>
  </si>
  <si>
    <t>b_htop : Composante constante du h_top</t>
  </si>
  <si>
    <t>a_htop : Coefficient dépendant du vent h_top</t>
  </si>
  <si>
    <t>Dext_tube</t>
  </si>
  <si>
    <t>N_ailettes : nombre d'ailettes pour les configurations 1, 2 3,,</t>
  </si>
  <si>
    <t>air_layer</t>
  </si>
  <si>
    <t>nombre d'ailettes par pièce extrudée (configuration 4) EP = Extruded Part</t>
  </si>
  <si>
    <t>N_fins_per_EP</t>
  </si>
  <si>
    <t>e_abs</t>
  </si>
  <si>
    <t>pour F500</t>
  </si>
  <si>
    <t>pour F405</t>
  </si>
  <si>
    <t>repartition</t>
  </si>
  <si>
    <t>N_harp_actual : véritable nombre de risers en parallèle</t>
  </si>
  <si>
    <t>N_harp : nombre de risers en parallèle, virtuel pour modélisation asymétrique</t>
  </si>
  <si>
    <t>=0,18/B54</t>
  </si>
  <si>
    <t>W : écart entre deux tubes adjacents (direction x en méandre)</t>
  </si>
  <si>
    <t>changer selon méandre ou harpe</t>
  </si>
  <si>
    <t>=largeur en méandre</t>
  </si>
  <si>
    <t>TUV</t>
  </si>
  <si>
    <t>air_layer_TUV</t>
  </si>
  <si>
    <t>coeff_h_top</t>
  </si>
  <si>
    <t>champ</t>
  </si>
  <si>
    <t>a_htop</t>
  </si>
  <si>
    <t>b_htop</t>
  </si>
  <si>
    <t>coeff_h_back</t>
  </si>
  <si>
    <t>air layer thickness</t>
  </si>
  <si>
    <t>insulation thickness</t>
  </si>
  <si>
    <t>N_meander</t>
  </si>
  <si>
    <t>L_riser</t>
  </si>
  <si>
    <t>D_tube</t>
  </si>
  <si>
    <t>largeur tranche verticale d'absorbeur i (=W en méandre)</t>
  </si>
  <si>
    <t>=h_top(DT)</t>
  </si>
  <si>
    <t>theta</t>
  </si>
  <si>
    <t>°</t>
  </si>
  <si>
    <t>Ws/(m3K)</t>
  </si>
  <si>
    <t>h_fluid</t>
  </si>
  <si>
    <t>W/(m2K)</t>
  </si>
  <si>
    <t>l_c</t>
  </si>
  <si>
    <t>iota</t>
  </si>
  <si>
    <t>Tube en cuivre</t>
  </si>
  <si>
    <t>k_riser</t>
  </si>
  <si>
    <t>L_af : longueur de "absorber-fin" c'est-à-dire la partie sujette au bilan énergétique n°2</t>
  </si>
  <si>
    <t>nombre de pièces extrudées</t>
  </si>
  <si>
    <t>N_harp</t>
  </si>
  <si>
    <t>meander</t>
  </si>
  <si>
    <t>L_f0</t>
  </si>
  <si>
    <t>delta_f0</t>
  </si>
  <si>
    <t>N_f0</t>
  </si>
  <si>
    <t>N_f1</t>
  </si>
  <si>
    <t>L_f1</t>
  </si>
  <si>
    <t>delta_f1</t>
  </si>
  <si>
    <t>fin_2 : ailettes rectangulaires contre l'absorbeur répétées transversalement au riser tous les D</t>
  </si>
  <si>
    <t>fin_3 : ailettes verticales entre l'absorbeur et le tube</t>
  </si>
  <si>
    <t>N_f3</t>
  </si>
  <si>
    <t>L_f3</t>
  </si>
  <si>
    <t>delta_f3</t>
  </si>
  <si>
    <t>delta_f2</t>
  </si>
  <si>
    <t>L_f2</t>
  </si>
  <si>
    <t>fin_1 : ailettes rectangulaires horizontales contre les tubes répétées transversalement au riser tous les D (sortie flux nul)</t>
  </si>
  <si>
    <t>fin_0 : ailettes rectangulaires verticales contre les tubes répétées transversalement au riser tous les D (sortie libre)</t>
  </si>
  <si>
    <t>coeff_f1</t>
  </si>
  <si>
    <t>Hypothèses</t>
  </si>
  <si>
    <t>Surface d'échange pour un riser</t>
  </si>
  <si>
    <t>abs_fin</t>
  </si>
  <si>
    <t>L_af</t>
  </si>
  <si>
    <t>delta_af</t>
  </si>
  <si>
    <t>coeff_b_htop</t>
  </si>
  <si>
    <t>Contact d'un riser</t>
  </si>
  <si>
    <t>N_f2 : nombre d'ailettes associées à un riser (à une tranche i)</t>
  </si>
  <si>
    <t>delta_f0^int</t>
  </si>
  <si>
    <t>delta_f1^int</t>
  </si>
  <si>
    <t>mdot * Cp</t>
  </si>
  <si>
    <t>T_guess</t>
  </si>
  <si>
    <t>multi</t>
  </si>
  <si>
    <t>l_c : largeur de la soudure</t>
  </si>
  <si>
    <t>l_B : largeur de la base sous le tube</t>
  </si>
  <si>
    <t>l_B</t>
  </si>
  <si>
    <t>Absorber plate</t>
  </si>
  <si>
    <t>Air</t>
  </si>
  <si>
    <t>a_htop_TUV</t>
  </si>
  <si>
    <t>coeff_h_top_TUV</t>
  </si>
  <si>
    <t>coeff_h_back_TUV</t>
  </si>
  <si>
    <t>parametric_insulation</t>
  </si>
  <si>
    <t>Isolé ?</t>
  </si>
  <si>
    <t>Convection tubes ?</t>
  </si>
  <si>
    <t>N_riser</t>
  </si>
  <si>
    <t>Orientation</t>
  </si>
  <si>
    <t>W</t>
  </si>
  <si>
    <t>orientation</t>
  </si>
  <si>
    <t>N_max : nombre maximal de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</si>
</sst>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%"/>
    <numFmt numFmtId="166" formatCode="0.000"/>
    <numFmt numFmtId="167" formatCode="0.0000"/>
    <numFmt numFmtId="168" formatCode="0.00000"/>
    <numFmt numFmtId="169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theme="4"/>
      <name val="Calibri"/>
      <family val="2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sz val="8"/>
      <color rgb="FFCE9178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63">
    <xf numFmtId="0" fontId="0" fillId="0" borderId="0" xfId="0"/>
    <xf numFmtId="0" fontId="3" fillId="3" borderId="1" xfId="0" applyFont="1" applyFill="1" applyBorder="1"/>
    <xf numFmtId="11" fontId="4" fillId="4" borderId="1" xfId="0" applyNumberFormat="1" applyFont="1" applyFill="1" applyBorder="1"/>
    <xf numFmtId="0" fontId="0" fillId="3" borderId="0" xfId="0" applyFill="1"/>
    <xf numFmtId="0" fontId="3" fillId="0" borderId="1" xfId="0" applyFont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0" borderId="1" xfId="0" applyFont="1" applyBorder="1"/>
    <xf numFmtId="164" fontId="4" fillId="0" borderId="4" xfId="0" applyNumberFormat="1" applyFont="1" applyBorder="1"/>
    <xf numFmtId="164" fontId="4" fillId="0" borderId="3" xfId="0" applyNumberFormat="1" applyFont="1" applyBorder="1"/>
    <xf numFmtId="0" fontId="3" fillId="0" borderId="4" xfId="0" applyFont="1" applyBorder="1"/>
    <xf numFmtId="0" fontId="3" fillId="0" borderId="3" xfId="0" applyFont="1" applyBorder="1"/>
    <xf numFmtId="0" fontId="0" fillId="0" borderId="1" xfId="0" applyBorder="1"/>
    <xf numFmtId="0" fontId="3" fillId="3" borderId="0" xfId="0" applyFont="1" applyFill="1"/>
    <xf numFmtId="0" fontId="3" fillId="0" borderId="0" xfId="0" applyFont="1"/>
    <xf numFmtId="164" fontId="3" fillId="0" borderId="1" xfId="0" applyNumberFormat="1" applyFont="1" applyBorder="1"/>
    <xf numFmtId="0" fontId="0" fillId="0" borderId="1" xfId="0" quotePrefix="1" applyBorder="1"/>
    <xf numFmtId="16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9" fontId="3" fillId="0" borderId="4" xfId="1" applyFont="1" applyBorder="1"/>
    <xf numFmtId="0" fontId="0" fillId="0" borderId="0" xfId="0" applyAlignment="1">
      <alignment wrapText="1"/>
    </xf>
    <xf numFmtId="0" fontId="5" fillId="3" borderId="4" xfId="0" applyFont="1" applyFill="1" applyBorder="1"/>
    <xf numFmtId="9" fontId="3" fillId="3" borderId="4" xfId="1" applyFont="1" applyFill="1" applyBorder="1"/>
    <xf numFmtId="9" fontId="6" fillId="0" borderId="3" xfId="1" applyFont="1" applyBorder="1"/>
    <xf numFmtId="165" fontId="0" fillId="0" borderId="0" xfId="1" applyNumberFormat="1" applyFont="1"/>
    <xf numFmtId="0" fontId="3" fillId="3" borderId="4" xfId="0" applyFont="1" applyFill="1" applyBorder="1"/>
    <xf numFmtId="0" fontId="5" fillId="0" borderId="4" xfId="0" applyFont="1" applyBorder="1"/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/>
    <xf numFmtId="0" fontId="3" fillId="5" borderId="1" xfId="0" applyFont="1" applyFill="1" applyBorder="1"/>
    <xf numFmtId="166" fontId="4" fillId="0" borderId="1" xfId="0" applyNumberFormat="1" applyFont="1" applyBorder="1" applyAlignment="1">
      <alignment horizontal="left"/>
    </xf>
    <xf numFmtId="0" fontId="3" fillId="0" borderId="5" xfId="0" applyFont="1" applyBorder="1"/>
    <xf numFmtId="166" fontId="6" fillId="0" borderId="1" xfId="0" applyNumberFormat="1" applyFont="1" applyBorder="1" applyAlignment="1">
      <alignment horizontal="left"/>
    </xf>
    <xf numFmtId="0" fontId="0" fillId="0" borderId="7" xfId="0" applyBorder="1"/>
    <xf numFmtId="0" fontId="3" fillId="0" borderId="3" xfId="0" applyFont="1" applyBorder="1" applyAlignment="1">
      <alignment horizontal="center"/>
    </xf>
    <xf numFmtId="0" fontId="4" fillId="3" borderId="1" xfId="0" applyFont="1" applyFill="1" applyBorder="1"/>
    <xf numFmtId="166" fontId="4" fillId="0" borderId="1" xfId="0" applyNumberFormat="1" applyFont="1" applyBorder="1"/>
    <xf numFmtId="167" fontId="6" fillId="0" borderId="1" xfId="0" applyNumberFormat="1" applyFont="1" applyBorder="1" applyAlignment="1">
      <alignment horizontal="left"/>
    </xf>
    <xf numFmtId="164" fontId="0" fillId="0" borderId="7" xfId="0" applyNumberFormat="1" applyBorder="1"/>
    <xf numFmtId="167" fontId="4" fillId="0" borderId="1" xfId="0" applyNumberFormat="1" applyFont="1" applyBorder="1" applyAlignment="1">
      <alignment horizontal="left"/>
    </xf>
    <xf numFmtId="166" fontId="0" fillId="0" borderId="0" xfId="0" applyNumberFormat="1"/>
    <xf numFmtId="2" fontId="0" fillId="0" borderId="7" xfId="0" applyNumberFormat="1" applyBorder="1"/>
    <xf numFmtId="164" fontId="0" fillId="0" borderId="6" xfId="0" applyNumberFormat="1" applyBorder="1"/>
    <xf numFmtId="0" fontId="4" fillId="0" borderId="4" xfId="0" applyFont="1" applyBorder="1"/>
    <xf numFmtId="166" fontId="4" fillId="0" borderId="2" xfId="0" applyNumberFormat="1" applyFont="1" applyBorder="1"/>
    <xf numFmtId="0" fontId="4" fillId="0" borderId="3" xfId="0" applyFont="1" applyBorder="1"/>
    <xf numFmtId="166" fontId="6" fillId="0" borderId="0" xfId="0" applyNumberFormat="1" applyFont="1" applyAlignment="1">
      <alignment horizontal="left"/>
    </xf>
    <xf numFmtId="164" fontId="0" fillId="0" borderId="0" xfId="0" applyNumberFormat="1"/>
    <xf numFmtId="166" fontId="4" fillId="0" borderId="0" xfId="0" applyNumberFormat="1" applyFont="1" applyAlignment="1">
      <alignment horizontal="left"/>
    </xf>
    <xf numFmtId="0" fontId="4" fillId="3" borderId="4" xfId="0" applyFont="1" applyFill="1" applyBorder="1"/>
    <xf numFmtId="0" fontId="4" fillId="3" borderId="2" xfId="0" applyFont="1" applyFill="1" applyBorder="1"/>
    <xf numFmtId="0" fontId="4" fillId="0" borderId="0" xfId="0" applyFont="1"/>
    <xf numFmtId="11" fontId="0" fillId="0" borderId="1" xfId="0" applyNumberFormat="1" applyBorder="1"/>
    <xf numFmtId="0" fontId="3" fillId="0" borderId="7" xfId="0" applyFont="1" applyBorder="1"/>
    <xf numFmtId="0" fontId="0" fillId="0" borderId="7" xfId="0" quotePrefix="1" applyBorder="1"/>
    <xf numFmtId="0" fontId="0" fillId="6" borderId="0" xfId="0" applyFill="1"/>
    <xf numFmtId="0" fontId="3" fillId="0" borderId="5" xfId="0" applyFont="1" applyBorder="1" applyAlignment="1">
      <alignment horizontal="left" vertical="center"/>
    </xf>
    <xf numFmtId="1" fontId="0" fillId="0" borderId="1" xfId="0" applyNumberFormat="1" applyBorder="1"/>
    <xf numFmtId="0" fontId="7" fillId="3" borderId="6" xfId="0" applyFont="1" applyFill="1" applyBorder="1"/>
    <xf numFmtId="0" fontId="3" fillId="3" borderId="6" xfId="0" applyFont="1" applyFill="1" applyBorder="1"/>
    <xf numFmtId="0" fontId="7" fillId="0" borderId="1" xfId="0" applyFont="1" applyBorder="1"/>
    <xf numFmtId="11" fontId="3" fillId="0" borderId="1" xfId="0" applyNumberFormat="1" applyFont="1" applyBorder="1"/>
    <xf numFmtId="0" fontId="8" fillId="0" borderId="1" xfId="0" applyFont="1" applyBorder="1"/>
    <xf numFmtId="2" fontId="0" fillId="0" borderId="1" xfId="0" applyNumberFormat="1" applyBorder="1"/>
    <xf numFmtId="0" fontId="8" fillId="3" borderId="4" xfId="0" applyFont="1" applyFill="1" applyBorder="1"/>
    <xf numFmtId="0" fontId="0" fillId="0" borderId="0" xfId="0"/>
    <xf numFmtId="0" fontId="0" fillId="0" borderId="3" xfId="0" applyBorder="1"/>
    <xf numFmtId="0" fontId="0" fillId="0" borderId="0" xfId="0"/>
    <xf numFmtId="0" fontId="3" fillId="3" borderId="0" xfId="0" applyFont="1" applyFill="1" applyBorder="1"/>
    <xf numFmtId="168" fontId="4" fillId="0" borderId="1" xfId="0" applyNumberFormat="1" applyFont="1" applyBorder="1" applyAlignment="1">
      <alignment horizontal="left"/>
    </xf>
    <xf numFmtId="168" fontId="6" fillId="0" borderId="1" xfId="0" applyNumberFormat="1" applyFont="1" applyBorder="1" applyAlignment="1">
      <alignment horizontal="left"/>
    </xf>
    <xf numFmtId="0" fontId="0" fillId="0" borderId="0" xfId="0"/>
    <xf numFmtId="0" fontId="3" fillId="7" borderId="1" xfId="0" applyFont="1" applyFill="1" applyBorder="1"/>
    <xf numFmtId="168" fontId="4" fillId="7" borderId="1" xfId="0" applyNumberFormat="1" applyFont="1" applyFill="1" applyBorder="1" applyAlignment="1">
      <alignment horizontal="left"/>
    </xf>
    <xf numFmtId="0" fontId="3" fillId="8" borderId="1" xfId="0" applyFont="1" applyFill="1" applyBorder="1"/>
    <xf numFmtId="0" fontId="0" fillId="0" borderId="0" xfId="0"/>
    <xf numFmtId="2" fontId="4" fillId="0" borderId="2" xfId="0" applyNumberFormat="1" applyFont="1" applyBorder="1"/>
    <xf numFmtId="2" fontId="4" fillId="0" borderId="4" xfId="0" applyNumberFormat="1" applyFont="1" applyBorder="1"/>
    <xf numFmtId="169" fontId="0" fillId="0" borderId="2" xfId="0" applyNumberFormat="1" applyBorder="1"/>
    <xf numFmtId="166" fontId="0" fillId="9" borderId="2" xfId="0" applyNumberFormat="1" applyFill="1" applyBorder="1"/>
    <xf numFmtId="0" fontId="0" fillId="0" borderId="0" xfId="0" quotePrefix="1"/>
    <xf numFmtId="0" fontId="0" fillId="0" borderId="0" xfId="0" applyFill="1"/>
    <xf numFmtId="0" fontId="9" fillId="3" borderId="6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/>
    <xf numFmtId="0" fontId="3" fillId="0" borderId="4" xfId="0" applyFont="1" applyFill="1" applyBorder="1"/>
    <xf numFmtId="165" fontId="0" fillId="0" borderId="0" xfId="0" applyNumberFormat="1"/>
    <xf numFmtId="11" fontId="4" fillId="0" borderId="1" xfId="0" applyNumberFormat="1" applyFont="1" applyBorder="1" applyAlignment="1">
      <alignment horizontal="left"/>
    </xf>
    <xf numFmtId="0" fontId="0" fillId="0" borderId="0" xfId="0"/>
    <xf numFmtId="0" fontId="3" fillId="0" borderId="0" xfId="0" applyFont="1" applyBorder="1"/>
    <xf numFmtId="164" fontId="0" fillId="0" borderId="0" xfId="0" applyNumberFormat="1" applyBorder="1" applyAlignment="1">
      <alignment horizontal="left"/>
    </xf>
    <xf numFmtId="167" fontId="0" fillId="0" borderId="0" xfId="0" applyNumberFormat="1" applyFill="1"/>
    <xf numFmtId="0" fontId="0" fillId="0" borderId="8" xfId="0" applyBorder="1"/>
    <xf numFmtId="0" fontId="0" fillId="0" borderId="0" xfId="0" applyBorder="1"/>
    <xf numFmtId="166" fontId="0" fillId="3" borderId="0" xfId="0" applyNumberFormat="1" applyFill="1"/>
    <xf numFmtId="168" fontId="4" fillId="0" borderId="3" xfId="0" applyNumberFormat="1" applyFont="1" applyBorder="1" applyAlignment="1">
      <alignment horizontal="left"/>
    </xf>
    <xf numFmtId="0" fontId="3" fillId="7" borderId="5" xfId="0" applyFont="1" applyFill="1" applyBorder="1"/>
    <xf numFmtId="0" fontId="3" fillId="8" borderId="6" xfId="0" applyFont="1" applyFill="1" applyBorder="1"/>
    <xf numFmtId="0" fontId="9" fillId="3" borderId="16" xfId="0" applyFont="1" applyFill="1" applyBorder="1"/>
    <xf numFmtId="0" fontId="9" fillId="3" borderId="17" xfId="0" applyFont="1" applyFill="1" applyBorder="1"/>
    <xf numFmtId="1" fontId="3" fillId="3" borderId="1" xfId="0" applyNumberFormat="1" applyFont="1" applyFill="1" applyBorder="1"/>
    <xf numFmtId="11" fontId="0" fillId="0" borderId="0" xfId="0" applyNumberFormat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center" wrapText="1"/>
    </xf>
    <xf numFmtId="168" fontId="4" fillId="7" borderId="0" xfId="0" applyNumberFormat="1" applyFont="1" applyFill="1" applyBorder="1" applyAlignment="1">
      <alignment horizontal="left"/>
    </xf>
    <xf numFmtId="168" fontId="4" fillId="0" borderId="0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167" fontId="4" fillId="0" borderId="0" xfId="0" applyNumberFormat="1" applyFont="1" applyBorder="1" applyAlignment="1">
      <alignment horizontal="left"/>
    </xf>
    <xf numFmtId="0" fontId="0" fillId="0" borderId="0" xfId="0"/>
    <xf numFmtId="9" fontId="0" fillId="3" borderId="0" xfId="0" applyNumberFormat="1" applyFill="1"/>
    <xf numFmtId="0" fontId="8" fillId="3" borderId="0" xfId="0" applyFont="1" applyFill="1" applyBorder="1"/>
    <xf numFmtId="169" fontId="0" fillId="0" borderId="0" xfId="0" applyNumberFormat="1" applyBorder="1"/>
    <xf numFmtId="0" fontId="8" fillId="0" borderId="0" xfId="0" applyFont="1" applyFill="1" applyBorder="1"/>
    <xf numFmtId="0" fontId="0" fillId="0" borderId="15" xfId="0" applyFill="1" applyBorder="1"/>
    <xf numFmtId="0" fontId="0" fillId="0" borderId="0" xfId="0" applyFill="1" applyBorder="1"/>
    <xf numFmtId="2" fontId="0" fillId="0" borderId="0" xfId="0" applyNumberFormat="1" applyBorder="1"/>
    <xf numFmtId="169" fontId="0" fillId="0" borderId="0" xfId="0" applyNumberFormat="1"/>
    <xf numFmtId="2" fontId="3" fillId="3" borderId="4" xfId="0" applyNumberFormat="1" applyFont="1" applyFill="1" applyBorder="1"/>
    <xf numFmtId="0" fontId="0" fillId="0" borderId="0" xfId="0"/>
    <xf numFmtId="0" fontId="0" fillId="0" borderId="0" xfId="0"/>
    <xf numFmtId="0" fontId="0" fillId="5" borderId="19" xfId="0" applyFill="1" applyBorder="1"/>
    <xf numFmtId="0" fontId="0" fillId="5" borderId="0" xfId="0" applyFill="1" applyBorder="1"/>
    <xf numFmtId="0" fontId="0" fillId="5" borderId="0" xfId="0" applyFill="1"/>
    <xf numFmtId="166" fontId="0" fillId="5" borderId="0" xfId="0" applyNumberFormat="1" applyFill="1"/>
    <xf numFmtId="0" fontId="3" fillId="5" borderId="0" xfId="0" applyFont="1" applyFill="1" applyAlignment="1">
      <alignment horizontal="right"/>
    </xf>
    <xf numFmtId="166" fontId="3" fillId="5" borderId="1" xfId="0" applyNumberFormat="1" applyFont="1" applyFill="1" applyBorder="1"/>
    <xf numFmtId="166" fontId="3" fillId="5" borderId="0" xfId="0" applyNumberFormat="1" applyFont="1" applyFill="1" applyBorder="1"/>
    <xf numFmtId="167" fontId="0" fillId="5" borderId="0" xfId="0" applyNumberFormat="1" applyFill="1"/>
    <xf numFmtId="166" fontId="4" fillId="9" borderId="4" xfId="0" applyNumberFormat="1" applyFont="1" applyFill="1" applyBorder="1"/>
    <xf numFmtId="0" fontId="0" fillId="0" borderId="0" xfId="0" quotePrefix="1" applyFill="1" applyBorder="1"/>
    <xf numFmtId="2" fontId="0" fillId="5" borderId="18" xfId="0" applyNumberFormat="1" applyFill="1" applyBorder="1"/>
    <xf numFmtId="166" fontId="0" fillId="0" borderId="0" xfId="0" applyNumberFormat="1" applyBorder="1"/>
    <xf numFmtId="0" fontId="0" fillId="0" borderId="0" xfId="0"/>
    <xf numFmtId="0" fontId="0" fillId="0" borderId="15" xfId="0" applyBorder="1"/>
    <xf numFmtId="0" fontId="0" fillId="0" borderId="0" xfId="0" quotePrefix="1" applyBorder="1" applyAlignment="1">
      <alignment horizontal="right"/>
    </xf>
    <xf numFmtId="166" fontId="4" fillId="5" borderId="1" xfId="0" applyNumberFormat="1" applyFont="1" applyFill="1" applyBorder="1"/>
    <xf numFmtId="11" fontId="0" fillId="0" borderId="0" xfId="0" applyNumberFormat="1" applyBorder="1"/>
    <xf numFmtId="165" fontId="4" fillId="0" borderId="0" xfId="0" applyNumberFormat="1" applyFont="1" applyBorder="1" applyAlignment="1">
      <alignment horizontal="left"/>
    </xf>
    <xf numFmtId="1" fontId="0" fillId="5" borderId="0" xfId="0" applyNumberFormat="1" applyFill="1"/>
    <xf numFmtId="2" fontId="0" fillId="0" borderId="0" xfId="0" quotePrefix="1" applyNumberFormat="1"/>
    <xf numFmtId="0" fontId="0" fillId="0" borderId="0" xfId="0" applyAlignment="1">
      <alignment horizontal="right"/>
    </xf>
    <xf numFmtId="0" fontId="10" fillId="0" borderId="0" xfId="0" applyFont="1" applyAlignment="1">
      <alignment vertical="center"/>
    </xf>
    <xf numFmtId="1" fontId="0" fillId="0" borderId="10" xfId="0" applyNumberFormat="1" applyBorder="1"/>
    <xf numFmtId="1" fontId="0" fillId="0" borderId="10" xfId="0" applyNumberFormat="1" applyBorder="1" applyAlignment="1">
      <alignment horizontal="right"/>
    </xf>
    <xf numFmtId="164" fontId="0" fillId="0" borderId="13" xfId="0" applyNumberFormat="1" applyBorder="1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8" xfId="0" applyFont="1" applyFill="1" applyBorder="1" applyAlignment="1">
      <alignment horizontal="center"/>
    </xf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05/Documents/Ex-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euil1"/>
      <sheetName val="Feuil2"/>
      <sheetName val="Surfaces d'échange"/>
    </sheetNames>
    <sheetDataSet>
      <sheetData sheetId="0" refreshError="1"/>
      <sheetData sheetId="1">
        <row r="6">
          <cell r="H6">
            <v>1</v>
          </cell>
        </row>
        <row r="9">
          <cell r="B9">
            <v>5.0955257492428657E-3</v>
          </cell>
        </row>
        <row r="10">
          <cell r="B10">
            <v>2.5477628746214329E-3</v>
          </cell>
        </row>
      </sheetData>
      <sheetData sheetId="2">
        <row r="5">
          <cell r="G5" t="str">
            <v>gamma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DE" id="{360EDC67-DD6B-4CCC-8ACF-81CD4BCB5644}" userId="S::bu04@DualSun.onmicrosoft.com::0a562c12-29d3-4bdd-aef1-a10359ef041f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9" dT="2022-03-24T14:16:15.03" personId="{360EDC67-DD6B-4CCC-8ACF-81CD4BCB5644}" id="{093B1D8F-1D98-418E-92EF-45D3D291F5B0}">
    <text>https://fr.wikipedia.org/wiki/Liste_de_conductivit%C3%A9s_thermiques</text>
  </threadedComment>
  <threadedComment ref="C110" dT="2022-03-24T14:15:57.62" personId="{360EDC67-DD6B-4CCC-8ACF-81CD4BCB5644}" id="{D137E0A2-0792-4F1D-8DCF-4C1BCE068DED}">
    <text>https://aip.scitation.org/doi/10.1063/1.4944557</text>
  </threadedComment>
  <threadedComment ref="C113" dT="2022-03-24T14:25:57.70" personId="{360EDC67-DD6B-4CCC-8ACF-81CD4BCB5644}" id="{02308CF5-8010-47C7-805A-0691D7A7CF23}">
    <text>https://www.fluorotherm.com/technical-information/materials-overview/pvdf-properties/</text>
  </threadedComment>
  <threadedComment ref="C114" dT="2022-03-24T14:29:49.41" personId="{360EDC67-DD6B-4CCC-8ACF-81CD4BCB5644}" id="{7EDE9B34-B53C-44F9-8DDD-365CD60F8E14}">
    <text>https://material-properties.org/pet-density-strength-melting-point-thermal-conductivity/#:~:text=Thermal%20conductivity%20of%20PET%20is%200.3%20W%2F(m%C2%B7K).</text>
  </threadedComment>
  <threadedComment ref="B157" dT="2022-02-03T16:06:38.24" personId="{360EDC67-DD6B-4CCC-8ACF-81CD4BCB5644}" id="{F8DD3D5E-6469-4A02-8BB5-98EC93A4D81B}">
    <text>Norme ISO : 0,02 kg/s par m2 de collecteur</text>
  </threadedComment>
  <threadedComment ref="B157" dT="2022-03-16T09:37:54.64" personId="{360EDC67-DD6B-4CCC-8ACF-81CD4BCB5644}" id="{E1A0BED7-D0C6-413E-93D3-9B904B59FB3C}" parentId="{F8DD3D5E-6469-4A02-8BB5-98EC93A4D81B}">
    <text>La valeur de 0.034 c'est celle des tests du TÜV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M167"/>
  <sheetViews>
    <sheetView tabSelected="1" zoomScale="70" zoomScaleNormal="70" workbookViewId="0">
      <selection activeCell="E9" sqref="E9"/>
    </sheetView>
  </sheetViews>
  <sheetFormatPr baseColWidth="10" defaultRowHeight="14.4" x14ac:dyDescent="0.3"/>
  <cols>
    <col min="1" max="1" width="118.44140625" style="70" customWidth="1"/>
    <col min="2" max="2" width="23.5546875" customWidth="1"/>
    <col min="3" max="3" width="15.109375" customWidth="1"/>
    <col min="4" max="4" width="16.6640625" customWidth="1"/>
    <col min="5" max="5" width="27.109375" customWidth="1"/>
    <col min="6" max="6" width="22.5546875" style="128" customWidth="1"/>
    <col min="7" max="7" width="19.33203125" customWidth="1"/>
    <col min="8" max="8" width="21.21875" style="98" customWidth="1"/>
    <col min="11" max="11" width="11.5546875" customWidth="1"/>
  </cols>
  <sheetData>
    <row r="1" spans="1:7" s="80" customFormat="1" x14ac:dyDescent="0.3">
      <c r="A1" s="1" t="s">
        <v>88</v>
      </c>
      <c r="B1" s="3" t="s">
        <v>150</v>
      </c>
      <c r="F1" s="128"/>
      <c r="G1" s="98" t="s">
        <v>127</v>
      </c>
    </row>
    <row r="2" spans="1:7" s="80" customFormat="1" x14ac:dyDescent="0.3">
      <c r="F2" s="128"/>
      <c r="G2" s="80" t="s">
        <v>138</v>
      </c>
    </row>
    <row r="3" spans="1:7" x14ac:dyDescent="0.3">
      <c r="A3" s="155" t="s">
        <v>0</v>
      </c>
      <c r="B3" s="156"/>
      <c r="C3" s="156"/>
      <c r="D3" s="157"/>
      <c r="G3" s="98" t="s">
        <v>141</v>
      </c>
    </row>
    <row r="4" spans="1:7" x14ac:dyDescent="0.3">
      <c r="A4" s="1" t="s">
        <v>1</v>
      </c>
      <c r="B4" s="2">
        <v>5.6699999999999998E-8</v>
      </c>
      <c r="G4" s="98" t="s">
        <v>135</v>
      </c>
    </row>
    <row r="5" spans="1:7" x14ac:dyDescent="0.3">
      <c r="G5" s="98" t="s">
        <v>148</v>
      </c>
    </row>
    <row r="6" spans="1:7" x14ac:dyDescent="0.3">
      <c r="G6" s="98" t="s">
        <v>149</v>
      </c>
    </row>
    <row r="7" spans="1:7" x14ac:dyDescent="0.3">
      <c r="A7" s="155" t="s">
        <v>2</v>
      </c>
      <c r="B7" s="156"/>
      <c r="C7" s="156"/>
      <c r="D7" s="157"/>
      <c r="G7" t="s">
        <v>209</v>
      </c>
    </row>
    <row r="8" spans="1:7" x14ac:dyDescent="0.3">
      <c r="A8" s="3" t="s">
        <v>3</v>
      </c>
      <c r="B8" s="119">
        <v>0.2</v>
      </c>
      <c r="F8" s="142"/>
      <c r="G8" s="151" t="s">
        <v>210</v>
      </c>
    </row>
    <row r="9" spans="1:7" x14ac:dyDescent="0.3">
      <c r="A9" s="3" t="s">
        <v>4</v>
      </c>
      <c r="B9" s="3">
        <f>-0.34/100</f>
        <v>-3.4000000000000002E-3</v>
      </c>
      <c r="E9" s="45"/>
      <c r="G9" t="s">
        <v>211</v>
      </c>
    </row>
    <row r="10" spans="1:7" x14ac:dyDescent="0.3">
      <c r="A10" s="3" t="s">
        <v>5</v>
      </c>
      <c r="B10" s="3">
        <v>298.14999999999998</v>
      </c>
      <c r="C10">
        <f>T_ref-273.15</f>
        <v>25</v>
      </c>
      <c r="D10" t="s">
        <v>49</v>
      </c>
      <c r="G10" t="s">
        <v>215</v>
      </c>
    </row>
    <row r="11" spans="1:7" x14ac:dyDescent="0.3">
      <c r="A11" s="3" t="s">
        <v>6</v>
      </c>
      <c r="B11" s="3">
        <v>0</v>
      </c>
      <c r="G11" t="s">
        <v>212</v>
      </c>
    </row>
    <row r="12" spans="1:7" x14ac:dyDescent="0.3">
      <c r="A12" s="3" t="s">
        <v>7</v>
      </c>
      <c r="B12" s="3">
        <v>1000</v>
      </c>
      <c r="G12" t="s">
        <v>151</v>
      </c>
    </row>
    <row r="13" spans="1:7" x14ac:dyDescent="0.3">
      <c r="A13" s="3" t="s">
        <v>8</v>
      </c>
      <c r="B13" s="3">
        <v>1</v>
      </c>
      <c r="G13" t="s">
        <v>159</v>
      </c>
    </row>
    <row r="14" spans="1:7" x14ac:dyDescent="0.3">
      <c r="G14" t="s">
        <v>170</v>
      </c>
    </row>
    <row r="15" spans="1:7" x14ac:dyDescent="0.3">
      <c r="A15" s="155" t="s">
        <v>9</v>
      </c>
      <c r="B15" s="156"/>
      <c r="C15" s="156"/>
      <c r="D15" s="157"/>
      <c r="G15" t="s">
        <v>202</v>
      </c>
    </row>
    <row r="16" spans="1:7" x14ac:dyDescent="0.3">
      <c r="G16" t="s">
        <v>203</v>
      </c>
    </row>
    <row r="17" spans="1:10" s="142" customFormat="1" x14ac:dyDescent="0.3">
      <c r="A17" s="65" t="s">
        <v>103</v>
      </c>
      <c r="B17" s="1">
        <v>45</v>
      </c>
      <c r="C17" t="s">
        <v>79</v>
      </c>
      <c r="D17" s="86"/>
      <c r="G17" s="142" t="s">
        <v>150</v>
      </c>
    </row>
    <row r="18" spans="1:10" s="129" customFormat="1" x14ac:dyDescent="0.3">
      <c r="A18" s="7" t="s">
        <v>92</v>
      </c>
      <c r="B18" s="138">
        <v>1.93</v>
      </c>
      <c r="C18" s="9"/>
      <c r="D18" s="6" t="s">
        <v>11</v>
      </c>
      <c r="E18" s="129">
        <f>2.31/1.93</f>
        <v>1.1968911917098446</v>
      </c>
    </row>
    <row r="19" spans="1:10" s="129" customFormat="1" ht="15" thickBot="1" x14ac:dyDescent="0.35">
      <c r="G19" s="98" t="s">
        <v>137</v>
      </c>
      <c r="H19" s="142"/>
      <c r="I19" s="142"/>
      <c r="J19" s="142"/>
    </row>
    <row r="20" spans="1:10" s="129" customFormat="1" x14ac:dyDescent="0.3">
      <c r="A20" s="73" t="s">
        <v>101</v>
      </c>
      <c r="B20" s="140">
        <v>1.55</v>
      </c>
      <c r="C20" s="94"/>
      <c r="D20" s="94" t="s">
        <v>10</v>
      </c>
      <c r="G20" s="128">
        <v>2.31</v>
      </c>
      <c r="H20" s="128" t="s">
        <v>139</v>
      </c>
      <c r="I20" s="128">
        <v>1.9370000000000001</v>
      </c>
      <c r="J20" s="128" t="s">
        <v>140</v>
      </c>
    </row>
    <row r="21" spans="1:10" s="129" customFormat="1" ht="15" thickBot="1" x14ac:dyDescent="0.35">
      <c r="A21" s="73" t="s">
        <v>102</v>
      </c>
      <c r="B21" s="130">
        <f>(180*6)/1000</f>
        <v>1.08</v>
      </c>
      <c r="C21" s="94"/>
      <c r="D21" s="94" t="s">
        <v>10</v>
      </c>
    </row>
    <row r="22" spans="1:10" s="129" customFormat="1" x14ac:dyDescent="0.3">
      <c r="A22" s="7" t="s">
        <v>91</v>
      </c>
      <c r="B22" s="8">
        <f>B20*B21</f>
        <v>1.6740000000000002</v>
      </c>
      <c r="C22" s="9"/>
      <c r="D22" s="6" t="s">
        <v>11</v>
      </c>
    </row>
    <row r="23" spans="1:10" s="129" customFormat="1" x14ac:dyDescent="0.3">
      <c r="A23" s="73"/>
      <c r="B23" s="131"/>
    </row>
    <row r="24" spans="1:10" s="142" customFormat="1" x14ac:dyDescent="0.3">
      <c r="A24" s="1" t="s">
        <v>12</v>
      </c>
      <c r="B24" s="135">
        <v>8.0000000000000002E-3</v>
      </c>
      <c r="C24" s="4"/>
      <c r="D24" s="6" t="s">
        <v>10</v>
      </c>
    </row>
    <row r="25" spans="1:10" s="142" customFormat="1" x14ac:dyDescent="0.3">
      <c r="A25" s="73" t="s">
        <v>133</v>
      </c>
      <c r="B25" s="136">
        <f>D_tube+0.002</f>
        <v>0.01</v>
      </c>
      <c r="C25" s="99"/>
      <c r="D25" s="100"/>
    </row>
    <row r="26" spans="1:10" s="142" customFormat="1" x14ac:dyDescent="0.3">
      <c r="A26" s="73" t="s">
        <v>107</v>
      </c>
      <c r="B26" s="136">
        <f>D_tube</f>
        <v>8.0000000000000002E-3</v>
      </c>
      <c r="C26" s="99"/>
      <c r="D26" s="100" t="s">
        <v>10</v>
      </c>
    </row>
    <row r="27" spans="1:10" s="142" customFormat="1" x14ac:dyDescent="0.3">
      <c r="A27" s="73" t="s">
        <v>204</v>
      </c>
      <c r="B27" s="136">
        <v>4.0000000000000001E-3</v>
      </c>
      <c r="C27" s="99"/>
      <c r="D27" s="100" t="s">
        <v>10</v>
      </c>
    </row>
    <row r="28" spans="1:10" s="142" customFormat="1" x14ac:dyDescent="0.3">
      <c r="A28" s="73" t="s">
        <v>205</v>
      </c>
      <c r="B28" s="136">
        <f>D_tube</f>
        <v>8.0000000000000002E-3</v>
      </c>
      <c r="C28" s="99"/>
      <c r="D28" s="100"/>
    </row>
    <row r="29" spans="1:10" s="142" customFormat="1" x14ac:dyDescent="0.3">
      <c r="A29" s="73"/>
      <c r="B29" s="136"/>
      <c r="C29" s="99"/>
      <c r="D29" s="100"/>
    </row>
    <row r="30" spans="1:10" s="142" customFormat="1" x14ac:dyDescent="0.3">
      <c r="A30" s="73" t="s">
        <v>219</v>
      </c>
      <c r="B30" s="131">
        <f>INT(longueur/D_tube)</f>
        <v>193</v>
      </c>
      <c r="C30" s="99"/>
      <c r="D30" s="100"/>
    </row>
    <row r="31" spans="1:10" s="142" customFormat="1" x14ac:dyDescent="0.3">
      <c r="A31" s="73"/>
      <c r="B31" s="131"/>
    </row>
    <row r="32" spans="1:10" s="129" customFormat="1" x14ac:dyDescent="0.3">
      <c r="A32" s="13" t="s">
        <v>99</v>
      </c>
      <c r="B32" s="134">
        <f>largeur</f>
        <v>1.08</v>
      </c>
      <c r="C32" s="14"/>
      <c r="D32" s="6" t="s">
        <v>10</v>
      </c>
      <c r="E32" s="128" t="s">
        <v>146</v>
      </c>
      <c r="F32" s="85" t="s">
        <v>147</v>
      </c>
    </row>
    <row r="33" spans="1:12" s="129" customFormat="1" x14ac:dyDescent="0.3">
      <c r="A33" s="13" t="s">
        <v>9</v>
      </c>
      <c r="B33" s="134" t="s">
        <v>174</v>
      </c>
      <c r="C33" s="14"/>
      <c r="D33" s="100"/>
      <c r="F33" s="85"/>
    </row>
    <row r="34" spans="1:12" s="142" customFormat="1" x14ac:dyDescent="0.3">
      <c r="A34" s="13" t="s">
        <v>216</v>
      </c>
      <c r="B34" s="134" t="s">
        <v>80</v>
      </c>
      <c r="C34" s="14"/>
      <c r="D34" s="100"/>
      <c r="F34" s="85"/>
    </row>
    <row r="35" spans="1:12" s="129" customFormat="1" x14ac:dyDescent="0.3">
      <c r="A35" s="13" t="s">
        <v>143</v>
      </c>
      <c r="B35" s="134">
        <v>1</v>
      </c>
      <c r="E35" s="129" t="s">
        <v>146</v>
      </c>
    </row>
    <row r="36" spans="1:12" s="129" customFormat="1" x14ac:dyDescent="0.3">
      <c r="A36" s="13" t="s">
        <v>142</v>
      </c>
      <c r="B36" s="134">
        <v>1</v>
      </c>
      <c r="E36" s="129" t="s">
        <v>146</v>
      </c>
    </row>
    <row r="37" spans="1:12" s="129" customFormat="1" x14ac:dyDescent="0.3">
      <c r="A37" s="13" t="s">
        <v>129</v>
      </c>
      <c r="B37" s="134">
        <v>16</v>
      </c>
      <c r="E37" s="129" t="s">
        <v>146</v>
      </c>
    </row>
    <row r="38" spans="1:12" s="142" customFormat="1" x14ac:dyDescent="0.3">
      <c r="A38" s="13"/>
      <c r="B38" s="134"/>
    </row>
    <row r="39" spans="1:12" s="142" customFormat="1" x14ac:dyDescent="0.3">
      <c r="A39" s="1" t="s">
        <v>172</v>
      </c>
      <c r="B39" s="3">
        <v>6</v>
      </c>
    </row>
    <row r="40" spans="1:12" s="129" customFormat="1" x14ac:dyDescent="0.3">
      <c r="A40" s="73"/>
      <c r="B40" s="136"/>
      <c r="C40" s="99"/>
      <c r="D40" s="100"/>
      <c r="G40" t="s">
        <v>130</v>
      </c>
    </row>
    <row r="41" spans="1:12" s="129" customFormat="1" x14ac:dyDescent="0.3">
      <c r="A41" s="1" t="s">
        <v>145</v>
      </c>
      <c r="B41" s="135">
        <f>IF(geometry="harp",IF(orientation="portrait",largeur/N_harp_actual,longueur/N_harp_actual),IF(orientation="portrait",longueur/N_meander,largeur/N_meander))</f>
        <v>9.6875000000000003E-2</v>
      </c>
      <c r="C41" s="4"/>
      <c r="D41" s="5" t="s">
        <v>10</v>
      </c>
      <c r="E41" s="128" t="s">
        <v>146</v>
      </c>
      <c r="F41" s="128">
        <f>W*N_meander</f>
        <v>1.55</v>
      </c>
      <c r="G41">
        <f>longueur/N_meander</f>
        <v>9.6875000000000003E-2</v>
      </c>
      <c r="H41" s="98"/>
      <c r="I41"/>
      <c r="J41"/>
      <c r="K41"/>
      <c r="L41"/>
    </row>
    <row r="42" spans="1:12" x14ac:dyDescent="0.3">
      <c r="A42" s="73" t="s">
        <v>160</v>
      </c>
      <c r="B42" s="145">
        <f>W</f>
        <v>9.6875000000000003E-2</v>
      </c>
      <c r="C42" s="118"/>
      <c r="D42" s="5"/>
    </row>
    <row r="43" spans="1:12" x14ac:dyDescent="0.3">
      <c r="A43" s="1" t="s">
        <v>171</v>
      </c>
      <c r="B43" s="135">
        <f>(W-l_B)/2</f>
        <v>4.4437500000000005E-2</v>
      </c>
      <c r="C43" s="4"/>
      <c r="D43" s="6" t="s">
        <v>10</v>
      </c>
    </row>
    <row r="45" spans="1:12" s="80" customFormat="1" x14ac:dyDescent="0.3">
      <c r="A45" s="7" t="s">
        <v>89</v>
      </c>
      <c r="B45" s="82">
        <f>1140/1000</f>
        <v>1.1399999999999999</v>
      </c>
      <c r="C45" s="9"/>
      <c r="D45" s="6" t="s">
        <v>10</v>
      </c>
      <c r="F45" s="128"/>
      <c r="H45" s="98"/>
    </row>
    <row r="46" spans="1:12" s="80" customFormat="1" x14ac:dyDescent="0.3">
      <c r="A46" s="7" t="s">
        <v>90</v>
      </c>
      <c r="B46" s="82">
        <f>1646/1000</f>
        <v>1.6459999999999999</v>
      </c>
      <c r="C46" s="9"/>
      <c r="D46" s="6" t="s">
        <v>10</v>
      </c>
      <c r="F46" s="128"/>
      <c r="H46" s="98"/>
    </row>
    <row r="48" spans="1:12" x14ac:dyDescent="0.3">
      <c r="A48" s="160" t="s">
        <v>191</v>
      </c>
      <c r="B48" s="161"/>
      <c r="C48" s="161"/>
      <c r="D48" s="162"/>
    </row>
    <row r="49" spans="1:13" s="128" customFormat="1" x14ac:dyDescent="0.3">
      <c r="A49" s="128" t="s">
        <v>214</v>
      </c>
      <c r="B49" s="128">
        <v>1</v>
      </c>
    </row>
    <row r="50" spans="1:13" s="142" customFormat="1" x14ac:dyDescent="0.3">
      <c r="A50" s="142" t="s">
        <v>81</v>
      </c>
      <c r="B50" s="150" t="str">
        <f>fin_0&amp;fin_1&amp;fin_2&amp;fin_3</f>
        <v>0000</v>
      </c>
    </row>
    <row r="51" spans="1:13" s="142" customFormat="1" x14ac:dyDescent="0.3">
      <c r="A51" s="124" t="s">
        <v>213</v>
      </c>
      <c r="B51" s="150">
        <v>0</v>
      </c>
    </row>
    <row r="53" spans="1:13" s="72" customFormat="1" x14ac:dyDescent="0.3">
      <c r="A53" s="160" t="s">
        <v>81</v>
      </c>
      <c r="B53" s="161"/>
      <c r="C53" s="161"/>
      <c r="D53" s="162"/>
      <c r="F53" s="128"/>
      <c r="H53" s="98"/>
    </row>
    <row r="54" spans="1:13" s="98" customFormat="1" x14ac:dyDescent="0.3">
      <c r="A54" s="1" t="s">
        <v>112</v>
      </c>
      <c r="B54" s="98">
        <v>2.5999999999999999E-2</v>
      </c>
      <c r="D54" s="5" t="s">
        <v>10</v>
      </c>
      <c r="F54" s="128"/>
      <c r="G54" s="98" t="s">
        <v>114</v>
      </c>
      <c r="H54" s="98" t="s">
        <v>115</v>
      </c>
      <c r="I54" s="98" t="s">
        <v>113</v>
      </c>
      <c r="J54" s="85"/>
      <c r="M54" s="85"/>
    </row>
    <row r="55" spans="1:13" x14ac:dyDescent="0.3">
      <c r="A55" s="1" t="s">
        <v>125</v>
      </c>
      <c r="B55" s="133">
        <f>(W-D_tube)/2</f>
        <v>4.4437500000000005E-2</v>
      </c>
      <c r="C55" s="85" t="s">
        <v>96</v>
      </c>
      <c r="D55" s="5" t="s">
        <v>10</v>
      </c>
      <c r="G55" s="104">
        <f>(W-D_tube)/2</f>
        <v>4.4437500000000005E-2</v>
      </c>
      <c r="H55" s="104"/>
      <c r="I55" s="104">
        <f>(W-D_tube)/2</f>
        <v>4.4437500000000005E-2</v>
      </c>
    </row>
    <row r="56" spans="1:13" s="142" customFormat="1" x14ac:dyDescent="0.3">
      <c r="A56" s="1"/>
      <c r="B56" s="133"/>
      <c r="C56" s="85"/>
      <c r="D56" s="5"/>
      <c r="G56" s="104"/>
      <c r="H56" s="104"/>
      <c r="I56" s="104"/>
    </row>
    <row r="57" spans="1:13" s="142" customFormat="1" x14ac:dyDescent="0.3">
      <c r="A57" s="1" t="s">
        <v>134</v>
      </c>
      <c r="B57" s="3">
        <v>70</v>
      </c>
      <c r="C57" s="85"/>
      <c r="D57" s="5"/>
      <c r="G57" s="104"/>
      <c r="H57" s="104"/>
      <c r="I57" s="104"/>
    </row>
    <row r="58" spans="1:13" s="142" customFormat="1" x14ac:dyDescent="0.3">
      <c r="A58" s="1" t="s">
        <v>136</v>
      </c>
      <c r="B58" s="3">
        <v>10</v>
      </c>
      <c r="C58" s="128">
        <f>N_fins_per_EP*6</f>
        <v>60</v>
      </c>
      <c r="D58" s="5"/>
      <c r="G58" s="104"/>
      <c r="H58" s="104"/>
      <c r="I58" s="104"/>
    </row>
    <row r="59" spans="1:13" s="142" customFormat="1" x14ac:dyDescent="0.3">
      <c r="A59" s="1" t="s">
        <v>84</v>
      </c>
      <c r="B59" s="86">
        <f>N_ail/L_riser</f>
        <v>64.81481481481481</v>
      </c>
      <c r="C59" s="72"/>
      <c r="D59" s="5" t="s">
        <v>85</v>
      </c>
      <c r="G59" s="104"/>
      <c r="H59" s="104"/>
      <c r="I59" s="104"/>
    </row>
    <row r="60" spans="1:13" s="142" customFormat="1" x14ac:dyDescent="0.3">
      <c r="A60" s="73" t="s">
        <v>108</v>
      </c>
      <c r="B60" s="101">
        <f>(L_riser-N_ail*lambd_ail)/(N_ail-1)</f>
        <v>1.4637681159420291E-2</v>
      </c>
      <c r="C60" s="98"/>
      <c r="D60" s="98" t="s">
        <v>10</v>
      </c>
      <c r="G60" s="104"/>
      <c r="H60" s="104"/>
      <c r="I60" s="104"/>
    </row>
    <row r="61" spans="1:13" s="142" customFormat="1" x14ac:dyDescent="0.3">
      <c r="A61" s="73" t="s">
        <v>128</v>
      </c>
      <c r="B61" s="137">
        <f>0.15/B58</f>
        <v>1.4999999999999999E-2</v>
      </c>
      <c r="C61" s="118"/>
      <c r="D61" s="139" t="s">
        <v>144</v>
      </c>
      <c r="G61" s="104"/>
      <c r="H61" s="104"/>
      <c r="I61" s="104"/>
    </row>
    <row r="62" spans="1:13" s="142" customFormat="1" x14ac:dyDescent="0.3">
      <c r="A62" s="1"/>
      <c r="B62" s="133"/>
      <c r="C62" s="85"/>
      <c r="D62" s="5"/>
      <c r="G62" s="104"/>
      <c r="H62" s="104"/>
      <c r="I62" s="104"/>
    </row>
    <row r="63" spans="1:13" s="72" customFormat="1" x14ac:dyDescent="0.3">
      <c r="A63" s="1" t="s">
        <v>126</v>
      </c>
      <c r="B63" s="132">
        <v>2.1999999999999999E-2</v>
      </c>
      <c r="C63" s="72">
        <v>1.4999999999999999E-2</v>
      </c>
      <c r="D63" s="5" t="s">
        <v>10</v>
      </c>
      <c r="F63" s="128"/>
      <c r="G63" s="3">
        <f>Heta</f>
        <v>2.5999999999999999E-2</v>
      </c>
      <c r="H63" s="3"/>
      <c r="I63" s="3">
        <f>Heta</f>
        <v>2.5999999999999999E-2</v>
      </c>
      <c r="J63" s="85"/>
    </row>
    <row r="64" spans="1:13" s="142" customFormat="1" x14ac:dyDescent="0.3">
      <c r="A64" s="1"/>
      <c r="B64" s="133"/>
      <c r="C64" s="85"/>
      <c r="D64" s="5"/>
      <c r="G64" s="104"/>
      <c r="H64" s="104"/>
      <c r="I64" s="104"/>
      <c r="J64" s="85"/>
    </row>
    <row r="65" spans="1:10" s="142" customFormat="1" x14ac:dyDescent="0.3">
      <c r="A65" s="1" t="s">
        <v>193</v>
      </c>
      <c r="B65" s="148">
        <v>1</v>
      </c>
      <c r="C65" s="85"/>
      <c r="D65" s="5"/>
      <c r="G65" s="104"/>
      <c r="H65" s="104"/>
      <c r="I65" s="104"/>
      <c r="J65" s="85"/>
    </row>
    <row r="66" spans="1:10" s="142" customFormat="1" x14ac:dyDescent="0.3">
      <c r="A66" s="1" t="s">
        <v>194</v>
      </c>
      <c r="B66" s="133">
        <f>L_af</f>
        <v>4.4437500000000005E-2</v>
      </c>
      <c r="C66" s="85"/>
      <c r="D66" s="5" t="s">
        <v>10</v>
      </c>
      <c r="G66" s="104"/>
      <c r="H66" s="104"/>
      <c r="I66" s="104"/>
      <c r="J66" s="85"/>
    </row>
    <row r="67" spans="1:10" s="142" customFormat="1" x14ac:dyDescent="0.3">
      <c r="A67" s="1" t="s">
        <v>195</v>
      </c>
      <c r="B67" s="133">
        <f>L_riser</f>
        <v>1.08</v>
      </c>
      <c r="C67" s="85"/>
      <c r="D67" s="5"/>
      <c r="G67" s="104"/>
      <c r="H67" s="104"/>
      <c r="I67" s="104"/>
      <c r="J67" s="85"/>
    </row>
    <row r="68" spans="1:10" s="142" customFormat="1" x14ac:dyDescent="0.3">
      <c r="A68" s="1" t="s">
        <v>192</v>
      </c>
      <c r="B68" s="133">
        <f>2*B66*B67</f>
        <v>9.5985000000000015E-2</v>
      </c>
      <c r="C68" s="149">
        <f>B68/B76</f>
        <v>4.7611607142857144</v>
      </c>
      <c r="D68" s="5"/>
      <c r="G68" s="104"/>
      <c r="H68" s="104"/>
      <c r="I68" s="104"/>
      <c r="J68" s="85"/>
    </row>
    <row r="69" spans="1:10" s="142" customFormat="1" x14ac:dyDescent="0.3">
      <c r="A69" s="1" t="s">
        <v>197</v>
      </c>
      <c r="B69" s="137">
        <f>2*lambd_abs*B67</f>
        <v>8.6400000000000008E-4</v>
      </c>
      <c r="C69" s="149"/>
      <c r="D69" s="5" t="s">
        <v>10</v>
      </c>
      <c r="G69" s="104"/>
      <c r="H69" s="104"/>
      <c r="I69" s="104"/>
      <c r="J69" s="85"/>
    </row>
    <row r="70" spans="1:10" s="129" customFormat="1" x14ac:dyDescent="0.3">
      <c r="A70" s="1"/>
      <c r="B70" s="133"/>
      <c r="C70" s="85"/>
      <c r="D70" s="5"/>
      <c r="G70" s="104"/>
      <c r="H70" s="104"/>
      <c r="I70" s="104"/>
      <c r="J70" s="85"/>
    </row>
    <row r="71" spans="1:10" s="142" customFormat="1" x14ac:dyDescent="0.3">
      <c r="A71" s="1" t="s">
        <v>189</v>
      </c>
      <c r="B71" s="148">
        <v>0</v>
      </c>
      <c r="C71" s="85"/>
      <c r="D71" s="5"/>
      <c r="G71" s="104"/>
      <c r="H71" s="104"/>
      <c r="I71" s="104"/>
      <c r="J71" s="85"/>
    </row>
    <row r="72" spans="1:10" s="142" customFormat="1" x14ac:dyDescent="0.3">
      <c r="A72" s="1" t="s">
        <v>177</v>
      </c>
      <c r="B72" s="148">
        <f>N_ail</f>
        <v>70</v>
      </c>
      <c r="C72" s="85"/>
      <c r="D72" s="5"/>
      <c r="G72" s="104"/>
      <c r="H72" s="104"/>
      <c r="I72" s="104"/>
      <c r="J72" s="85"/>
    </row>
    <row r="73" spans="1:10" s="142" customFormat="1" x14ac:dyDescent="0.3">
      <c r="A73" s="1" t="s">
        <v>175</v>
      </c>
      <c r="B73" s="133">
        <f>Heta-D_tube</f>
        <v>1.7999999999999999E-2</v>
      </c>
      <c r="C73" s="85"/>
      <c r="D73" s="5"/>
      <c r="G73" s="104"/>
      <c r="H73" s="104"/>
      <c r="I73" s="104"/>
      <c r="J73" s="85"/>
    </row>
    <row r="74" spans="1:10" s="142" customFormat="1" x14ac:dyDescent="0.3">
      <c r="A74" s="1" t="s">
        <v>176</v>
      </c>
      <c r="B74" s="133">
        <f>D_tube</f>
        <v>8.0000000000000002E-3</v>
      </c>
      <c r="C74" s="85"/>
      <c r="D74" s="5"/>
      <c r="G74" s="104"/>
      <c r="H74" s="104"/>
      <c r="I74" s="104"/>
      <c r="J74" s="85"/>
    </row>
    <row r="75" spans="1:10" s="142" customFormat="1" x14ac:dyDescent="0.3">
      <c r="A75" s="1" t="s">
        <v>199</v>
      </c>
      <c r="B75" s="133"/>
      <c r="C75" s="85"/>
      <c r="D75" s="5"/>
      <c r="G75" s="104"/>
      <c r="H75" s="104"/>
      <c r="I75" s="104"/>
      <c r="J75" s="85"/>
    </row>
    <row r="76" spans="1:10" s="142" customFormat="1" x14ac:dyDescent="0.3">
      <c r="A76" s="1" t="s">
        <v>192</v>
      </c>
      <c r="B76" s="133">
        <f>((L_f0*delta_f0)*N_f0)*2</f>
        <v>2.0160000000000001E-2</v>
      </c>
      <c r="C76" s="85"/>
      <c r="D76" s="5" t="s">
        <v>109</v>
      </c>
      <c r="G76" s="104"/>
      <c r="H76" s="104"/>
      <c r="I76" s="104"/>
      <c r="J76" s="85"/>
    </row>
    <row r="77" spans="1:10" s="142" customFormat="1" x14ac:dyDescent="0.3">
      <c r="A77" s="1" t="s">
        <v>197</v>
      </c>
      <c r="B77" s="133"/>
      <c r="C77" s="85"/>
      <c r="D77" s="5"/>
      <c r="G77" s="104"/>
      <c r="H77" s="104"/>
      <c r="I77" s="104"/>
      <c r="J77" s="85"/>
    </row>
    <row r="78" spans="1:10" s="142" customFormat="1" x14ac:dyDescent="0.3">
      <c r="A78" s="1"/>
      <c r="B78" s="133"/>
      <c r="C78" s="85"/>
      <c r="D78" s="5"/>
      <c r="G78" s="104"/>
      <c r="H78" s="104"/>
      <c r="I78" s="104"/>
      <c r="J78" s="85"/>
    </row>
    <row r="79" spans="1:10" s="142" customFormat="1" x14ac:dyDescent="0.3">
      <c r="A79" s="1" t="s">
        <v>188</v>
      </c>
      <c r="B79" s="148">
        <v>0</v>
      </c>
      <c r="C79" s="85"/>
      <c r="D79" s="5"/>
      <c r="G79" s="104"/>
      <c r="H79" s="104"/>
      <c r="I79" s="104"/>
      <c r="J79" s="85"/>
    </row>
    <row r="80" spans="1:10" s="142" customFormat="1" x14ac:dyDescent="0.3">
      <c r="A80" s="1" t="s">
        <v>178</v>
      </c>
      <c r="B80" s="148">
        <f>N_ail</f>
        <v>70</v>
      </c>
      <c r="C80" s="85"/>
      <c r="D80" s="5"/>
      <c r="G80" s="104"/>
      <c r="H80" s="104"/>
      <c r="I80" s="104"/>
      <c r="J80" s="85"/>
    </row>
    <row r="81" spans="1:10" s="142" customFormat="1" x14ac:dyDescent="0.3">
      <c r="A81" s="1" t="s">
        <v>179</v>
      </c>
      <c r="B81" s="133">
        <f>delta</f>
        <v>4.4437500000000005E-2</v>
      </c>
      <c r="C81" s="85"/>
      <c r="D81" s="5"/>
      <c r="G81" s="104"/>
      <c r="H81" s="104"/>
      <c r="I81" s="104"/>
      <c r="J81" s="85"/>
    </row>
    <row r="82" spans="1:10" s="142" customFormat="1" x14ac:dyDescent="0.3">
      <c r="A82" s="1" t="s">
        <v>180</v>
      </c>
      <c r="B82" s="133">
        <f>0.008</f>
        <v>8.0000000000000002E-3</v>
      </c>
      <c r="C82" s="85"/>
      <c r="D82" s="5"/>
      <c r="G82" s="104"/>
      <c r="H82" s="104"/>
      <c r="I82" s="104"/>
      <c r="J82" s="85"/>
    </row>
    <row r="83" spans="1:10" s="142" customFormat="1" x14ac:dyDescent="0.3">
      <c r="A83" s="1" t="s">
        <v>200</v>
      </c>
      <c r="B83" s="133"/>
      <c r="C83" s="85"/>
      <c r="D83" s="5"/>
      <c r="G83" s="104"/>
      <c r="H83" s="104"/>
      <c r="I83" s="104"/>
      <c r="J83" s="85"/>
    </row>
    <row r="84" spans="1:10" s="142" customFormat="1" x14ac:dyDescent="0.3">
      <c r="A84" s="1" t="s">
        <v>190</v>
      </c>
      <c r="B84" s="148">
        <v>1</v>
      </c>
      <c r="C84" s="85"/>
      <c r="D84" s="5"/>
      <c r="G84" s="104"/>
      <c r="H84" s="104"/>
      <c r="I84" s="104"/>
      <c r="J84" s="85"/>
    </row>
    <row r="85" spans="1:10" s="142" customFormat="1" x14ac:dyDescent="0.3">
      <c r="A85" s="1" t="s">
        <v>192</v>
      </c>
      <c r="B85" s="133">
        <f>((L_f1*delta_f1)*2*N_f1)*2</f>
        <v>9.9540000000000003E-2</v>
      </c>
      <c r="C85" s="149">
        <f>B85/B76</f>
        <v>4.9375</v>
      </c>
      <c r="D85" s="5"/>
      <c r="G85" s="104"/>
      <c r="H85" s="104"/>
      <c r="I85" s="104"/>
      <c r="J85" s="85"/>
    </row>
    <row r="86" spans="1:10" s="142" customFormat="1" x14ac:dyDescent="0.3">
      <c r="A86" s="1" t="s">
        <v>197</v>
      </c>
      <c r="B86" s="137">
        <f>2*N_f1*delta_f1*lambd_ail</f>
        <v>1.1200000000000001E-3</v>
      </c>
      <c r="C86" s="85"/>
      <c r="D86" s="5"/>
      <c r="G86" s="104"/>
      <c r="H86" s="104"/>
      <c r="I86" s="104"/>
      <c r="J86" s="85"/>
    </row>
    <row r="87" spans="1:10" s="142" customFormat="1" x14ac:dyDescent="0.3">
      <c r="A87" s="1"/>
      <c r="B87" s="133"/>
      <c r="C87" s="85"/>
      <c r="D87" s="5"/>
      <c r="G87" s="104"/>
      <c r="H87" s="104"/>
      <c r="I87" s="104"/>
      <c r="J87" s="85"/>
    </row>
    <row r="88" spans="1:10" s="142" customFormat="1" x14ac:dyDescent="0.3">
      <c r="A88" s="1" t="s">
        <v>181</v>
      </c>
      <c r="B88" s="148">
        <v>0</v>
      </c>
      <c r="C88" s="85"/>
      <c r="D88" s="5"/>
      <c r="G88" s="104"/>
      <c r="H88" s="104"/>
      <c r="I88" s="104"/>
      <c r="J88" s="85"/>
    </row>
    <row r="89" spans="1:10" s="129" customFormat="1" x14ac:dyDescent="0.3">
      <c r="A89" s="1" t="s">
        <v>198</v>
      </c>
      <c r="B89" s="148">
        <f>N_ail</f>
        <v>70</v>
      </c>
      <c r="C89" s="85"/>
      <c r="D89" s="5"/>
      <c r="G89" s="104"/>
      <c r="H89" s="104"/>
      <c r="I89" s="104"/>
      <c r="J89" s="85"/>
    </row>
    <row r="90" spans="1:10" s="129" customFormat="1" x14ac:dyDescent="0.3">
      <c r="A90" s="1" t="s">
        <v>187</v>
      </c>
      <c r="B90" s="133">
        <f>Heta</f>
        <v>2.5999999999999999E-2</v>
      </c>
      <c r="C90" s="85"/>
      <c r="D90" s="5"/>
      <c r="G90" s="104"/>
      <c r="H90" s="104"/>
      <c r="I90" s="104"/>
      <c r="J90" s="85"/>
    </row>
    <row r="91" spans="1:10" s="129" customFormat="1" x14ac:dyDescent="0.3">
      <c r="A91" s="1" t="s">
        <v>186</v>
      </c>
      <c r="B91" s="133">
        <f>delta</f>
        <v>4.4437500000000005E-2</v>
      </c>
      <c r="C91" s="85"/>
      <c r="D91" s="5"/>
      <c r="G91" s="104"/>
      <c r="H91" s="104"/>
      <c r="I91" s="104"/>
      <c r="J91" s="85"/>
    </row>
    <row r="92" spans="1:10" s="142" customFormat="1" x14ac:dyDescent="0.3">
      <c r="A92" s="1"/>
      <c r="B92" s="133"/>
      <c r="C92" s="85"/>
      <c r="D92" s="5"/>
      <c r="G92" s="104"/>
      <c r="H92" s="104"/>
      <c r="I92" s="104"/>
      <c r="J92" s="85"/>
    </row>
    <row r="93" spans="1:10" s="142" customFormat="1" x14ac:dyDescent="0.3">
      <c r="A93" s="1" t="s">
        <v>182</v>
      </c>
      <c r="B93" s="148">
        <v>0</v>
      </c>
      <c r="C93" s="85"/>
      <c r="D93" s="5"/>
      <c r="G93" s="104"/>
      <c r="H93" s="104"/>
      <c r="I93" s="104"/>
      <c r="J93" s="85"/>
    </row>
    <row r="94" spans="1:10" s="142" customFormat="1" x14ac:dyDescent="0.3">
      <c r="A94" s="1" t="s">
        <v>183</v>
      </c>
      <c r="B94" s="133"/>
      <c r="C94" s="85"/>
      <c r="D94" s="5"/>
      <c r="G94" s="104"/>
      <c r="H94" s="104"/>
      <c r="I94" s="104"/>
      <c r="J94" s="85"/>
    </row>
    <row r="95" spans="1:10" s="129" customFormat="1" x14ac:dyDescent="0.3">
      <c r="A95" s="1" t="s">
        <v>184</v>
      </c>
      <c r="B95" s="133"/>
      <c r="C95" s="85"/>
      <c r="D95" s="5"/>
      <c r="G95" s="104"/>
      <c r="H95" s="104"/>
      <c r="I95" s="104"/>
      <c r="J95" s="85"/>
    </row>
    <row r="96" spans="1:10" s="129" customFormat="1" x14ac:dyDescent="0.3">
      <c r="A96" s="1" t="s">
        <v>185</v>
      </c>
      <c r="B96" s="133"/>
      <c r="C96" s="85"/>
      <c r="D96" s="5"/>
      <c r="G96" s="104"/>
      <c r="H96" s="104"/>
      <c r="I96" s="104"/>
      <c r="J96" s="85"/>
    </row>
    <row r="98" spans="1:10" x14ac:dyDescent="0.3">
      <c r="A98" s="155" t="s">
        <v>13</v>
      </c>
      <c r="B98" s="156"/>
      <c r="C98" s="156"/>
      <c r="D98" s="157"/>
    </row>
    <row r="99" spans="1:10" x14ac:dyDescent="0.3">
      <c r="A99" s="4" t="s">
        <v>14</v>
      </c>
      <c r="B99" s="15">
        <v>1</v>
      </c>
      <c r="C99" s="15"/>
      <c r="D99" s="16" t="s">
        <v>15</v>
      </c>
    </row>
    <row r="100" spans="1:10" x14ac:dyDescent="0.3">
      <c r="A100" s="4" t="s">
        <v>16</v>
      </c>
      <c r="B100" s="10">
        <v>0.8</v>
      </c>
      <c r="C100" s="17"/>
      <c r="D100" s="16"/>
    </row>
    <row r="101" spans="1:10" ht="28.8" customHeight="1" x14ac:dyDescent="0.3">
      <c r="A101" s="4" t="s">
        <v>17</v>
      </c>
      <c r="B101" s="10">
        <v>0.8</v>
      </c>
      <c r="C101" s="18"/>
      <c r="D101" s="16"/>
      <c r="E101" s="19" t="s">
        <v>18</v>
      </c>
      <c r="F101" s="19"/>
      <c r="G101" s="19" t="s">
        <v>19</v>
      </c>
      <c r="H101" s="112"/>
    </row>
    <row r="102" spans="1:10" x14ac:dyDescent="0.3">
      <c r="A102" s="4" t="s">
        <v>20</v>
      </c>
      <c r="B102" s="20">
        <v>0.95</v>
      </c>
      <c r="C102" s="18"/>
      <c r="D102" s="16"/>
      <c r="E102" s="21"/>
      <c r="F102" s="21"/>
      <c r="G102" s="21"/>
      <c r="H102" s="21"/>
    </row>
    <row r="103" spans="1:10" x14ac:dyDescent="0.3">
      <c r="A103" s="22" t="s">
        <v>21</v>
      </c>
      <c r="B103" s="23">
        <v>0.8</v>
      </c>
      <c r="C103" s="24"/>
      <c r="D103" s="16"/>
      <c r="E103" s="14">
        <v>0.98124999999999996</v>
      </c>
      <c r="F103" s="14"/>
      <c r="G103" s="25">
        <v>0.78500000000000003</v>
      </c>
      <c r="H103" s="25"/>
    </row>
    <row r="104" spans="1:10" x14ac:dyDescent="0.3">
      <c r="A104" s="1" t="s">
        <v>22</v>
      </c>
      <c r="B104" s="23">
        <v>0.9</v>
      </c>
      <c r="C104" s="11"/>
      <c r="D104" s="16" t="s">
        <v>15</v>
      </c>
    </row>
    <row r="105" spans="1:10" x14ac:dyDescent="0.3">
      <c r="A105" s="27"/>
      <c r="D105" s="16" t="s">
        <v>15</v>
      </c>
    </row>
    <row r="106" spans="1:10" x14ac:dyDescent="0.3">
      <c r="A106" s="28" t="s">
        <v>23</v>
      </c>
      <c r="B106" s="29"/>
      <c r="C106" s="29"/>
      <c r="D106" s="29"/>
      <c r="E106" s="29"/>
      <c r="F106" s="29"/>
      <c r="G106" s="30"/>
      <c r="H106" s="113"/>
    </row>
    <row r="107" spans="1:10" ht="28.8" customHeight="1" x14ac:dyDescent="0.3">
      <c r="A107" s="31"/>
      <c r="B107" s="19" t="s">
        <v>24</v>
      </c>
      <c r="C107" s="19" t="s">
        <v>25</v>
      </c>
      <c r="D107" s="19" t="s">
        <v>26</v>
      </c>
      <c r="E107" s="19" t="s">
        <v>18</v>
      </c>
      <c r="F107" s="19"/>
      <c r="G107" s="19" t="s">
        <v>19</v>
      </c>
      <c r="H107" s="112"/>
    </row>
    <row r="108" spans="1:10" x14ac:dyDescent="0.3">
      <c r="A108" s="32"/>
      <c r="B108" s="12" t="s">
        <v>10</v>
      </c>
      <c r="C108" s="12" t="s">
        <v>27</v>
      </c>
      <c r="D108" s="12" t="s">
        <v>28</v>
      </c>
      <c r="E108" s="33"/>
      <c r="F108" s="33"/>
      <c r="G108" s="12" t="s">
        <v>28</v>
      </c>
      <c r="H108" s="146">
        <f>SUM(G109:G118)</f>
        <v>8.8191666666666679E-3</v>
      </c>
    </row>
    <row r="109" spans="1:10" x14ac:dyDescent="0.3">
      <c r="A109" s="4" t="s">
        <v>29</v>
      </c>
      <c r="B109" s="4">
        <v>2.7799999999999999E-3</v>
      </c>
      <c r="C109" s="34">
        <v>0.8</v>
      </c>
      <c r="D109" s="74">
        <f>B109/C109</f>
        <v>3.4749999999999998E-3</v>
      </c>
      <c r="E109" s="4">
        <v>1</v>
      </c>
      <c r="F109" s="4"/>
      <c r="G109" s="97">
        <f>D109*E109</f>
        <v>3.4749999999999998E-3</v>
      </c>
      <c r="H109" s="147">
        <f>G109/$H$108</f>
        <v>0.39402815836719257</v>
      </c>
    </row>
    <row r="110" spans="1:10" x14ac:dyDescent="0.3">
      <c r="A110" s="4" t="s">
        <v>30</v>
      </c>
      <c r="B110" s="4">
        <f>0.515/1000</f>
        <v>5.1500000000000005E-4</v>
      </c>
      <c r="C110" s="1">
        <v>0.24</v>
      </c>
      <c r="D110" s="74">
        <f t="shared" ref="D110:D123" si="0">B110/C110</f>
        <v>2.1458333333333338E-3</v>
      </c>
      <c r="E110" s="4">
        <v>1</v>
      </c>
      <c r="F110" s="4"/>
      <c r="G110" s="97">
        <f t="shared" ref="G110:G124" si="1">D110*E110</f>
        <v>2.1458333333333338E-3</v>
      </c>
      <c r="H110" s="147">
        <f t="shared" ref="H110:H118" si="2">G110/$H$108</f>
        <v>0.24331475007086839</v>
      </c>
      <c r="J110">
        <f>C118/C117</f>
        <v>80</v>
      </c>
    </row>
    <row r="111" spans="1:10" x14ac:dyDescent="0.3">
      <c r="A111" s="4" t="s">
        <v>31</v>
      </c>
      <c r="B111" s="4">
        <v>1.4999999999999999E-4</v>
      </c>
      <c r="C111" s="1">
        <v>60</v>
      </c>
      <c r="D111" s="74">
        <f t="shared" si="0"/>
        <v>2.4999999999999998E-6</v>
      </c>
      <c r="E111" s="4">
        <v>1</v>
      </c>
      <c r="F111" s="4"/>
      <c r="G111" s="97">
        <f t="shared" si="1"/>
        <v>2.4999999999999998E-6</v>
      </c>
      <c r="H111" s="147">
        <f t="shared" si="2"/>
        <v>2.8347349522819609E-4</v>
      </c>
    </row>
    <row r="112" spans="1:10" x14ac:dyDescent="0.3">
      <c r="A112" s="4" t="s">
        <v>30</v>
      </c>
      <c r="B112" s="4">
        <f>0.515/1000</f>
        <v>5.1500000000000005E-4</v>
      </c>
      <c r="C112" s="4">
        <v>0.24</v>
      </c>
      <c r="D112" s="74">
        <f t="shared" si="0"/>
        <v>2.1458333333333338E-3</v>
      </c>
      <c r="E112" s="4">
        <v>1</v>
      </c>
      <c r="F112" s="4"/>
      <c r="G112" s="97">
        <f t="shared" si="1"/>
        <v>2.1458333333333338E-3</v>
      </c>
      <c r="H112" s="147">
        <f t="shared" si="2"/>
        <v>0.24331475007086839</v>
      </c>
      <c r="I112" s="111"/>
    </row>
    <row r="113" spans="1:11" x14ac:dyDescent="0.3">
      <c r="A113" s="4" t="s">
        <v>32</v>
      </c>
      <c r="B113" s="4">
        <v>3.0000000000000001E-5</v>
      </c>
      <c r="C113" s="4">
        <v>0.2</v>
      </c>
      <c r="D113" s="74">
        <f t="shared" si="0"/>
        <v>1.4999999999999999E-4</v>
      </c>
      <c r="E113" s="4">
        <v>1</v>
      </c>
      <c r="F113" s="4"/>
      <c r="G113" s="97">
        <f t="shared" si="1"/>
        <v>1.4999999999999999E-4</v>
      </c>
      <c r="H113" s="147">
        <f t="shared" si="2"/>
        <v>1.7008409713691768E-2</v>
      </c>
    </row>
    <row r="114" spans="1:11" x14ac:dyDescent="0.3">
      <c r="A114" s="4" t="s">
        <v>33</v>
      </c>
      <c r="B114" s="4">
        <v>2.7E-4</v>
      </c>
      <c r="C114" s="4">
        <v>0.3</v>
      </c>
      <c r="D114" s="74">
        <f t="shared" si="0"/>
        <v>9.0000000000000008E-4</v>
      </c>
      <c r="E114" s="4">
        <v>1</v>
      </c>
      <c r="F114" s="4"/>
      <c r="G114" s="97">
        <f t="shared" si="1"/>
        <v>9.0000000000000008E-4</v>
      </c>
      <c r="H114" s="147">
        <f t="shared" si="2"/>
        <v>0.10205045828215062</v>
      </c>
    </row>
    <row r="115" spans="1:11" x14ac:dyDescent="0.3">
      <c r="A115" s="4" t="s">
        <v>34</v>
      </c>
      <c r="B115" s="4">
        <v>0</v>
      </c>
      <c r="C115" s="4">
        <v>0.2</v>
      </c>
      <c r="D115" s="74">
        <f t="shared" si="0"/>
        <v>0</v>
      </c>
      <c r="E115" s="4">
        <v>1</v>
      </c>
      <c r="F115" s="4"/>
      <c r="G115" s="97">
        <f t="shared" si="1"/>
        <v>0</v>
      </c>
      <c r="H115" s="147">
        <f t="shared" si="2"/>
        <v>0</v>
      </c>
    </row>
    <row r="116" spans="1:11" x14ac:dyDescent="0.3">
      <c r="A116" s="4" t="s">
        <v>30</v>
      </c>
      <c r="B116" s="36">
        <v>0</v>
      </c>
      <c r="C116" s="36">
        <v>0.23</v>
      </c>
      <c r="D116" s="74">
        <f t="shared" si="0"/>
        <v>0</v>
      </c>
      <c r="E116" s="4">
        <v>1</v>
      </c>
      <c r="F116" s="4"/>
      <c r="G116" s="97">
        <f t="shared" si="1"/>
        <v>0</v>
      </c>
      <c r="H116" s="147">
        <f t="shared" si="2"/>
        <v>0</v>
      </c>
    </row>
    <row r="117" spans="1:11" x14ac:dyDescent="0.3">
      <c r="A117" s="4" t="s">
        <v>87</v>
      </c>
      <c r="B117" s="79">
        <v>0</v>
      </c>
      <c r="C117" s="79">
        <v>2.5000000000000001E-2</v>
      </c>
      <c r="D117" s="74">
        <f t="shared" si="0"/>
        <v>0</v>
      </c>
      <c r="E117" s="4">
        <v>1</v>
      </c>
      <c r="F117" s="4"/>
      <c r="G117" s="97">
        <f t="shared" si="1"/>
        <v>0</v>
      </c>
      <c r="H117" s="147">
        <f t="shared" si="2"/>
        <v>0</v>
      </c>
      <c r="K117" s="96"/>
    </row>
    <row r="118" spans="1:11" s="129" customFormat="1" x14ac:dyDescent="0.3">
      <c r="A118" s="95" t="s">
        <v>104</v>
      </c>
      <c r="B118" s="64">
        <v>0</v>
      </c>
      <c r="C118" s="64">
        <v>2</v>
      </c>
      <c r="D118" s="74">
        <f>B118/C118</f>
        <v>0</v>
      </c>
      <c r="E118" s="4">
        <v>1</v>
      </c>
      <c r="F118" s="4"/>
      <c r="G118" s="97">
        <f>D118*E118</f>
        <v>0</v>
      </c>
      <c r="H118" s="147">
        <f t="shared" si="2"/>
        <v>0</v>
      </c>
      <c r="K118" s="96"/>
    </row>
    <row r="119" spans="1:11" x14ac:dyDescent="0.3">
      <c r="A119" s="26" t="s">
        <v>83</v>
      </c>
      <c r="B119" s="87">
        <v>4.0000000000000002E-4</v>
      </c>
      <c r="C119" s="87">
        <v>226</v>
      </c>
      <c r="D119" s="74">
        <f t="shared" si="0"/>
        <v>1.7699115044247788E-6</v>
      </c>
      <c r="E119" s="4">
        <v>1</v>
      </c>
      <c r="F119" s="4"/>
      <c r="G119" s="97">
        <f t="shared" si="1"/>
        <v>1.7699115044247788E-6</v>
      </c>
      <c r="H119" s="147"/>
      <c r="K119" s="97"/>
    </row>
    <row r="120" spans="1:11" x14ac:dyDescent="0.3">
      <c r="A120" s="4" t="s">
        <v>169</v>
      </c>
      <c r="B120" s="64">
        <v>4.0000000000000001E-3</v>
      </c>
      <c r="C120" s="64">
        <v>400</v>
      </c>
      <c r="D120" s="78">
        <f t="shared" si="0"/>
        <v>1.0000000000000001E-5</v>
      </c>
      <c r="E120" s="77">
        <v>1</v>
      </c>
      <c r="F120" s="77"/>
      <c r="G120" s="78">
        <f t="shared" si="1"/>
        <v>1.0000000000000001E-5</v>
      </c>
      <c r="H120" s="114"/>
      <c r="I120">
        <f>1/G120</f>
        <v>99999.999999999985</v>
      </c>
    </row>
    <row r="121" spans="1:11" x14ac:dyDescent="0.3">
      <c r="A121" s="4" t="s">
        <v>35</v>
      </c>
      <c r="B121" s="4">
        <v>2E-3</v>
      </c>
      <c r="C121" s="7">
        <v>0.62</v>
      </c>
      <c r="D121" s="74">
        <f t="shared" si="0"/>
        <v>3.2258064516129032E-3</v>
      </c>
      <c r="E121" s="4">
        <v>1</v>
      </c>
      <c r="F121" s="4"/>
      <c r="G121" s="74">
        <f t="shared" si="1"/>
        <v>3.2258064516129032E-3</v>
      </c>
      <c r="H121" s="115"/>
    </row>
    <row r="122" spans="1:11" ht="15" thickBot="1" x14ac:dyDescent="0.35">
      <c r="A122" s="77" t="s">
        <v>86</v>
      </c>
      <c r="B122" s="106">
        <f>lambd_riser</f>
        <v>4.0000000000000001E-3</v>
      </c>
      <c r="C122" s="106">
        <f>k_riser</f>
        <v>400</v>
      </c>
      <c r="D122" s="78">
        <f t="shared" si="0"/>
        <v>1.0000000000000001E-5</v>
      </c>
      <c r="E122" s="77">
        <v>1</v>
      </c>
      <c r="F122" s="77"/>
      <c r="G122" s="78">
        <f t="shared" si="1"/>
        <v>1.0000000000000001E-5</v>
      </c>
      <c r="H122" s="114"/>
    </row>
    <row r="123" spans="1:11" s="72" customFormat="1" ht="15" thickBot="1" x14ac:dyDescent="0.35">
      <c r="A123" s="26" t="s">
        <v>82</v>
      </c>
      <c r="B123" s="108">
        <v>1E-3</v>
      </c>
      <c r="C123" s="109">
        <v>226</v>
      </c>
      <c r="D123" s="105">
        <f t="shared" si="0"/>
        <v>4.4247787610619468E-6</v>
      </c>
      <c r="E123" s="4"/>
      <c r="F123" s="4"/>
      <c r="G123" s="74">
        <f t="shared" si="1"/>
        <v>0</v>
      </c>
      <c r="H123" s="115"/>
    </row>
    <row r="124" spans="1:11" x14ac:dyDescent="0.3">
      <c r="A124" s="4" t="s">
        <v>36</v>
      </c>
      <c r="B124" s="107">
        <v>0</v>
      </c>
      <c r="C124" s="107">
        <v>0.03</v>
      </c>
      <c r="D124" s="74">
        <f>B124/C124</f>
        <v>0</v>
      </c>
      <c r="E124" s="4">
        <v>1</v>
      </c>
      <c r="F124" s="4"/>
      <c r="G124" s="74">
        <f t="shared" si="1"/>
        <v>0</v>
      </c>
      <c r="H124" s="115"/>
    </row>
    <row r="125" spans="1:11" x14ac:dyDescent="0.3">
      <c r="A125" s="1" t="s">
        <v>37</v>
      </c>
      <c r="B125" s="127">
        <f>B165</f>
        <v>4132.3394389195446</v>
      </c>
      <c r="C125" s="11"/>
      <c r="D125" s="75">
        <f>1/h_fluid</f>
        <v>2.4199367326452334E-4</v>
      </c>
      <c r="E125" s="38"/>
      <c r="F125" s="38"/>
      <c r="G125" s="35"/>
      <c r="H125" s="116"/>
    </row>
    <row r="126" spans="1:11" x14ac:dyDescent="0.3">
      <c r="A126" s="1" t="s">
        <v>38</v>
      </c>
      <c r="B126" s="10">
        <f>a_htop*u+b_htop</f>
        <v>3</v>
      </c>
      <c r="C126" s="39"/>
      <c r="D126" s="75">
        <f>1/h_top</f>
        <v>0.33333333333333331</v>
      </c>
      <c r="E126" s="38"/>
      <c r="F126" s="38"/>
      <c r="G126" s="35"/>
      <c r="H126" s="116"/>
      <c r="J126" t="s">
        <v>95</v>
      </c>
    </row>
    <row r="127" spans="1:11" s="129" customFormat="1" x14ac:dyDescent="0.3">
      <c r="A127" s="1" t="s">
        <v>196</v>
      </c>
      <c r="B127" s="26">
        <v>1</v>
      </c>
      <c r="C127" s="39"/>
      <c r="D127" s="75"/>
      <c r="E127" s="38"/>
      <c r="F127" s="38"/>
      <c r="G127" s="35"/>
      <c r="H127" s="116"/>
    </row>
    <row r="128" spans="1:11" s="98" customFormat="1" x14ac:dyDescent="0.3">
      <c r="A128" s="1" t="s">
        <v>132</v>
      </c>
      <c r="B128" s="26">
        <v>5</v>
      </c>
      <c r="C128" s="39">
        <v>3.85</v>
      </c>
      <c r="D128" s="75"/>
      <c r="E128" s="38"/>
      <c r="F128" s="38"/>
      <c r="G128" s="35"/>
      <c r="H128" s="116"/>
    </row>
    <row r="129" spans="1:10" s="98" customFormat="1" x14ac:dyDescent="0.3">
      <c r="A129" s="1" t="s">
        <v>131</v>
      </c>
      <c r="B129" s="26">
        <v>3</v>
      </c>
      <c r="C129" s="39">
        <v>3</v>
      </c>
      <c r="D129" s="75"/>
      <c r="E129" s="38"/>
      <c r="F129" s="38"/>
      <c r="G129" s="35"/>
      <c r="H129" s="116"/>
    </row>
    <row r="130" spans="1:10" x14ac:dyDescent="0.3">
      <c r="A130" s="4" t="s">
        <v>39</v>
      </c>
      <c r="B130" s="26">
        <v>3</v>
      </c>
      <c r="C130" s="39"/>
      <c r="D130" s="75">
        <f>1/h_inner</f>
        <v>0.33333333333333331</v>
      </c>
      <c r="E130" s="38"/>
      <c r="F130" s="38"/>
      <c r="G130" s="35"/>
      <c r="H130" s="116"/>
    </row>
    <row r="131" spans="1:10" s="98" customFormat="1" x14ac:dyDescent="0.3">
      <c r="A131" s="4" t="s">
        <v>116</v>
      </c>
      <c r="B131" s="26">
        <v>1</v>
      </c>
      <c r="C131" s="39"/>
      <c r="D131" s="75"/>
      <c r="E131" s="38"/>
      <c r="F131" s="38"/>
      <c r="G131" s="35"/>
      <c r="H131" s="116"/>
    </row>
    <row r="132" spans="1:10" x14ac:dyDescent="0.3">
      <c r="A132" s="40" t="s">
        <v>40</v>
      </c>
      <c r="B132" s="41">
        <f>G109+G110</f>
        <v>5.6208333333333336E-3</v>
      </c>
      <c r="C132" s="7"/>
      <c r="D132" s="42"/>
      <c r="E132" s="43">
        <v>1</v>
      </c>
      <c r="F132" s="43"/>
      <c r="G132" s="44">
        <v>3.3377926421404677E-2</v>
      </c>
      <c r="H132" s="117"/>
      <c r="J132" s="45"/>
    </row>
    <row r="133" spans="1:10" x14ac:dyDescent="0.3">
      <c r="A133" s="7" t="s">
        <v>41</v>
      </c>
      <c r="B133" s="41">
        <f>SUM(G112:G118)</f>
        <v>3.1958333333333339E-3</v>
      </c>
      <c r="C133" s="7"/>
      <c r="D133" s="37"/>
      <c r="E133" s="46">
        <v>1</v>
      </c>
      <c r="F133" s="46"/>
      <c r="G133" s="35">
        <v>1.25103093262529E-2</v>
      </c>
      <c r="H133" s="116"/>
      <c r="J133" s="45"/>
    </row>
    <row r="134" spans="1:10" x14ac:dyDescent="0.3">
      <c r="A134" s="40" t="s">
        <v>42</v>
      </c>
      <c r="B134" s="41">
        <f>R_INTER</f>
        <v>3.1958333333333339E-3</v>
      </c>
      <c r="C134" s="7"/>
      <c r="D134" s="37"/>
      <c r="E134" s="47">
        <v>1</v>
      </c>
      <c r="F134" s="47"/>
      <c r="G134" s="35">
        <v>0.125024</v>
      </c>
      <c r="H134" s="116"/>
    </row>
    <row r="135" spans="1:10" x14ac:dyDescent="0.3">
      <c r="A135" s="48" t="s">
        <v>106</v>
      </c>
      <c r="B135" s="49">
        <f>G124</f>
        <v>0</v>
      </c>
      <c r="C135" s="50"/>
      <c r="D135" s="51"/>
      <c r="E135" s="52"/>
      <c r="F135" s="52"/>
      <c r="G135" s="53"/>
      <c r="H135" s="53"/>
    </row>
    <row r="136" spans="1:10" x14ac:dyDescent="0.3">
      <c r="A136" s="54" t="s">
        <v>105</v>
      </c>
      <c r="B136" s="81">
        <f>R_2+1/h_inner</f>
        <v>0.33333333333333331</v>
      </c>
      <c r="C136" s="50"/>
      <c r="D136" s="51"/>
      <c r="E136" s="52"/>
      <c r="F136" s="52"/>
      <c r="G136" s="53"/>
      <c r="H136" s="53"/>
    </row>
    <row r="137" spans="1:10" x14ac:dyDescent="0.3">
      <c r="A137" s="54" t="s">
        <v>100</v>
      </c>
      <c r="B137" s="55">
        <f>(l_c*k_riser)/lambd_riser</f>
        <v>400</v>
      </c>
      <c r="C137" s="50"/>
      <c r="D137" s="51"/>
      <c r="E137" s="52" t="s">
        <v>97</v>
      </c>
      <c r="F137" s="52"/>
      <c r="G137" s="53"/>
      <c r="H137" s="53"/>
    </row>
    <row r="138" spans="1:10" x14ac:dyDescent="0.3">
      <c r="A138" s="52"/>
      <c r="B138" s="56"/>
      <c r="C138" s="56"/>
      <c r="D138" s="51"/>
      <c r="E138" s="52"/>
      <c r="F138" s="52"/>
      <c r="G138" s="53"/>
      <c r="H138" s="53"/>
    </row>
    <row r="139" spans="1:10" x14ac:dyDescent="0.3">
      <c r="A139" s="158">
        <v>7</v>
      </c>
      <c r="B139" s="159"/>
      <c r="C139" s="159"/>
      <c r="D139" s="159"/>
    </row>
    <row r="140" spans="1:10" x14ac:dyDescent="0.3">
      <c r="A140" s="1" t="s">
        <v>43</v>
      </c>
      <c r="B140" s="1">
        <v>966</v>
      </c>
      <c r="C140" s="57" t="s">
        <v>44</v>
      </c>
      <c r="G140" t="s">
        <v>45</v>
      </c>
    </row>
    <row r="141" spans="1:10" x14ac:dyDescent="0.3">
      <c r="A141" s="1" t="s">
        <v>46</v>
      </c>
      <c r="B141" s="110">
        <f>sigma*(T_sky^4-T_amb^4)</f>
        <v>-6.1193314861411707</v>
      </c>
      <c r="C141" s="57" t="s">
        <v>44</v>
      </c>
    </row>
    <row r="142" spans="1:10" s="98" customFormat="1" x14ac:dyDescent="0.3">
      <c r="A142" s="1" t="s">
        <v>111</v>
      </c>
      <c r="B142" s="1">
        <v>-1</v>
      </c>
      <c r="C142" s="57"/>
      <c r="F142" s="128"/>
    </row>
    <row r="143" spans="1:10" x14ac:dyDescent="0.3">
      <c r="A143" s="1" t="s">
        <v>47</v>
      </c>
      <c r="B143" s="1">
        <f>T_amb+coeff_G_p</f>
        <v>299.42999999999995</v>
      </c>
      <c r="C143" s="12" t="s">
        <v>48</v>
      </c>
      <c r="D143">
        <f>T_sky-273.15</f>
        <v>26.279999999999973</v>
      </c>
      <c r="E143" t="s">
        <v>49</v>
      </c>
      <c r="G143" t="s">
        <v>50</v>
      </c>
    </row>
    <row r="144" spans="1:10" x14ac:dyDescent="0.3">
      <c r="A144" s="1" t="s">
        <v>51</v>
      </c>
      <c r="B144" s="1">
        <f>27.28+273.15</f>
        <v>300.42999999999995</v>
      </c>
      <c r="C144" s="12" t="s">
        <v>48</v>
      </c>
      <c r="D144" s="76">
        <f>T_amb-273.15</f>
        <v>27.279999999999973</v>
      </c>
      <c r="E144" t="s">
        <v>49</v>
      </c>
    </row>
    <row r="145" spans="1:13" x14ac:dyDescent="0.3">
      <c r="A145" s="1" t="s">
        <v>52</v>
      </c>
      <c r="B145" s="1">
        <f>T_amb</f>
        <v>300.42999999999995</v>
      </c>
      <c r="C145" s="12" t="s">
        <v>48</v>
      </c>
      <c r="D145" s="76">
        <f>T_back-273.15</f>
        <v>27.279999999999973</v>
      </c>
      <c r="E145" t="s">
        <v>49</v>
      </c>
      <c r="I145" t="s">
        <v>53</v>
      </c>
    </row>
    <row r="146" spans="1:13" x14ac:dyDescent="0.3">
      <c r="A146" s="4" t="s">
        <v>54</v>
      </c>
      <c r="B146" s="1">
        <v>0</v>
      </c>
      <c r="C146" s="12" t="s">
        <v>55</v>
      </c>
    </row>
    <row r="147" spans="1:13" x14ac:dyDescent="0.3">
      <c r="A147" s="58" t="s">
        <v>56</v>
      </c>
      <c r="B147" s="58">
        <v>0.1</v>
      </c>
      <c r="C147" s="59" t="s">
        <v>15</v>
      </c>
      <c r="D147" s="60" t="s">
        <v>57</v>
      </c>
    </row>
    <row r="148" spans="1:13" x14ac:dyDescent="0.3">
      <c r="A148" s="158" t="s">
        <v>35</v>
      </c>
      <c r="B148" s="159"/>
      <c r="C148" s="159"/>
      <c r="D148" s="159"/>
    </row>
    <row r="149" spans="1:13" x14ac:dyDescent="0.3">
      <c r="A149" s="1" t="s">
        <v>58</v>
      </c>
      <c r="B149" s="1">
        <f>23.08+273.15</f>
        <v>296.22999999999996</v>
      </c>
      <c r="C149" s="12" t="s">
        <v>48</v>
      </c>
      <c r="D149">
        <v>19.850000000000019</v>
      </c>
      <c r="E149" t="s">
        <v>49</v>
      </c>
    </row>
    <row r="150" spans="1:13" x14ac:dyDescent="0.3">
      <c r="A150" s="61" t="s">
        <v>59</v>
      </c>
      <c r="B150" s="4">
        <v>5.6000000000000001E-2</v>
      </c>
      <c r="C150" s="12" t="s">
        <v>60</v>
      </c>
      <c r="D150" s="62">
        <v>201.6</v>
      </c>
      <c r="E150" s="12" t="s">
        <v>61</v>
      </c>
      <c r="F150" s="103"/>
      <c r="G150">
        <v>480</v>
      </c>
    </row>
    <row r="151" spans="1:13" x14ac:dyDescent="0.3">
      <c r="A151" s="63" t="s">
        <v>62</v>
      </c>
      <c r="B151" s="64">
        <v>4186</v>
      </c>
      <c r="C151" s="12" t="s">
        <v>63</v>
      </c>
      <c r="D151" t="s">
        <v>64</v>
      </c>
    </row>
    <row r="152" spans="1:13" x14ac:dyDescent="0.3">
      <c r="A152" s="65" t="s">
        <v>65</v>
      </c>
      <c r="B152" s="4">
        <v>0.62</v>
      </c>
      <c r="C152" s="12" t="s">
        <v>27</v>
      </c>
      <c r="D152" t="s">
        <v>66</v>
      </c>
    </row>
    <row r="153" spans="1:13" x14ac:dyDescent="0.3">
      <c r="A153" s="65" t="s">
        <v>67</v>
      </c>
      <c r="B153" s="4">
        <v>1000</v>
      </c>
      <c r="C153" s="12" t="s">
        <v>68</v>
      </c>
      <c r="D153" t="s">
        <v>69</v>
      </c>
    </row>
    <row r="154" spans="1:13" x14ac:dyDescent="0.3">
      <c r="A154" s="65" t="s">
        <v>121</v>
      </c>
      <c r="B154" s="66">
        <v>8.8999999999999995E-4</v>
      </c>
      <c r="C154" s="12" t="s">
        <v>70</v>
      </c>
      <c r="D154" t="s">
        <v>71</v>
      </c>
      <c r="E154" s="60" t="s">
        <v>57</v>
      </c>
      <c r="F154" s="60"/>
    </row>
    <row r="155" spans="1:13" x14ac:dyDescent="0.3">
      <c r="A155" s="67" t="s">
        <v>72</v>
      </c>
      <c r="B155" s="68">
        <v>3.4146341463414637E-2</v>
      </c>
      <c r="C155" s="12" t="s">
        <v>73</v>
      </c>
      <c r="D155" s="60" t="s">
        <v>57</v>
      </c>
    </row>
    <row r="156" spans="1:13" x14ac:dyDescent="0.3">
      <c r="A156" s="67" t="s">
        <v>74</v>
      </c>
      <c r="B156" s="68">
        <v>0.27852115041081688</v>
      </c>
      <c r="C156" s="12" t="s">
        <v>55</v>
      </c>
    </row>
    <row r="157" spans="1:13" x14ac:dyDescent="0.3">
      <c r="A157" s="69" t="s">
        <v>75</v>
      </c>
      <c r="B157" s="84">
        <f>0.034</f>
        <v>3.4000000000000002E-2</v>
      </c>
      <c r="C157" s="71" t="s">
        <v>76</v>
      </c>
      <c r="D157" t="s">
        <v>77</v>
      </c>
      <c r="E157" t="s">
        <v>78</v>
      </c>
      <c r="G157">
        <f>m_dot*60*60</f>
        <v>122.4</v>
      </c>
      <c r="H157" s="98" t="s">
        <v>61</v>
      </c>
      <c r="I157" t="s">
        <v>93</v>
      </c>
      <c r="M157" s="85" t="s">
        <v>110</v>
      </c>
    </row>
    <row r="158" spans="1:13" s="118" customFormat="1" x14ac:dyDescent="0.3">
      <c r="A158" s="120"/>
      <c r="B158" s="83">
        <f>m_dot/1000</f>
        <v>3.4E-5</v>
      </c>
      <c r="C158" s="71" t="s">
        <v>94</v>
      </c>
      <c r="F158" s="128"/>
      <c r="M158" s="85"/>
    </row>
    <row r="159" spans="1:13" s="118" customFormat="1" x14ac:dyDescent="0.3">
      <c r="A159" s="122" t="s">
        <v>117</v>
      </c>
      <c r="B159" s="141">
        <f>m_dot/N_harp_actual</f>
        <v>3.4000000000000002E-2</v>
      </c>
      <c r="C159" s="123" t="s">
        <v>76</v>
      </c>
      <c r="D159" s="121">
        <f>B159/rho_fluid</f>
        <v>3.4E-5</v>
      </c>
      <c r="E159" s="123" t="s">
        <v>94</v>
      </c>
      <c r="F159" s="124"/>
      <c r="M159" s="85"/>
    </row>
    <row r="160" spans="1:13" s="118" customFormat="1" x14ac:dyDescent="0.3">
      <c r="A160" s="122" t="s">
        <v>119</v>
      </c>
      <c r="B160" s="126">
        <f>PI()*(D_tube/2)^2</f>
        <v>5.0265482457436686E-5</v>
      </c>
      <c r="C160" s="123" t="s">
        <v>109</v>
      </c>
      <c r="F160" s="128"/>
      <c r="M160" s="85"/>
    </row>
    <row r="161" spans="1:13" s="118" customFormat="1" x14ac:dyDescent="0.3">
      <c r="A161" s="122" t="s">
        <v>118</v>
      </c>
      <c r="B161" s="121">
        <f>D159/B160</f>
        <v>0.6764085081405552</v>
      </c>
      <c r="C161" s="123" t="s">
        <v>55</v>
      </c>
      <c r="F161" s="128"/>
      <c r="M161" s="85"/>
    </row>
    <row r="162" spans="1:13" s="118" customFormat="1" x14ac:dyDescent="0.3">
      <c r="A162" s="122" t="s">
        <v>120</v>
      </c>
      <c r="B162" s="125">
        <f>(rho_fluid*B161*D_tube)/mu_fluid</f>
        <v>6080.0764776679125</v>
      </c>
      <c r="C162" s="124"/>
      <c r="F162" s="128"/>
      <c r="M162" s="85"/>
    </row>
    <row r="163" spans="1:13" s="118" customFormat="1" x14ac:dyDescent="0.3">
      <c r="A163" s="122" t="s">
        <v>122</v>
      </c>
      <c r="B163" s="125">
        <v>7</v>
      </c>
      <c r="C163" s="124"/>
      <c r="F163" s="128"/>
      <c r="M163" s="85"/>
    </row>
    <row r="164" spans="1:13" s="118" customFormat="1" x14ac:dyDescent="0.3">
      <c r="A164" s="122" t="s">
        <v>124</v>
      </c>
      <c r="B164" s="125">
        <f>IF(Re&lt;2000,0.7*0.023*Re^0.8*Pr_fluid^0.4,0.023*Re^0.8*Pr_fluid^0.4)</f>
        <v>53.320508889284447</v>
      </c>
      <c r="C164" s="124"/>
      <c r="F164" s="128"/>
      <c r="M164" s="85"/>
    </row>
    <row r="165" spans="1:13" s="118" customFormat="1" x14ac:dyDescent="0.3">
      <c r="A165" s="122" t="s">
        <v>123</v>
      </c>
      <c r="B165" s="125">
        <f>(k_fluid/D_tube)*Nu_fluid</f>
        <v>4132.3394389195446</v>
      </c>
      <c r="C165" s="124"/>
      <c r="F165" s="128"/>
      <c r="M165" s="85"/>
    </row>
    <row r="167" spans="1:13" x14ac:dyDescent="0.3">
      <c r="A167" s="70" t="s">
        <v>201</v>
      </c>
      <c r="B167">
        <f>m_dot*C_p</f>
        <v>142.32400000000001</v>
      </c>
      <c r="F167"/>
    </row>
  </sheetData>
  <mergeCells count="8">
    <mergeCell ref="A148:D148"/>
    <mergeCell ref="A53:D53"/>
    <mergeCell ref="A48:D48"/>
    <mergeCell ref="A3:D3"/>
    <mergeCell ref="A7:D7"/>
    <mergeCell ref="A15:D15"/>
    <mergeCell ref="A98:D98"/>
    <mergeCell ref="A139:D139"/>
  </mergeCells>
  <dataValidations count="3">
    <dataValidation type="list" allowBlank="1" showInputMessage="1" showErrorMessage="1" sqref="B33" xr:uid="{75821DF4-A396-45E3-8D71-E46A727AF997}">
      <formula1>"harp,meander"</formula1>
    </dataValidation>
    <dataValidation type="list" allowBlank="1" showInputMessage="1" showErrorMessage="1" sqref="B34" xr:uid="{61A2D7AF-9649-4310-9A03-7AE6D6E907C2}">
      <formula1>"portrait,landscape"</formula1>
    </dataValidation>
    <dataValidation type="list" allowBlank="1" showInputMessage="1" showErrorMessage="1" sqref="B1" xr:uid="{9838AB20-C518-4934-98D2-09E3E9FDD3A9}">
      <formula1>$G$1:$G$18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C7E5-3949-4A3B-B177-11BFA0BF390D}">
  <sheetPr codeName="Feuil5"/>
  <dimension ref="A2:D37"/>
  <sheetViews>
    <sheetView showGridLines="0" workbookViewId="0">
      <selection activeCell="F15" sqref="F15"/>
    </sheetView>
  </sheetViews>
  <sheetFormatPr baseColWidth="10" defaultRowHeight="14.4" x14ac:dyDescent="0.3"/>
  <cols>
    <col min="1" max="1" width="11.5546875" style="129"/>
    <col min="2" max="2" width="22.109375" customWidth="1"/>
  </cols>
  <sheetData>
    <row r="2" spans="2:4" s="129" customFormat="1" x14ac:dyDescent="0.3">
      <c r="B2" s="88" t="s">
        <v>157</v>
      </c>
      <c r="C2" s="89">
        <f>N_meander</f>
        <v>16</v>
      </c>
      <c r="D2" s="90"/>
    </row>
    <row r="3" spans="2:4" s="129" customFormat="1" x14ac:dyDescent="0.3">
      <c r="B3" s="102" t="s">
        <v>173</v>
      </c>
      <c r="C3" s="103">
        <f>N_harp_actual</f>
        <v>1</v>
      </c>
      <c r="D3" s="143"/>
    </row>
    <row r="4" spans="2:4" s="142" customFormat="1" x14ac:dyDescent="0.3">
      <c r="B4" s="91" t="s">
        <v>217</v>
      </c>
      <c r="C4" s="154">
        <f>W*1000</f>
        <v>96.875</v>
      </c>
      <c r="D4" s="93" t="s">
        <v>98</v>
      </c>
    </row>
    <row r="5" spans="2:4" s="129" customFormat="1" x14ac:dyDescent="0.3">
      <c r="B5" s="102" t="s">
        <v>158</v>
      </c>
      <c r="C5" s="103">
        <f>L_riser</f>
        <v>1.08</v>
      </c>
      <c r="D5" s="143" t="s">
        <v>10</v>
      </c>
    </row>
    <row r="6" spans="2:4" s="129" customFormat="1" x14ac:dyDescent="0.3">
      <c r="B6" s="102" t="s">
        <v>159</v>
      </c>
      <c r="C6" s="103">
        <f>D_tube*1000</f>
        <v>8</v>
      </c>
      <c r="D6" s="143" t="s">
        <v>98</v>
      </c>
    </row>
    <row r="7" spans="2:4" s="129" customFormat="1" x14ac:dyDescent="0.3">
      <c r="B7" s="102" t="s">
        <v>206</v>
      </c>
      <c r="C7" s="103">
        <f>l_B*1000</f>
        <v>8</v>
      </c>
      <c r="D7" s="143" t="s">
        <v>98</v>
      </c>
    </row>
    <row r="8" spans="2:4" s="142" customFormat="1" x14ac:dyDescent="0.3">
      <c r="B8" s="102" t="s">
        <v>167</v>
      </c>
      <c r="C8" s="103">
        <f>l_c*1000</f>
        <v>4</v>
      </c>
      <c r="D8" s="143" t="s">
        <v>98</v>
      </c>
    </row>
    <row r="9" spans="2:4" s="129" customFormat="1" x14ac:dyDescent="0.3">
      <c r="B9" s="91" t="s">
        <v>168</v>
      </c>
      <c r="C9" s="92">
        <f>iota*1000</f>
        <v>8</v>
      </c>
      <c r="D9" s="93" t="s">
        <v>98</v>
      </c>
    </row>
    <row r="10" spans="2:4" s="129" customFormat="1" x14ac:dyDescent="0.3">
      <c r="B10" s="102" t="s">
        <v>155</v>
      </c>
      <c r="C10" s="103">
        <f>air_layer*1000</f>
        <v>0</v>
      </c>
      <c r="D10" s="143" t="s">
        <v>98</v>
      </c>
    </row>
    <row r="11" spans="2:4" s="129" customFormat="1" x14ac:dyDescent="0.3">
      <c r="B11" s="91" t="s">
        <v>156</v>
      </c>
      <c r="C11" s="92">
        <f>e_insulation*1000</f>
        <v>0</v>
      </c>
      <c r="D11" s="93" t="s">
        <v>98</v>
      </c>
    </row>
    <row r="12" spans="2:4" x14ac:dyDescent="0.3">
      <c r="B12" s="88" t="s">
        <v>150</v>
      </c>
      <c r="C12" s="89">
        <f>coeff_h_top</f>
        <v>1</v>
      </c>
      <c r="D12" s="90"/>
    </row>
    <row r="13" spans="2:4" x14ac:dyDescent="0.3">
      <c r="B13" s="102" t="s">
        <v>153</v>
      </c>
      <c r="C13" s="144" t="s">
        <v>161</v>
      </c>
      <c r="D13" s="143" t="s">
        <v>166</v>
      </c>
    </row>
    <row r="14" spans="2:4" s="142" customFormat="1" x14ac:dyDescent="0.3">
      <c r="B14" s="102" t="s">
        <v>152</v>
      </c>
      <c r="C14" s="103">
        <f>a_htop</f>
        <v>5</v>
      </c>
      <c r="D14" s="143" t="s">
        <v>164</v>
      </c>
    </row>
    <row r="15" spans="2:4" x14ac:dyDescent="0.3">
      <c r="B15" s="102" t="s">
        <v>154</v>
      </c>
      <c r="C15" s="103">
        <f>coeff_h_back</f>
        <v>1</v>
      </c>
      <c r="D15" s="143"/>
    </row>
    <row r="16" spans="2:4" s="129" customFormat="1" x14ac:dyDescent="0.3">
      <c r="B16" s="88" t="s">
        <v>165</v>
      </c>
      <c r="C16" s="152">
        <f>h_fluid</f>
        <v>4132.3394389195446</v>
      </c>
      <c r="D16" s="90" t="s">
        <v>166</v>
      </c>
    </row>
    <row r="17" spans="2:4" s="142" customFormat="1" x14ac:dyDescent="0.3">
      <c r="B17" s="88" t="s">
        <v>218</v>
      </c>
      <c r="C17" s="153" t="str">
        <f>orientation</f>
        <v>portrait</v>
      </c>
      <c r="D17" s="90"/>
    </row>
    <row r="18" spans="2:4" x14ac:dyDescent="0.3">
      <c r="B18" s="91" t="s">
        <v>162</v>
      </c>
      <c r="C18" s="92">
        <f>theta</f>
        <v>45</v>
      </c>
      <c r="D18" s="93" t="s">
        <v>163</v>
      </c>
    </row>
    <row r="19" spans="2:4" s="142" customFormat="1" x14ac:dyDescent="0.3">
      <c r="B19" s="103"/>
      <c r="C19" s="103"/>
      <c r="D19" s="103"/>
    </row>
    <row r="21" spans="2:4" x14ac:dyDescent="0.3">
      <c r="B21" t="str">
        <f>Main!A109</f>
        <v>Frontsheet : verre</v>
      </c>
      <c r="C21">
        <f>Main!B109*1000</f>
        <v>2.78</v>
      </c>
      <c r="D21" t="s">
        <v>98</v>
      </c>
    </row>
    <row r="22" spans="2:4" x14ac:dyDescent="0.3">
      <c r="B22" s="142" t="str">
        <f>Main!A110</f>
        <v>EVA</v>
      </c>
      <c r="C22" s="142">
        <f>Main!B110*1000</f>
        <v>0.51500000000000001</v>
      </c>
      <c r="D22" s="142" t="s">
        <v>98</v>
      </c>
    </row>
    <row r="23" spans="2:4" x14ac:dyDescent="0.3">
      <c r="B23" s="142" t="str">
        <f>Main!A111</f>
        <v>Silicium (PV cells)</v>
      </c>
      <c r="C23" s="142">
        <f>Main!B111*1000</f>
        <v>0.15</v>
      </c>
      <c r="D23" s="142" t="s">
        <v>98</v>
      </c>
    </row>
    <row r="24" spans="2:4" x14ac:dyDescent="0.3">
      <c r="B24" s="142" t="str">
        <f>Main!A112</f>
        <v>EVA</v>
      </c>
      <c r="C24" s="142">
        <f>Main!B112*1000</f>
        <v>0.51500000000000001</v>
      </c>
      <c r="D24" s="142" t="s">
        <v>98</v>
      </c>
    </row>
    <row r="25" spans="2:4" x14ac:dyDescent="0.3">
      <c r="B25" s="142" t="str">
        <f>Main!A113</f>
        <v>Backsheet : PVDF</v>
      </c>
      <c r="C25" s="142">
        <f>Main!B113*1000</f>
        <v>3.0000000000000002E-2</v>
      </c>
      <c r="D25" s="142" t="s">
        <v>98</v>
      </c>
    </row>
    <row r="26" spans="2:4" x14ac:dyDescent="0.3">
      <c r="B26" s="142" t="str">
        <f>Main!A114</f>
        <v>Backsheet : PET</v>
      </c>
      <c r="C26" s="142">
        <f>Main!B114*1000</f>
        <v>0.27</v>
      </c>
      <c r="D26" s="142" t="s">
        <v>98</v>
      </c>
    </row>
    <row r="27" spans="2:4" x14ac:dyDescent="0.3">
      <c r="B27" s="142" t="str">
        <f>Main!A115</f>
        <v>Backsheet : Adhesive</v>
      </c>
      <c r="C27" s="142">
        <f>Main!B115*1000</f>
        <v>0</v>
      </c>
      <c r="D27" s="142" t="s">
        <v>98</v>
      </c>
    </row>
    <row r="28" spans="2:4" x14ac:dyDescent="0.3">
      <c r="B28" s="142" t="s">
        <v>208</v>
      </c>
      <c r="C28" s="142">
        <f>Main!B117*1000</f>
        <v>0</v>
      </c>
      <c r="D28" s="142" t="s">
        <v>98</v>
      </c>
    </row>
    <row r="29" spans="2:4" x14ac:dyDescent="0.3">
      <c r="B29" s="142" t="s">
        <v>207</v>
      </c>
      <c r="C29" s="142">
        <f>Main!B119*1000</f>
        <v>0.4</v>
      </c>
      <c r="D29" s="142" t="s">
        <v>98</v>
      </c>
    </row>
    <row r="30" spans="2:4" x14ac:dyDescent="0.3">
      <c r="B30" s="142" t="str">
        <f>Main!A120</f>
        <v>Tube en cuivre</v>
      </c>
      <c r="C30" s="142">
        <f>Main!B120*1000</f>
        <v>4</v>
      </c>
      <c r="D30" s="142" t="s">
        <v>98</v>
      </c>
    </row>
    <row r="31" spans="2:4" x14ac:dyDescent="0.3">
      <c r="B31" s="142" t="str">
        <f>Main!A124</f>
        <v>Isolant</v>
      </c>
      <c r="C31" s="142">
        <f>Main!B124*1000</f>
        <v>0</v>
      </c>
      <c r="D31" s="142" t="s">
        <v>98</v>
      </c>
    </row>
    <row r="34" spans="2:3" x14ac:dyDescent="0.3">
      <c r="B34" s="142"/>
      <c r="C34" s="142"/>
    </row>
    <row r="37" spans="2:3" x14ac:dyDescent="0.3">
      <c r="B37" s="1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95</vt:i4>
      </vt:variant>
    </vt:vector>
  </HeadingPairs>
  <TitlesOfParts>
    <vt:vector size="97" baseType="lpstr">
      <vt:lpstr>Main</vt:lpstr>
      <vt:lpstr>Recap</vt:lpstr>
      <vt:lpstr>A_G</vt:lpstr>
      <vt:lpstr>a_htop</vt:lpstr>
      <vt:lpstr>ailette</vt:lpstr>
      <vt:lpstr>air_layer</vt:lpstr>
      <vt:lpstr>b_htop</vt:lpstr>
      <vt:lpstr>C_B</vt:lpstr>
      <vt:lpstr>C_p</vt:lpstr>
      <vt:lpstr>coeff_f1</vt:lpstr>
      <vt:lpstr>coeff_G_p</vt:lpstr>
      <vt:lpstr>coeff_h_back</vt:lpstr>
      <vt:lpstr>coeff_h_top</vt:lpstr>
      <vt:lpstr>D</vt:lpstr>
      <vt:lpstr>D_4</vt:lpstr>
      <vt:lpstr>D_tube</vt:lpstr>
      <vt:lpstr>delta</vt:lpstr>
      <vt:lpstr>DELTA_a</vt:lpstr>
      <vt:lpstr>delta_f0</vt:lpstr>
      <vt:lpstr>delta_f1</vt:lpstr>
      <vt:lpstr>delta_f2</vt:lpstr>
      <vt:lpstr>delta_f3</vt:lpstr>
      <vt:lpstr>Dext_tube</vt:lpstr>
      <vt:lpstr>e_insulation</vt:lpstr>
      <vt:lpstr>Eff_G</vt:lpstr>
      <vt:lpstr>Eff_T</vt:lpstr>
      <vt:lpstr>eps</vt:lpstr>
      <vt:lpstr>eta_nom</vt:lpstr>
      <vt:lpstr>fin_0</vt:lpstr>
      <vt:lpstr>fin_1</vt:lpstr>
      <vt:lpstr>fin_2</vt:lpstr>
      <vt:lpstr>fin_3</vt:lpstr>
      <vt:lpstr>G_p</vt:lpstr>
      <vt:lpstr>G_ref</vt:lpstr>
      <vt:lpstr>G_T0</vt:lpstr>
      <vt:lpstr>geometry</vt:lpstr>
      <vt:lpstr>h_fluid</vt:lpstr>
      <vt:lpstr>h_inner</vt:lpstr>
      <vt:lpstr>h_top</vt:lpstr>
      <vt:lpstr>Heta</vt:lpstr>
      <vt:lpstr>insulated</vt:lpstr>
      <vt:lpstr>iota</vt:lpstr>
      <vt:lpstr>k_abs</vt:lpstr>
      <vt:lpstr>k_ail</vt:lpstr>
      <vt:lpstr>k_air</vt:lpstr>
      <vt:lpstr>k_fluid</vt:lpstr>
      <vt:lpstr>k_insulation</vt:lpstr>
      <vt:lpstr>k_riser</vt:lpstr>
      <vt:lpstr>L_a</vt:lpstr>
      <vt:lpstr>L_af</vt:lpstr>
      <vt:lpstr>l_B</vt:lpstr>
      <vt:lpstr>l_c</vt:lpstr>
      <vt:lpstr>L_f0</vt:lpstr>
      <vt:lpstr>L_f1</vt:lpstr>
      <vt:lpstr>L_f2</vt:lpstr>
      <vt:lpstr>L_f3</vt:lpstr>
      <vt:lpstr>l_i</vt:lpstr>
      <vt:lpstr>L_riser</vt:lpstr>
      <vt:lpstr>lambd_abs</vt:lpstr>
      <vt:lpstr>lambd_ail</vt:lpstr>
      <vt:lpstr>lambd_riser</vt:lpstr>
      <vt:lpstr>largeur</vt:lpstr>
      <vt:lpstr>longueur</vt:lpstr>
      <vt:lpstr>m_dot</vt:lpstr>
      <vt:lpstr>mu_fluid</vt:lpstr>
      <vt:lpstr>N_ail</vt:lpstr>
      <vt:lpstr>N_f0</vt:lpstr>
      <vt:lpstr>N_f1</vt:lpstr>
      <vt:lpstr>N_f2</vt:lpstr>
      <vt:lpstr>N_f3</vt:lpstr>
      <vt:lpstr>N_fins_per_EP</vt:lpstr>
      <vt:lpstr>N_harp</vt:lpstr>
      <vt:lpstr>N_harp_actual</vt:lpstr>
      <vt:lpstr>N_meander</vt:lpstr>
      <vt:lpstr>Nu_fluid</vt:lpstr>
      <vt:lpstr>orientation</vt:lpstr>
      <vt:lpstr>Pr_fluid</vt:lpstr>
      <vt:lpstr>R_2</vt:lpstr>
      <vt:lpstr>R_B</vt:lpstr>
      <vt:lpstr>R_INTER</vt:lpstr>
      <vt:lpstr>R_T</vt:lpstr>
      <vt:lpstr>R_TOP</vt:lpstr>
      <vt:lpstr>Re</vt:lpstr>
      <vt:lpstr>rho_fluid</vt:lpstr>
      <vt:lpstr>sigma</vt:lpstr>
      <vt:lpstr>T_amb</vt:lpstr>
      <vt:lpstr>T_back</vt:lpstr>
      <vt:lpstr>T_fluid_in0</vt:lpstr>
      <vt:lpstr>T_ref</vt:lpstr>
      <vt:lpstr>T_sky</vt:lpstr>
      <vt:lpstr>tau_alpha</vt:lpstr>
      <vt:lpstr>test</vt:lpstr>
      <vt:lpstr>theta</vt:lpstr>
      <vt:lpstr>tube_conv</vt:lpstr>
      <vt:lpstr>u</vt:lpstr>
      <vt:lpstr>W</vt:lpstr>
      <vt:lpstr>X_corr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- DualSun</dc:creator>
  <cp:lastModifiedBy>Valentin - DualSun</cp:lastModifiedBy>
  <dcterms:created xsi:type="dcterms:W3CDTF">2021-12-29T11:02:06Z</dcterms:created>
  <dcterms:modified xsi:type="dcterms:W3CDTF">2022-03-31T15:04:02Z</dcterms:modified>
</cp:coreProperties>
</file>