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GitHub\PVT-perf-1Dmodel\"/>
    </mc:Choice>
  </mc:AlternateContent>
  <xr:revisionPtr revIDLastSave="0" documentId="13_ncr:1_{34595F4F-A40B-40F8-8584-4462A211FC01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Recap" sheetId="6" r:id="rId2"/>
  </sheets>
  <externalReferences>
    <externalReference r:id="rId3"/>
  </externalReferences>
  <definedNames>
    <definedName name="A_G">Main!$E$18</definedName>
    <definedName name="a_htop">Main!$B$109</definedName>
    <definedName name="ail_biot">Main!#REF!</definedName>
    <definedName name="ailette">Main!$E$45</definedName>
    <definedName name="air_layer">Main!$B$35</definedName>
    <definedName name="alpha">[1]Feuil1!$B$9</definedName>
    <definedName name="b_htop">Main!$B$110</definedName>
    <definedName name="beta">[1]Feuil1!$B$10</definedName>
    <definedName name="Bi_hd">Main!#REF!</definedName>
    <definedName name="C_B">Main!$B$116</definedName>
    <definedName name="C_p">Main!$B$130</definedName>
    <definedName name="coeff_f1">Main!$B$69</definedName>
    <definedName name="coeff_G_p">Main!$B$121</definedName>
    <definedName name="coeff_h_back">Main!$B$112</definedName>
    <definedName name="coeff_h_top">Main!$B$108</definedName>
    <definedName name="D">Main!$B$56</definedName>
    <definedName name="D_4">Main!#REF!</definedName>
    <definedName name="D_tube">Main!$B$22</definedName>
    <definedName name="delta">Main!$E$34</definedName>
    <definedName name="DELTA_a">Main!$E$52</definedName>
    <definedName name="delta_f0">Main!$B$61</definedName>
    <definedName name="delta_f1">Main!$B$67</definedName>
    <definedName name="delta_f1_int">Main!$B$68</definedName>
    <definedName name="delta_f2">Main!$B$74</definedName>
    <definedName name="delta_f3">Main!$B$80</definedName>
    <definedName name="delta_fins_on_abs">Main!#REF!</definedName>
    <definedName name="delta_hd">Main!#REF!</definedName>
    <definedName name="delta_tube">Main!#REF!</definedName>
    <definedName name="delta_vf">Main!#REF!</definedName>
    <definedName name="Dext_tube">Main!$B$23</definedName>
    <definedName name="e_insulation">Main!$B$41</definedName>
    <definedName name="Eff_G">Main!$B$11</definedName>
    <definedName name="Eff_T">Main!$B$9</definedName>
    <definedName name="eps">Main!$B$88</definedName>
    <definedName name="eta_nom">Main!$B$8</definedName>
    <definedName name="fin_0">Main!$B$58</definedName>
    <definedName name="fin_1">Main!$B$64</definedName>
    <definedName name="fin_2">Main!$B$71</definedName>
    <definedName name="fin_3">Main!$B$77</definedName>
    <definedName name="G_p">Main!$B$120</definedName>
    <definedName name="G_ref">Main!$B$12</definedName>
    <definedName name="G_T0">Main!$B$119</definedName>
    <definedName name="geometry">Main!$B$28</definedName>
    <definedName name="h_fluid">Main!#REF!</definedName>
    <definedName name="h_inner">Main!$B$111</definedName>
    <definedName name="h_top">Main!$B$107</definedName>
    <definedName name="Heta">Main!$B$49</definedName>
    <definedName name="insulated">Main!$B$46</definedName>
    <definedName name="iota">Main!$B$24</definedName>
    <definedName name="k_abs">Main!$B$38</definedName>
    <definedName name="k_ail">Main!$B$54</definedName>
    <definedName name="k_air">Main!$B$36</definedName>
    <definedName name="k_fluid">Main!$B$131</definedName>
    <definedName name="k_insulation">Main!$B$42</definedName>
    <definedName name="k_riser">Main!$B$40</definedName>
    <definedName name="L_a_tube">Main!#REF!</definedName>
    <definedName name="L_abs">Main!$B$20</definedName>
    <definedName name="L_af">Main!$B$34</definedName>
    <definedName name="l_B">Main!$B$26</definedName>
    <definedName name="l_c">Main!$B$25</definedName>
    <definedName name="L_f0">Main!$B$60</definedName>
    <definedName name="L_f1">Main!$B$66</definedName>
    <definedName name="L_f2">Main!$B$73</definedName>
    <definedName name="L_f3">Main!$B$79</definedName>
    <definedName name="L_hd">Main!#REF!</definedName>
    <definedName name="l_i">Main!$E$35</definedName>
    <definedName name="L_pan">Main!$B$19</definedName>
    <definedName name="L_riser">Main!$B$27</definedName>
    <definedName name="L_vf">Main!#REF!</definedName>
    <definedName name="lambd_abs">Main!$B$37</definedName>
    <definedName name="lambd_ail">Main!$B$53</definedName>
    <definedName name="lambd_riser">Main!$B$39</definedName>
    <definedName name="m_dot">Main!$B$136</definedName>
    <definedName name="mu_fluid">Main!$B$133</definedName>
    <definedName name="N_ail">Main!$B$51</definedName>
    <definedName name="N_f0">Main!$B$59</definedName>
    <definedName name="N_f1">Main!$B$65</definedName>
    <definedName name="N_f2">Main!$B$72</definedName>
    <definedName name="N_f3">Main!$B$78</definedName>
    <definedName name="N_fins_on_abs">Main!#REF!</definedName>
    <definedName name="N_fins_on_tube">Main!#REF!</definedName>
    <definedName name="N_fins_per_EP">Main!$B$52</definedName>
    <definedName name="N_harp">Main!$B$30</definedName>
    <definedName name="N_harp_actual">Main!$B$31</definedName>
    <definedName name="N_meander">Main!$B$32</definedName>
    <definedName name="Nu_fluid">Main!$B$143</definedName>
    <definedName name="orientation">Main!$B$29</definedName>
    <definedName name="Pr_fluid">Main!$B$142</definedName>
    <definedName name="R_2">Main!$B$115</definedName>
    <definedName name="R_B">Main!#REF!</definedName>
    <definedName name="R_INTER">Main!$B$114</definedName>
    <definedName name="R_T">Main!#REF!</definedName>
    <definedName name="R_TOP">Main!$B$113</definedName>
    <definedName name="Re">Main!$B$141</definedName>
    <definedName name="rho_fluid">Main!$B$132</definedName>
    <definedName name="sigma">Main!$B$4</definedName>
    <definedName name="T_amb">Main!$B$123</definedName>
    <definedName name="T_back">Main!$B$124</definedName>
    <definedName name="T_fluid_in0">Main!$B$128</definedName>
    <definedName name="T_ref">Main!$B$10</definedName>
    <definedName name="T_sky">Main!$B$122</definedName>
    <definedName name="tau_alpha">Main!$B$87</definedName>
    <definedName name="test">Main!$B$1</definedName>
    <definedName name="theta">Main!$B$16</definedName>
    <definedName name="tube_contact">Main!#REF!</definedName>
    <definedName name="tube_conv">Main!$B$45</definedName>
    <definedName name="u">Main!$B$125</definedName>
    <definedName name="W">Main!$B$33</definedName>
    <definedName name="w_abs">Main!$B$21</definedName>
    <definedName name="w_pan">Main!$B$18</definedName>
    <definedName name="X_corr">Main!$B$13</definedName>
    <definedName name="Z_2">Main!#REF!</definedName>
    <definedName name="zeta">Main!#REF!</definedName>
    <definedName name="zetap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4" i="1"/>
  <c r="B27" i="1"/>
  <c r="B23" i="1"/>
  <c r="B33" i="1" s="1"/>
  <c r="C32" i="6" l="1"/>
  <c r="C106" i="1"/>
  <c r="B106" i="1"/>
  <c r="C105" i="1"/>
  <c r="B105" i="1"/>
  <c r="C104" i="1"/>
  <c r="B104" i="1"/>
  <c r="C103" i="1"/>
  <c r="B103" i="1"/>
  <c r="C102" i="1"/>
  <c r="B102" i="1"/>
  <c r="E33" i="1"/>
  <c r="E18" i="1" l="1"/>
  <c r="B79" i="1"/>
  <c r="B67" i="1"/>
  <c r="B73" i="1" s="1"/>
  <c r="B25" i="1" l="1"/>
  <c r="B26" i="1" s="1"/>
  <c r="C52" i="1"/>
  <c r="E52" i="1"/>
  <c r="C56" i="1"/>
  <c r="B68" i="1"/>
  <c r="B72" i="1"/>
  <c r="B75" i="1" s="1"/>
  <c r="B59" i="1"/>
  <c r="B62" i="1" l="1"/>
  <c r="B80" i="1"/>
  <c r="B128" i="1"/>
  <c r="B123" i="1"/>
  <c r="B78" i="1" l="1"/>
  <c r="E28" i="1" l="1"/>
  <c r="C17" i="6"/>
  <c r="C4" i="6"/>
  <c r="C23" i="6"/>
  <c r="C25" i="6"/>
  <c r="C26" i="6"/>
  <c r="C27" i="6"/>
  <c r="C28" i="6"/>
  <c r="C29" i="6"/>
  <c r="C30" i="6"/>
  <c r="C31" i="6"/>
  <c r="B31" i="6"/>
  <c r="B30" i="6"/>
  <c r="B22" i="6"/>
  <c r="B23" i="6"/>
  <c r="B24" i="6"/>
  <c r="B25" i="6"/>
  <c r="B26" i="6"/>
  <c r="B27" i="6"/>
  <c r="B21" i="6"/>
  <c r="C21" i="6"/>
  <c r="C8" i="6" l="1"/>
  <c r="C7" i="6"/>
  <c r="E45" i="1"/>
  <c r="B65" i="1" l="1"/>
  <c r="E69" i="1" s="1"/>
  <c r="B60" i="1"/>
  <c r="B61" i="1" l="1"/>
  <c r="E61" i="1" s="1"/>
  <c r="B116" i="1" l="1"/>
  <c r="L94" i="1"/>
  <c r="B96" i="1"/>
  <c r="C24" i="6" s="1"/>
  <c r="B94" i="1"/>
  <c r="C22" i="6" s="1"/>
  <c r="C3" i="6"/>
  <c r="C9" i="6"/>
  <c r="G20" i="1"/>
  <c r="C18" i="6"/>
  <c r="C6" i="6"/>
  <c r="C2" i="6"/>
  <c r="C15" i="6"/>
  <c r="C14" i="6"/>
  <c r="C12" i="6"/>
  <c r="C11" i="6"/>
  <c r="C10" i="6"/>
  <c r="B107" i="1" l="1"/>
  <c r="E34" i="1"/>
  <c r="B74" i="1" s="1"/>
  <c r="I30" i="1"/>
  <c r="H30" i="1" l="1"/>
  <c r="E23" i="1"/>
  <c r="E21" i="1"/>
  <c r="B136" i="1"/>
  <c r="E35" i="1"/>
  <c r="B139" i="1"/>
  <c r="B138" i="1" l="1"/>
  <c r="B146" i="1"/>
  <c r="C5" i="6"/>
  <c r="E24" i="1"/>
  <c r="E25" i="1" s="1"/>
  <c r="B9" i="1"/>
  <c r="E26" i="1" l="1"/>
  <c r="D138" i="1"/>
  <c r="B140" i="1" s="1"/>
  <c r="B141" i="1" s="1"/>
  <c r="I136" i="1"/>
  <c r="B143" i="1" l="1"/>
  <c r="B144" i="1" l="1"/>
  <c r="C16" i="6" s="1"/>
  <c r="D106" i="1" l="1"/>
  <c r="D101" i="1" l="1"/>
  <c r="I101" i="1" s="1"/>
  <c r="B137" i="1" l="1"/>
  <c r="C10" i="1" l="1"/>
  <c r="D94" i="1" l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2" i="1"/>
  <c r="I102" i="1" s="1"/>
  <c r="D103" i="1"/>
  <c r="I103" i="1" s="1"/>
  <c r="D105" i="1"/>
  <c r="I105" i="1" s="1"/>
  <c r="I106" i="1"/>
  <c r="B115" i="1" s="1"/>
  <c r="D93" i="1"/>
  <c r="I93" i="1" s="1"/>
  <c r="B113" i="1" l="1"/>
  <c r="B114" i="1"/>
  <c r="J92" i="1"/>
  <c r="J101" i="1" s="1"/>
  <c r="D107" i="1"/>
  <c r="B66" i="1" l="1"/>
  <c r="E68" i="1" s="1"/>
  <c r="J94" i="1"/>
  <c r="J95" i="1"/>
  <c r="J96" i="1"/>
  <c r="J97" i="1"/>
  <c r="J98" i="1"/>
  <c r="J99" i="1"/>
  <c r="J100" i="1"/>
  <c r="J93" i="1"/>
  <c r="J102" i="1"/>
  <c r="D111" i="1"/>
  <c r="D104" i="1" l="1"/>
  <c r="I104" i="1" s="1"/>
  <c r="K104" i="1" s="1"/>
  <c r="B122" i="1"/>
  <c r="D122" i="1" s="1"/>
  <c r="D123" i="1"/>
  <c r="B124" i="1"/>
  <c r="D124" i="1" s="1"/>
  <c r="B1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tc={093B1D8F-1D98-418E-92EF-45D3D291F5B0}</author>
    <author>tc={D137E0A2-0792-4F1D-8DCF-4C1BCE068DED}</author>
    <author>tc={02308CF5-8010-47C7-805A-0691D7A7CF23}</author>
    <author>tc={7EDE9B34-B53C-44F9-8DDD-365CD60F8E14}</author>
    <author>tc={75B72FCC-919A-430B-94C9-0EBC24678E24}</author>
    <author>tc={F8DD3D5E-6469-4A02-8BB5-98EC93A4D81B}</author>
  </authors>
  <commentList>
    <comment ref="C93" authorId="0" shapeId="0" xr:uid="{093B1D8F-1D98-418E-92EF-45D3D291F5B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https://fr.wikipedia.org/wiki/Liste_de_conductivit%C3%A9s_thermiques</t>
      </text>
    </comment>
    <comment ref="C94" authorId="1" shapeId="0" xr:uid="{D137E0A2-0792-4F1D-8DCF-4C1BCE068D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https://aip.scitation.org/doi/10.1063/1.4944557</t>
      </text>
    </comment>
    <comment ref="C97" authorId="2" shapeId="0" xr:uid="{02308CF5-8010-47C7-805A-0691D7A7CF2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https://www.fluorotherm.com/technical-information/materials-overview/pvdf-properties/</t>
      </text>
    </comment>
    <comment ref="C98" authorId="3" shapeId="0" xr:uid="{7EDE9B34-B53C-44F9-8DDD-365CD60F8E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https://material-properties.org/pet-density-strength-melting-point-thermal-conductivity/#:~:text=Thermal%20conductivity%20of%20PET%20is%200.3%20W%2F(m%C2%B7K).</t>
      </text>
    </comment>
    <comment ref="B113" authorId="4" shapeId="0" xr:uid="{75B72FCC-919A-430B-94C9-0EBC24678E2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Résistances calculées dans ce fichier et récupérées directement dans le code Python (ce sont des constantes du panneau)</t>
      </text>
    </comment>
    <comment ref="B136" authorId="5" shapeId="0" xr:uid="{F8DD3D5E-6469-4A02-8BB5-98EC93A4D8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Norme ISO : 0,02 kg/s par m2 de collecteur
Réponse :
    La valeur de 0.034 c'est celle des tests du TÜV</t>
      </text>
    </comment>
  </commentList>
</comments>
</file>

<file path=xl/sharedStrings.xml><?xml version="1.0" encoding="utf-8"?>
<sst xmlns="http://schemas.openxmlformats.org/spreadsheetml/2006/main" count="309" uniqueCount="225">
  <si>
    <t>Constantes physiques</t>
  </si>
  <si>
    <t>sigma : constante de Stefan-Boltzman</t>
  </si>
  <si>
    <t>Caractéristiques PV</t>
  </si>
  <si>
    <t>eta_nominal : efficacité nominale du PV</t>
  </si>
  <si>
    <t>Eff_T</t>
  </si>
  <si>
    <t>T_ref</t>
  </si>
  <si>
    <t>Eff_G</t>
  </si>
  <si>
    <t>G_ref</t>
  </si>
  <si>
    <t>X_corr</t>
  </si>
  <si>
    <t>Géométrie</t>
  </si>
  <si>
    <t>m</t>
  </si>
  <si>
    <t>m²</t>
  </si>
  <si>
    <t>Caractéristiques thermiques/rayonnement</t>
  </si>
  <si>
    <t>tau_frontsheet</t>
  </si>
  <si>
    <t>-</t>
  </si>
  <si>
    <t>absorbance_cells</t>
  </si>
  <si>
    <t>absorbance_backsheet</t>
  </si>
  <si>
    <t>Facteur Correction</t>
  </si>
  <si>
    <t>Résistance corrigée</t>
  </si>
  <si>
    <t>Packing factor</t>
  </si>
  <si>
    <t>τα_eff</t>
  </si>
  <si>
    <t>eps : émissivité_frontsheet</t>
  </si>
  <si>
    <t>Résistance thermique des couches</t>
  </si>
  <si>
    <t>épaisseur</t>
  </si>
  <si>
    <t>conductivité</t>
  </si>
  <si>
    <t>résistance</t>
  </si>
  <si>
    <t>W/m/K</t>
  </si>
  <si>
    <t>m2.K/W</t>
  </si>
  <si>
    <t>Frontsheet : verre</t>
  </si>
  <si>
    <t>EVA</t>
  </si>
  <si>
    <t>Silicium (PV cells)</t>
  </si>
  <si>
    <t>Backsheet : PVDF</t>
  </si>
  <si>
    <t>Backsheet : PET</t>
  </si>
  <si>
    <t>Backsheet : Adhesive</t>
  </si>
  <si>
    <t>Fluide</t>
  </si>
  <si>
    <t>Isolant</t>
  </si>
  <si>
    <t>h_top = h_outer = h_wind : coefficient de transfert thermique de l'avant collecteur à l'air</t>
  </si>
  <si>
    <t>h_inner = h_back : coefficient de transfert thermique de l'arrière collecteur à l'air</t>
  </si>
  <si>
    <t>G_T0 : flux solaire (=G.IAM) (beam + diffuse) incident sur la surface du collecteur (POA)</t>
  </si>
  <si>
    <t>W/m²</t>
  </si>
  <si>
    <t>Contient déjà l'impact de l'orientation/ pente et de la réflexion du sol!</t>
  </si>
  <si>
    <t>G'</t>
  </si>
  <si>
    <t>T_sky : température du ciel pour le rayonnement longues-ondes</t>
  </si>
  <si>
    <t>K</t>
  </si>
  <si>
    <t>°C</t>
  </si>
  <si>
    <t>Par défaut : Tsky=Tamb-6</t>
  </si>
  <si>
    <t>T_amb : temp extérieur</t>
  </si>
  <si>
    <t>T_back : temp arrière</t>
  </si>
  <si>
    <t>Par défaut : Tback=Tamb si non intégré, 15°C si bipv</t>
  </si>
  <si>
    <t>Vitesse du vent</t>
  </si>
  <si>
    <t>m/s</t>
  </si>
  <si>
    <t>B0 (pour IAM)</t>
  </si>
  <si>
    <t>Pas utile</t>
  </si>
  <si>
    <t>Tf_in : température d'entrée</t>
  </si>
  <si>
    <t>Débit Q</t>
  </si>
  <si>
    <t>L/s</t>
  </si>
  <si>
    <t>L/h</t>
  </si>
  <si>
    <t>Cp - capacité thermique du fluide</t>
  </si>
  <si>
    <t>J/(kg.K)</t>
  </si>
  <si>
    <t>Eau : 4186, Glycol : 3782</t>
  </si>
  <si>
    <t>λ - conductivité thermique</t>
  </si>
  <si>
    <t>Eau : 0,62, Glycol40% : 0,42</t>
  </si>
  <si>
    <t>ρ - densité</t>
  </si>
  <si>
    <t>kg/m3</t>
  </si>
  <si>
    <t>Eau : 1000</t>
  </si>
  <si>
    <t>??</t>
  </si>
  <si>
    <t>Eau : 8,9e-4</t>
  </si>
  <si>
    <t>Qlinéique</t>
  </si>
  <si>
    <t>L/s/m</t>
  </si>
  <si>
    <t>V entrée fluide</t>
  </si>
  <si>
    <t>m_dot : débit massique de fluide dans le collecteur</t>
  </si>
  <si>
    <t>kg/s</t>
  </si>
  <si>
    <t>1 L eau = 1 kg eau</t>
  </si>
  <si>
    <t>à adapter avec de l'eau glycolée</t>
  </si>
  <si>
    <t>Horizontal = 0°, Vertical = 90°</t>
  </si>
  <si>
    <t>portrait</t>
  </si>
  <si>
    <t>Ailettes</t>
  </si>
  <si>
    <t>Ailettes : lambd_fin et k_fin</t>
  </si>
  <si>
    <t>Absorber plate : lambd_abs et k_abs</t>
  </si>
  <si>
    <t>DELTA_a : densité d'ailettes</t>
  </si>
  <si>
    <t>/m</t>
  </si>
  <si>
    <t>Adhesive, substrate / air</t>
  </si>
  <si>
    <t>Test</t>
  </si>
  <si>
    <t>Aire absorbeur</t>
  </si>
  <si>
    <t>Aire totale collecteur A_G</t>
  </si>
  <si>
    <t>SolarKeymark p50 : 0,02 kg/s par m2 collecteur</t>
  </si>
  <si>
    <t>m3/s</t>
  </si>
  <si>
    <t>W/m2/K</t>
  </si>
  <si>
    <t>=(W-D_tube)/2</t>
  </si>
  <si>
    <t>conductivité cuivre</t>
  </si>
  <si>
    <t>mm</t>
  </si>
  <si>
    <t>L_riser : longueur du riser dans la direction du flux</t>
  </si>
  <si>
    <t>C_B : conductivité entre l'absorbeur et le tuyau = conductivité du riser</t>
  </si>
  <si>
    <t>Longueur absorbeur = longueur ailette</t>
  </si>
  <si>
    <t>Angle par rapport à l'horizontale (inclinaison toit)</t>
  </si>
  <si>
    <t>Thermoconductive plate</t>
  </si>
  <si>
    <t>R_2 : résistance thermique de la couche entre l'absorbeur et la protection arrière collecteur (hors tuyau) ISOLANT</t>
  </si>
  <si>
    <t>iota : longueur à l'air libre au niveau de la base B</t>
  </si>
  <si>
    <t>m2</t>
  </si>
  <si>
    <t>=0,02*A_G</t>
  </si>
  <si>
    <t>Coeff G'</t>
  </si>
  <si>
    <t>Dissipateur thermique modé 1</t>
  </si>
  <si>
    <t>Fin-and-tubes</t>
  </si>
  <si>
    <t>Fin-and-tubes modé 2</t>
  </si>
  <si>
    <t>coeff h_back</t>
  </si>
  <si>
    <t>Débit par riser en parallèle</t>
  </si>
  <si>
    <t>Vitesse dans un riser</t>
  </si>
  <si>
    <t>Section tube</t>
  </si>
  <si>
    <t>Reynolds</t>
  </si>
  <si>
    <t>μ : viscosité dynamique de l'eau</t>
  </si>
  <si>
    <t>Prandt eau</t>
  </si>
  <si>
    <t>h internal transfer</t>
  </si>
  <si>
    <t>Nu internal transfer</t>
  </si>
  <si>
    <r>
      <rPr>
        <b/>
        <sz val="11"/>
        <color theme="4"/>
        <rFont val="Calibri"/>
        <family val="2"/>
        <scheme val="minor"/>
      </rPr>
      <t>delta</t>
    </r>
    <r>
      <rPr>
        <sz val="11"/>
        <color theme="4"/>
        <rFont val="Calibri"/>
        <family val="2"/>
        <scheme val="minor"/>
      </rPr>
      <t xml:space="preserve"> : demi-intervalle entre deux risers (extérieur à extérieur)</t>
    </r>
  </si>
  <si>
    <t>general</t>
  </si>
  <si>
    <t>N_meander = nombre de tranches de panneau (méandre)</t>
  </si>
  <si>
    <t>W en configuration méandre</t>
  </si>
  <si>
    <t>b_htop : Composante constante du h_top</t>
  </si>
  <si>
    <t>a_htop : Coefficient dépendant du vent h_top</t>
  </si>
  <si>
    <t>N_ailettes : nombre d'ailettes pour les configurations 1, 2 3,,</t>
  </si>
  <si>
    <t>air_layer</t>
  </si>
  <si>
    <t>nombre d'ailettes par pièce extrudée (configuration 4) EP = Extruded Part</t>
  </si>
  <si>
    <t>N_fins_per_EP</t>
  </si>
  <si>
    <t>e_abs</t>
  </si>
  <si>
    <t>pour F500</t>
  </si>
  <si>
    <t>pour F405</t>
  </si>
  <si>
    <t>repartition</t>
  </si>
  <si>
    <t>N_harp_actual : véritable nombre de risers en parallèle</t>
  </si>
  <si>
    <t>N_harp : nombre de risers en parallèle, virtuel pour modélisation asymétrique</t>
  </si>
  <si>
    <t>TUV</t>
  </si>
  <si>
    <t>air_layer_TUV</t>
  </si>
  <si>
    <t>coeff_h_top</t>
  </si>
  <si>
    <t>champ</t>
  </si>
  <si>
    <t>a_htop</t>
  </si>
  <si>
    <t>b_htop</t>
  </si>
  <si>
    <t>coeff_h_back</t>
  </si>
  <si>
    <t>air layer thickness</t>
  </si>
  <si>
    <t>insulation thickness</t>
  </si>
  <si>
    <t>N_meander</t>
  </si>
  <si>
    <t>L_riser</t>
  </si>
  <si>
    <t>D_tube</t>
  </si>
  <si>
    <t>largeur tranche verticale d'absorbeur i (=W en méandre)</t>
  </si>
  <si>
    <t>=h_top(DT)</t>
  </si>
  <si>
    <t>theta</t>
  </si>
  <si>
    <t>°</t>
  </si>
  <si>
    <t>Ws/(m3K)</t>
  </si>
  <si>
    <t>h_fluid</t>
  </si>
  <si>
    <t>W/(m2K)</t>
  </si>
  <si>
    <t>l_c</t>
  </si>
  <si>
    <t>iota</t>
  </si>
  <si>
    <t>Tube en cuivre</t>
  </si>
  <si>
    <t>k_riser</t>
  </si>
  <si>
    <t>L_af : longueur de "absorber-fin" c'est-à-dire la partie sujette au bilan énergétique n°2</t>
  </si>
  <si>
    <t>N_harp</t>
  </si>
  <si>
    <t>L_f0</t>
  </si>
  <si>
    <t>delta_f0</t>
  </si>
  <si>
    <t>N_f0</t>
  </si>
  <si>
    <t>N_f1</t>
  </si>
  <si>
    <t>L_f1</t>
  </si>
  <si>
    <t>delta_f1</t>
  </si>
  <si>
    <t>N_f3</t>
  </si>
  <si>
    <t>L_f3</t>
  </si>
  <si>
    <t>delta_f3</t>
  </si>
  <si>
    <t>L_f2</t>
  </si>
  <si>
    <t>coeff_f1</t>
  </si>
  <si>
    <t>Hypothèses</t>
  </si>
  <si>
    <t>Surface d'échange pour un riser</t>
  </si>
  <si>
    <t>abs_fin</t>
  </si>
  <si>
    <t>L_af</t>
  </si>
  <si>
    <t>delta_af</t>
  </si>
  <si>
    <t>coeff_b_htop</t>
  </si>
  <si>
    <t>Contact d'un riser</t>
  </si>
  <si>
    <t>N_f2 : nombre d'ailettes associées à un riser (à une tranche i)</t>
  </si>
  <si>
    <t>delta_f0^int</t>
  </si>
  <si>
    <t>mdot * Cp</t>
  </si>
  <si>
    <t>T_guess</t>
  </si>
  <si>
    <t>multi</t>
  </si>
  <si>
    <t>l_c : largeur de la soudure</t>
  </si>
  <si>
    <t>l_B : largeur de la base sous le tube</t>
  </si>
  <si>
    <t>l_B</t>
  </si>
  <si>
    <t>Absorber plate</t>
  </si>
  <si>
    <t>Air</t>
  </si>
  <si>
    <t>a_htop_TUV</t>
  </si>
  <si>
    <t>coeff_h_top_TUV</t>
  </si>
  <si>
    <t>coeff_h_back_TUV</t>
  </si>
  <si>
    <t>parametric_insulation</t>
  </si>
  <si>
    <t>Convection tubes ?</t>
  </si>
  <si>
    <t>N_riser</t>
  </si>
  <si>
    <t>Orientation</t>
  </si>
  <si>
    <t>W</t>
  </si>
  <si>
    <t>orientation</t>
  </si>
  <si>
    <t>R_I = INTER = R_1 : résistance thermique des couches entre les cellules PV et l'absorbeur</t>
  </si>
  <si>
    <t xml:space="preserve">R_TOP : résistance thermique de la couche supérieure seule </t>
  </si>
  <si>
    <t>Ailettes (code)</t>
  </si>
  <si>
    <t>Isolé ? (non = 0, oui = 1)</t>
  </si>
  <si>
    <t>D_f2</t>
  </si>
  <si>
    <t>L_f2_TUV</t>
  </si>
  <si>
    <t>N_f1_TUV</t>
  </si>
  <si>
    <t>delta_f2 (largeur d'ailette sur une moitié de tranche i)</t>
  </si>
  <si>
    <t>fin_1 : (2) ailettes rectangulaires horizontales contre les tubes répétées transversalement au riser tous les D (sortie flux nul)</t>
  </si>
  <si>
    <t>fin_0 : (1) ailettes rectangulaires verticales contre les tubes répétées transversalement au riser tous les D (sortie libre)</t>
  </si>
  <si>
    <t>fin_2 : (2) ailettes rectangulaires contre l'absorbeur répétées transversalement au riser tous les D</t>
  </si>
  <si>
    <t>fin_3 : (1) ailettes verticales entre l'absorbeur et le tube</t>
  </si>
  <si>
    <t>delta_f1_int</t>
  </si>
  <si>
    <t>Largeur panneau (pour calcul surface)</t>
  </si>
  <si>
    <t>Longueur panneau (pour calcul surface)</t>
  </si>
  <si>
    <t>harp</t>
  </si>
  <si>
    <t>Largeur plaque absorbeur</t>
  </si>
  <si>
    <t>Valeur attendue W</t>
  </si>
  <si>
    <t>Nombre max tubes</t>
  </si>
  <si>
    <t>D : espacement inter-ailettes</t>
  </si>
  <si>
    <t>Hêta = hauteur ailette (axe z)</t>
  </si>
  <si>
    <t>k_air</t>
  </si>
  <si>
    <t>lambd_abs</t>
  </si>
  <si>
    <t>k_abs</t>
  </si>
  <si>
    <t>lambd_riser</t>
  </si>
  <si>
    <t>e_insulation</t>
  </si>
  <si>
    <t>k_insulation</t>
  </si>
  <si>
    <t>air_layer : air layer thickness</t>
  </si>
  <si>
    <t>lambd_ail : épaisseur d'ailette</t>
  </si>
  <si>
    <t>k_ail : conductivité d'ailette</t>
  </si>
  <si>
    <t>D_tube : diamètre intérieur tube</t>
  </si>
  <si>
    <t>W : écart entre deux tubes adjacents de centre à centre (direction x en méandre)</t>
  </si>
  <si>
    <t>Dext_tube : diamètre extérieur tube, pas utilisé dans model.py</t>
  </si>
  <si>
    <t>W/mK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</si>
</sst>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4"/>
      <name val="Calibri"/>
      <family val="2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82">
    <xf numFmtId="0" fontId="0" fillId="0" borderId="0" xfId="0"/>
    <xf numFmtId="0" fontId="3" fillId="3" borderId="1" xfId="0" applyFont="1" applyFill="1" applyBorder="1"/>
    <xf numFmtId="11" fontId="4" fillId="4" borderId="1" xfId="0" applyNumberFormat="1" applyFont="1" applyFill="1" applyBorder="1"/>
    <xf numFmtId="0" fontId="0" fillId="3" borderId="0" xfId="0" applyFill="1"/>
    <xf numFmtId="0" fontId="3" fillId="0" borderId="1" xfId="0" applyFont="1" applyBorder="1"/>
    <xf numFmtId="164" fontId="0" fillId="0" borderId="1" xfId="0" applyNumberFormat="1" applyBorder="1" applyAlignment="1">
      <alignment horizontal="left"/>
    </xf>
    <xf numFmtId="0" fontId="4" fillId="0" borderId="1" xfId="0" applyFont="1" applyBorder="1"/>
    <xf numFmtId="164" fontId="4" fillId="0" borderId="4" xfId="0" applyNumberFormat="1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1" xfId="0" applyBorder="1"/>
    <xf numFmtId="0" fontId="3" fillId="3" borderId="0" xfId="0" applyFont="1" applyFill="1"/>
    <xf numFmtId="0" fontId="3" fillId="0" borderId="0" xfId="0" applyFont="1"/>
    <xf numFmtId="164" fontId="3" fillId="0" borderId="1" xfId="0" applyNumberFormat="1" applyFont="1" applyBorder="1"/>
    <xf numFmtId="0" fontId="0" fillId="0" borderId="1" xfId="0" quotePrefix="1" applyBorder="1"/>
    <xf numFmtId="16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9" fontId="3" fillId="0" borderId="4" xfId="1" applyFont="1" applyBorder="1"/>
    <xf numFmtId="0" fontId="0" fillId="0" borderId="0" xfId="0" applyAlignment="1">
      <alignment wrapText="1"/>
    </xf>
    <xf numFmtId="0" fontId="5" fillId="3" borderId="4" xfId="0" applyFont="1" applyFill="1" applyBorder="1"/>
    <xf numFmtId="9" fontId="3" fillId="3" borderId="4" xfId="1" applyFont="1" applyFill="1" applyBorder="1"/>
    <xf numFmtId="9" fontId="6" fillId="0" borderId="3" xfId="1" applyFont="1" applyBorder="1"/>
    <xf numFmtId="165" fontId="0" fillId="0" borderId="0" xfId="1" applyNumberFormat="1" applyFont="1"/>
    <xf numFmtId="0" fontId="3" fillId="3" borderId="4" xfId="0" applyFont="1" applyFill="1" applyBorder="1"/>
    <xf numFmtId="0" fontId="5" fillId="0" borderId="4" xfId="0" applyFont="1" applyBorder="1"/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/>
    <xf numFmtId="166" fontId="4" fillId="0" borderId="1" xfId="0" applyNumberFormat="1" applyFont="1" applyBorder="1" applyAlignment="1">
      <alignment horizontal="left"/>
    </xf>
    <xf numFmtId="0" fontId="3" fillId="0" borderId="5" xfId="0" applyFont="1" applyBorder="1"/>
    <xf numFmtId="166" fontId="6" fillId="0" borderId="1" xfId="0" applyNumberFormat="1" applyFont="1" applyBorder="1" applyAlignment="1">
      <alignment horizontal="left"/>
    </xf>
    <xf numFmtId="0" fontId="0" fillId="0" borderId="7" xfId="0" applyBorder="1"/>
    <xf numFmtId="0" fontId="3" fillId="0" borderId="3" xfId="0" applyFont="1" applyBorder="1" applyAlignment="1">
      <alignment horizontal="center"/>
    </xf>
    <xf numFmtId="0" fontId="4" fillId="3" borderId="1" xfId="0" applyFont="1" applyFill="1" applyBorder="1"/>
    <xf numFmtId="167" fontId="6" fillId="0" borderId="1" xfId="0" applyNumberFormat="1" applyFont="1" applyBorder="1" applyAlignment="1">
      <alignment horizontal="left"/>
    </xf>
    <xf numFmtId="164" fontId="0" fillId="0" borderId="7" xfId="0" applyNumberFormat="1" applyBorder="1"/>
    <xf numFmtId="167" fontId="4" fillId="0" borderId="1" xfId="0" applyNumberFormat="1" applyFont="1" applyBorder="1" applyAlignment="1">
      <alignment horizontal="left"/>
    </xf>
    <xf numFmtId="166" fontId="0" fillId="0" borderId="0" xfId="0" applyNumberFormat="1"/>
    <xf numFmtId="2" fontId="0" fillId="0" borderId="7" xfId="0" applyNumberFormat="1" applyBorder="1"/>
    <xf numFmtId="0" fontId="4" fillId="0" borderId="4" xfId="0" applyFont="1" applyBorder="1"/>
    <xf numFmtId="0" fontId="4" fillId="0" borderId="3" xfId="0" applyFont="1" applyBorder="1"/>
    <xf numFmtId="166" fontId="6" fillId="0" borderId="0" xfId="0" applyNumberFormat="1" applyFont="1" applyAlignment="1">
      <alignment horizontal="left"/>
    </xf>
    <xf numFmtId="164" fontId="0" fillId="0" borderId="0" xfId="0" applyNumberFormat="1"/>
    <xf numFmtId="166" fontId="4" fillId="0" borderId="0" xfId="0" applyNumberFormat="1" applyFont="1" applyAlignment="1">
      <alignment horizontal="left"/>
    </xf>
    <xf numFmtId="0" fontId="4" fillId="3" borderId="4" xfId="0" applyFont="1" applyFill="1" applyBorder="1"/>
    <xf numFmtId="0" fontId="4" fillId="0" borderId="0" xfId="0" applyFont="1"/>
    <xf numFmtId="11" fontId="0" fillId="0" borderId="1" xfId="0" applyNumberFormat="1" applyBorder="1"/>
    <xf numFmtId="0" fontId="3" fillId="0" borderId="7" xfId="0" applyFont="1" applyBorder="1"/>
    <xf numFmtId="0" fontId="0" fillId="0" borderId="7" xfId="0" quotePrefix="1" applyBorder="1"/>
    <xf numFmtId="0" fontId="0" fillId="5" borderId="0" xfId="0" applyFill="1"/>
    <xf numFmtId="0" fontId="3" fillId="0" borderId="5" xfId="0" applyFont="1" applyBorder="1" applyAlignment="1">
      <alignment horizontal="left" vertical="center"/>
    </xf>
    <xf numFmtId="1" fontId="0" fillId="0" borderId="1" xfId="0" applyNumberFormat="1" applyBorder="1"/>
    <xf numFmtId="0" fontId="7" fillId="3" borderId="6" xfId="0" applyFont="1" applyFill="1" applyBorder="1"/>
    <xf numFmtId="0" fontId="3" fillId="3" borderId="6" xfId="0" applyFont="1" applyFill="1" applyBorder="1"/>
    <xf numFmtId="0" fontId="7" fillId="0" borderId="1" xfId="0" applyFont="1" applyBorder="1"/>
    <xf numFmtId="11" fontId="3" fillId="0" borderId="1" xfId="0" applyNumberFormat="1" applyFont="1" applyBorder="1"/>
    <xf numFmtId="0" fontId="8" fillId="0" borderId="1" xfId="0" applyFont="1" applyBorder="1"/>
    <xf numFmtId="2" fontId="0" fillId="0" borderId="1" xfId="0" applyNumberFormat="1" applyBorder="1"/>
    <xf numFmtId="0" fontId="8" fillId="3" borderId="4" xfId="0" applyFont="1" applyFill="1" applyBorder="1"/>
    <xf numFmtId="0" fontId="0" fillId="0" borderId="0" xfId="0"/>
    <xf numFmtId="0" fontId="0" fillId="0" borderId="3" xfId="0" applyBorder="1"/>
    <xf numFmtId="0" fontId="0" fillId="0" borderId="0" xfId="0"/>
    <xf numFmtId="0" fontId="3" fillId="3" borderId="0" xfId="0" applyFont="1" applyFill="1" applyBorder="1"/>
    <xf numFmtId="168" fontId="4" fillId="0" borderId="1" xfId="0" applyNumberFormat="1" applyFont="1" applyBorder="1" applyAlignment="1">
      <alignment horizontal="left"/>
    </xf>
    <xf numFmtId="168" fontId="6" fillId="0" borderId="1" xfId="0" applyNumberFormat="1" applyFont="1" applyBorder="1" applyAlignment="1">
      <alignment horizontal="left"/>
    </xf>
    <xf numFmtId="0" fontId="0" fillId="0" borderId="0" xfId="0"/>
    <xf numFmtId="0" fontId="3" fillId="6" borderId="1" xfId="0" applyFont="1" applyFill="1" applyBorder="1"/>
    <xf numFmtId="168" fontId="4" fillId="6" borderId="1" xfId="0" applyNumberFormat="1" applyFont="1" applyFill="1" applyBorder="1" applyAlignment="1">
      <alignment horizontal="left"/>
    </xf>
    <xf numFmtId="0" fontId="0" fillId="0" borderId="0" xfId="0"/>
    <xf numFmtId="169" fontId="0" fillId="0" borderId="2" xfId="0" applyNumberFormat="1" applyBorder="1"/>
    <xf numFmtId="166" fontId="0" fillId="7" borderId="2" xfId="0" applyNumberFormat="1" applyFill="1" applyBorder="1"/>
    <xf numFmtId="0" fontId="0" fillId="0" borderId="0" xfId="0" quotePrefix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0" xfId="0" applyNumberFormat="1"/>
    <xf numFmtId="11" fontId="4" fillId="0" borderId="1" xfId="0" applyNumberFormat="1" applyFont="1" applyBorder="1" applyAlignment="1">
      <alignment horizontal="left"/>
    </xf>
    <xf numFmtId="0" fontId="0" fillId="0" borderId="0" xfId="0"/>
    <xf numFmtId="0" fontId="3" fillId="0" borderId="0" xfId="0" applyFont="1" applyBorder="1"/>
    <xf numFmtId="164" fontId="0" fillId="0" borderId="0" xfId="0" applyNumberFormat="1" applyBorder="1" applyAlignment="1">
      <alignment horizontal="left"/>
    </xf>
    <xf numFmtId="167" fontId="0" fillId="0" borderId="0" xfId="0" applyNumberFormat="1" applyFill="1"/>
    <xf numFmtId="0" fontId="0" fillId="0" borderId="8" xfId="0" applyBorder="1"/>
    <xf numFmtId="0" fontId="0" fillId="0" borderId="0" xfId="0" applyBorder="1"/>
    <xf numFmtId="166" fontId="0" fillId="3" borderId="0" xfId="0" applyNumberFormat="1" applyFill="1"/>
    <xf numFmtId="168" fontId="4" fillId="0" borderId="3" xfId="0" applyNumberFormat="1" applyFont="1" applyBorder="1" applyAlignment="1">
      <alignment horizontal="left"/>
    </xf>
    <xf numFmtId="1" fontId="3" fillId="3" borderId="1" xfId="0" applyNumberFormat="1" applyFont="1" applyFill="1" applyBorder="1"/>
    <xf numFmtId="11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center" wrapText="1"/>
    </xf>
    <xf numFmtId="168" fontId="4" fillId="6" borderId="0" xfId="0" applyNumberFormat="1" applyFont="1" applyFill="1" applyBorder="1" applyAlignment="1">
      <alignment horizontal="left"/>
    </xf>
    <xf numFmtId="168" fontId="4" fillId="0" borderId="0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167" fontId="4" fillId="0" borderId="0" xfId="0" applyNumberFormat="1" applyFont="1" applyBorder="1" applyAlignment="1">
      <alignment horizontal="left"/>
    </xf>
    <xf numFmtId="0" fontId="0" fillId="0" borderId="0" xfId="0"/>
    <xf numFmtId="9" fontId="0" fillId="3" borderId="0" xfId="0" applyNumberFormat="1" applyFill="1"/>
    <xf numFmtId="0" fontId="8" fillId="3" borderId="0" xfId="0" applyFont="1" applyFill="1" applyBorder="1"/>
    <xf numFmtId="169" fontId="0" fillId="0" borderId="0" xfId="0" applyNumberFormat="1" applyBorder="1"/>
    <xf numFmtId="0" fontId="8" fillId="0" borderId="0" xfId="0" applyFont="1" applyFill="1" applyBorder="1"/>
    <xf numFmtId="0" fontId="0" fillId="0" borderId="15" xfId="0" applyFill="1" applyBorder="1"/>
    <xf numFmtId="0" fontId="0" fillId="0" borderId="0" xfId="0" applyFill="1" applyBorder="1"/>
    <xf numFmtId="2" fontId="0" fillId="0" borderId="0" xfId="0" applyNumberFormat="1" applyBorder="1"/>
    <xf numFmtId="169" fontId="0" fillId="0" borderId="0" xfId="0" applyNumberFormat="1"/>
    <xf numFmtId="0" fontId="0" fillId="0" borderId="0" xfId="0"/>
    <xf numFmtId="0" fontId="0" fillId="0" borderId="0" xfId="0"/>
    <xf numFmtId="166" fontId="0" fillId="0" borderId="0" xfId="0" applyNumberFormat="1" applyBorder="1"/>
    <xf numFmtId="0" fontId="0" fillId="0" borderId="0" xfId="0"/>
    <xf numFmtId="0" fontId="0" fillId="0" borderId="15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/>
    <xf numFmtId="165" fontId="4" fillId="0" borderId="0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164" fontId="0" fillId="0" borderId="13" xfId="0" applyNumberFormat="1" applyBorder="1"/>
    <xf numFmtId="0" fontId="0" fillId="0" borderId="0" xfId="0"/>
    <xf numFmtId="166" fontId="0" fillId="0" borderId="0" xfId="0" quotePrefix="1" applyNumberFormat="1"/>
    <xf numFmtId="0" fontId="0" fillId="0" borderId="0" xfId="0"/>
    <xf numFmtId="0" fontId="0" fillId="0" borderId="0" xfId="0"/>
    <xf numFmtId="166" fontId="0" fillId="0" borderId="0" xfId="0" applyNumberFormat="1" applyFill="1"/>
    <xf numFmtId="0" fontId="9" fillId="3" borderId="1" xfId="0" applyFont="1" applyFill="1" applyBorder="1"/>
    <xf numFmtId="2" fontId="0" fillId="8" borderId="16" xfId="0" applyNumberFormat="1" applyFill="1" applyBorder="1"/>
    <xf numFmtId="2" fontId="0" fillId="8" borderId="17" xfId="0" applyNumberFormat="1" applyFill="1" applyBorder="1"/>
    <xf numFmtId="0" fontId="0" fillId="8" borderId="0" xfId="0" applyFill="1"/>
    <xf numFmtId="2" fontId="4" fillId="8" borderId="4" xfId="0" applyNumberFormat="1" applyFont="1" applyFill="1" applyBorder="1"/>
    <xf numFmtId="0" fontId="0" fillId="8" borderId="0" xfId="0" applyFill="1" applyAlignment="1">
      <alignment horizontal="right"/>
    </xf>
    <xf numFmtId="167" fontId="0" fillId="8" borderId="0" xfId="0" applyNumberFormat="1" applyFill="1"/>
    <xf numFmtId="1" fontId="0" fillId="0" borderId="0" xfId="0" applyNumberFormat="1" applyFill="1" applyAlignment="1">
      <alignment horizontal="right"/>
    </xf>
    <xf numFmtId="1" fontId="10" fillId="8" borderId="1" xfId="0" applyNumberFormat="1" applyFont="1" applyFill="1" applyBorder="1"/>
    <xf numFmtId="1" fontId="0" fillId="0" borderId="0" xfId="0" applyNumberFormat="1" applyFill="1"/>
    <xf numFmtId="166" fontId="0" fillId="8" borderId="0" xfId="0" applyNumberFormat="1" applyFill="1"/>
    <xf numFmtId="1" fontId="0" fillId="8" borderId="0" xfId="0" applyNumberFormat="1" applyFill="1"/>
    <xf numFmtId="168" fontId="4" fillId="0" borderId="1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quotePrefix="1" applyBorder="1"/>
    <xf numFmtId="168" fontId="6" fillId="0" borderId="7" xfId="0" applyNumberFormat="1" applyFont="1" applyBorder="1" applyAlignment="1">
      <alignment horizontal="left"/>
    </xf>
    <xf numFmtId="167" fontId="6" fillId="0" borderId="7" xfId="0" applyNumberFormat="1" applyFont="1" applyBorder="1" applyAlignment="1">
      <alignment horizontal="left"/>
    </xf>
    <xf numFmtId="166" fontId="6" fillId="0" borderId="7" xfId="0" applyNumberFormat="1" applyFont="1" applyBorder="1" applyAlignment="1">
      <alignment horizontal="left"/>
    </xf>
    <xf numFmtId="164" fontId="4" fillId="0" borderId="0" xfId="0" applyNumberFormat="1" applyFont="1" applyFill="1" applyBorder="1"/>
    <xf numFmtId="168" fontId="0" fillId="0" borderId="0" xfId="0" applyNumberFormat="1"/>
    <xf numFmtId="166" fontId="4" fillId="9" borderId="4" xfId="0" applyNumberFormat="1" applyFont="1" applyFill="1" applyBorder="1"/>
    <xf numFmtId="168" fontId="4" fillId="0" borderId="0" xfId="0" applyNumberFormat="1" applyFont="1" applyFill="1" applyBorder="1"/>
    <xf numFmtId="167" fontId="0" fillId="9" borderId="0" xfId="0" applyNumberFormat="1" applyFill="1"/>
    <xf numFmtId="0" fontId="2" fillId="2" borderId="11" xfId="0" applyFont="1" applyFill="1" applyBorder="1" applyAlignment="1">
      <alignment horizontal="center"/>
    </xf>
    <xf numFmtId="0" fontId="3" fillId="0" borderId="1" xfId="0" applyFont="1" applyFill="1" applyBorder="1"/>
    <xf numFmtId="0" fontId="9" fillId="3" borderId="6" xfId="0" applyFont="1" applyFill="1" applyBorder="1"/>
    <xf numFmtId="1" fontId="10" fillId="8" borderId="6" xfId="0" applyNumberFormat="1" applyFont="1" applyFill="1" applyBorder="1"/>
    <xf numFmtId="0" fontId="3" fillId="0" borderId="0" xfId="0" applyFont="1" applyFill="1" applyBorder="1"/>
    <xf numFmtId="166" fontId="0" fillId="0" borderId="0" xfId="0" applyNumberFormat="1" applyFill="1" applyBorder="1"/>
    <xf numFmtId="0" fontId="3" fillId="0" borderId="6" xfId="0" applyFont="1" applyFill="1" applyBorder="1"/>
    <xf numFmtId="0" fontId="4" fillId="0" borderId="4" xfId="0" applyFont="1" applyFill="1" applyBorder="1"/>
    <xf numFmtId="0" fontId="4" fillId="0" borderId="1" xfId="0" applyFont="1" applyFill="1" applyBorder="1"/>
    <xf numFmtId="167" fontId="4" fillId="8" borderId="1" xfId="0" applyNumberFormat="1" applyFont="1" applyFill="1" applyBorder="1"/>
    <xf numFmtId="167" fontId="4" fillId="8" borderId="0" xfId="0" applyNumberFormat="1" applyFont="1" applyFill="1" applyBorder="1"/>
    <xf numFmtId="166" fontId="4" fillId="8" borderId="0" xfId="0" applyNumberFormat="1" applyFont="1" applyFill="1" applyBorder="1"/>
    <xf numFmtId="0" fontId="4" fillId="8" borderId="0" xfId="0" applyFont="1" applyFill="1" applyAlignment="1">
      <alignment horizontal="right"/>
    </xf>
    <xf numFmtId="168" fontId="4" fillId="8" borderId="1" xfId="0" applyNumberFormat="1" applyFont="1" applyFill="1" applyBorder="1"/>
    <xf numFmtId="168" fontId="4" fillId="8" borderId="0" xfId="0" applyNumberFormat="1" applyFont="1" applyFill="1" applyBorder="1"/>
    <xf numFmtId="1" fontId="4" fillId="8" borderId="0" xfId="0" applyNumberFormat="1" applyFont="1" applyFill="1" applyBorder="1"/>
    <xf numFmtId="0" fontId="4" fillId="8" borderId="1" xfId="0" applyFont="1" applyFill="1" applyBorder="1"/>
    <xf numFmtId="0" fontId="4" fillId="8" borderId="5" xfId="0" applyFont="1" applyFill="1" applyBorder="1"/>
    <xf numFmtId="0" fontId="4" fillId="8" borderId="6" xfId="0" applyFont="1" applyFill="1" applyBorder="1"/>
    <xf numFmtId="166" fontId="4" fillId="10" borderId="1" xfId="0" applyNumberFormat="1" applyFont="1" applyFill="1" applyBorder="1"/>
    <xf numFmtId="166" fontId="4" fillId="10" borderId="2" xfId="0" applyNumberFormat="1" applyFont="1" applyFill="1" applyBorder="1"/>
    <xf numFmtId="0" fontId="4" fillId="0" borderId="2" xfId="0" applyFont="1" applyFill="1" applyBorder="1"/>
    <xf numFmtId="2" fontId="4" fillId="8" borderId="0" xfId="0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05/Documents/Ex-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euil1"/>
      <sheetName val="Feuil2"/>
      <sheetName val="Surfaces d'échange"/>
    </sheetNames>
    <sheetDataSet>
      <sheetData sheetId="0" refreshError="1"/>
      <sheetData sheetId="1">
        <row r="6">
          <cell r="H6">
            <v>1</v>
          </cell>
        </row>
        <row r="9">
          <cell r="B9">
            <v>5.0955257492428657E-3</v>
          </cell>
        </row>
        <row r="10">
          <cell r="B10">
            <v>2.5477628746214329E-3</v>
          </cell>
        </row>
      </sheetData>
      <sheetData sheetId="2">
        <row r="5">
          <cell r="G5" t="str">
            <v>gamma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DE" id="{360EDC67-DD6B-4CCC-8ACF-81CD4BCB5644}" userId="S::bu04@DualSun.onmicrosoft.com::0a562c12-29d3-4bdd-aef1-a10359ef041f" providerId="AD"/>
  <person displayName="VDE" id="{9A1BE1C2-4E91-4D56-9E4E-7B1728A31D63}" userId="S::valentin.delachaux@DualSun.onmicrosoft.com::0a562c12-29d3-4bdd-aef1-a10359ef041f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3" dT="2022-03-24T14:16:15.03" personId="{360EDC67-DD6B-4CCC-8ACF-81CD4BCB5644}" id="{093B1D8F-1D98-418E-92EF-45D3D291F5B0}">
    <text>https://fr.wikipedia.org/wiki/Liste_de_conductivit%C3%A9s_thermiques</text>
  </threadedComment>
  <threadedComment ref="C94" dT="2022-03-24T14:15:57.62" personId="{360EDC67-DD6B-4CCC-8ACF-81CD4BCB5644}" id="{D137E0A2-0792-4F1D-8DCF-4C1BCE068DED}">
    <text>https://aip.scitation.org/doi/10.1063/1.4944557</text>
  </threadedComment>
  <threadedComment ref="C97" dT="2022-03-24T14:25:57.70" personId="{360EDC67-DD6B-4CCC-8ACF-81CD4BCB5644}" id="{02308CF5-8010-47C7-805A-0691D7A7CF23}">
    <text>https://www.fluorotherm.com/technical-information/materials-overview/pvdf-properties/</text>
  </threadedComment>
  <threadedComment ref="C98" dT="2022-03-24T14:29:49.41" personId="{360EDC67-DD6B-4CCC-8ACF-81CD4BCB5644}" id="{7EDE9B34-B53C-44F9-8DDD-365CD60F8E14}">
    <text>https://material-properties.org/pet-density-strength-melting-point-thermal-conductivity/#:~:text=Thermal%20conductivity%20of%20PET%20is%200.3%20W%2F(m%C2%B7K).</text>
  </threadedComment>
  <threadedComment ref="B113" dT="2022-06-23T14:32:50.50" personId="{9A1BE1C2-4E91-4D56-9E4E-7B1728A31D63}" id="{75B72FCC-919A-430B-94C9-0EBC24678E24}">
    <text>Résistances calculées dans ce fichier et récupérées directement dans le code Python (ce sont des constantes du panneau)</text>
  </threadedComment>
  <threadedComment ref="B136" dT="2022-02-03T16:06:38.24" personId="{360EDC67-DD6B-4CCC-8ACF-81CD4BCB5644}" id="{F8DD3D5E-6469-4A02-8BB5-98EC93A4D81B}">
    <text>Norme ISO : 0,02 kg/s par m2 de collecteur</text>
  </threadedComment>
  <threadedComment ref="B136" dT="2022-03-16T09:37:54.64" personId="{360EDC67-DD6B-4CCC-8ACF-81CD4BCB5644}" id="{E1A0BED7-D0C6-413E-93D3-9B904B59FB3C}" parentId="{F8DD3D5E-6469-4A02-8BB5-98EC93A4D81B}">
    <text>La valeur de 0.034 c'est celle des tests du TÜV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O146"/>
  <sheetViews>
    <sheetView tabSelected="1" topLeftCell="A31" zoomScale="85" zoomScaleNormal="85" workbookViewId="0">
      <selection activeCell="B46" sqref="B46"/>
    </sheetView>
  </sheetViews>
  <sheetFormatPr baseColWidth="10" defaultColWidth="11.44140625" defaultRowHeight="14.4" x14ac:dyDescent="0.3"/>
  <cols>
    <col min="1" max="1" width="118.44140625" style="63" customWidth="1"/>
    <col min="2" max="2" width="23.5546875" customWidth="1"/>
    <col min="3" max="3" width="15.109375" customWidth="1"/>
    <col min="4" max="4" width="22.88671875" customWidth="1"/>
    <col min="5" max="5" width="27.21875" style="125" customWidth="1"/>
    <col min="6" max="6" width="16.6640625" style="125" customWidth="1"/>
    <col min="7" max="7" width="27.109375" customWidth="1"/>
    <col min="8" max="8" width="22.5546875" style="110" customWidth="1"/>
    <col min="9" max="9" width="19.33203125" customWidth="1"/>
    <col min="10" max="10" width="21.33203125" style="85" customWidth="1"/>
    <col min="13" max="13" width="11.5546875" customWidth="1"/>
  </cols>
  <sheetData>
    <row r="1" spans="1:9" s="72" customFormat="1" x14ac:dyDescent="0.3">
      <c r="A1" s="1" t="s">
        <v>82</v>
      </c>
      <c r="B1" s="3" t="s">
        <v>129</v>
      </c>
      <c r="E1" s="125"/>
      <c r="F1" s="125"/>
      <c r="H1" s="110"/>
      <c r="I1" s="125" t="s">
        <v>114</v>
      </c>
    </row>
    <row r="2" spans="1:9" s="72" customFormat="1" x14ac:dyDescent="0.3">
      <c r="E2" s="125"/>
      <c r="F2" s="125"/>
      <c r="H2" s="110"/>
      <c r="I2" s="125" t="s">
        <v>123</v>
      </c>
    </row>
    <row r="3" spans="1:9" x14ac:dyDescent="0.3">
      <c r="A3" s="145" t="s">
        <v>0</v>
      </c>
      <c r="B3" s="146"/>
      <c r="C3" s="146"/>
      <c r="D3" s="147"/>
      <c r="E3" s="90"/>
      <c r="F3" s="90"/>
      <c r="I3" s="125" t="s">
        <v>126</v>
      </c>
    </row>
    <row r="4" spans="1:9" x14ac:dyDescent="0.3">
      <c r="A4" s="1" t="s">
        <v>1</v>
      </c>
      <c r="B4" s="2">
        <v>5.6699999999999998E-8</v>
      </c>
      <c r="I4" s="125" t="s">
        <v>120</v>
      </c>
    </row>
    <row r="5" spans="1:9" x14ac:dyDescent="0.3">
      <c r="I5" s="125" t="s">
        <v>129</v>
      </c>
    </row>
    <row r="6" spans="1:9" x14ac:dyDescent="0.3">
      <c r="I6" s="85" t="s">
        <v>130</v>
      </c>
    </row>
    <row r="7" spans="1:9" x14ac:dyDescent="0.3">
      <c r="A7" s="145" t="s">
        <v>2</v>
      </c>
      <c r="B7" s="146"/>
      <c r="C7" s="146"/>
      <c r="D7" s="147"/>
      <c r="E7" s="90"/>
      <c r="F7" s="90"/>
      <c r="I7" s="125" t="s">
        <v>182</v>
      </c>
    </row>
    <row r="8" spans="1:9" x14ac:dyDescent="0.3">
      <c r="A8" s="3" t="s">
        <v>3</v>
      </c>
      <c r="B8" s="102">
        <v>0.2</v>
      </c>
      <c r="H8" s="113"/>
      <c r="I8" s="125" t="s">
        <v>183</v>
      </c>
    </row>
    <row r="9" spans="1:9" x14ac:dyDescent="0.3">
      <c r="A9" s="3" t="s">
        <v>4</v>
      </c>
      <c r="B9" s="3">
        <f>-0.34/100</f>
        <v>-3.4000000000000002E-3</v>
      </c>
      <c r="G9" s="41"/>
      <c r="I9" s="125" t="s">
        <v>184</v>
      </c>
    </row>
    <row r="10" spans="1:9" x14ac:dyDescent="0.3">
      <c r="A10" s="3" t="s">
        <v>5</v>
      </c>
      <c r="B10" s="3">
        <v>298.14999999999998</v>
      </c>
      <c r="C10">
        <f>T_ref-273.15</f>
        <v>25</v>
      </c>
      <c r="D10" t="s">
        <v>44</v>
      </c>
      <c r="I10" s="125" t="s">
        <v>187</v>
      </c>
    </row>
    <row r="11" spans="1:9" x14ac:dyDescent="0.3">
      <c r="A11" s="3" t="s">
        <v>6</v>
      </c>
      <c r="B11" s="3">
        <v>0</v>
      </c>
      <c r="I11" s="125" t="s">
        <v>185</v>
      </c>
    </row>
    <row r="12" spans="1:9" x14ac:dyDescent="0.3">
      <c r="A12" s="3" t="s">
        <v>7</v>
      </c>
      <c r="B12" s="3">
        <v>1000</v>
      </c>
      <c r="I12" s="125" t="s">
        <v>132</v>
      </c>
    </row>
    <row r="13" spans="1:9" x14ac:dyDescent="0.3">
      <c r="A13" s="3" t="s">
        <v>8</v>
      </c>
      <c r="B13" s="3">
        <v>1</v>
      </c>
      <c r="I13" s="125" t="s">
        <v>140</v>
      </c>
    </row>
    <row r="14" spans="1:9" x14ac:dyDescent="0.3">
      <c r="I14" s="125" t="s">
        <v>151</v>
      </c>
    </row>
    <row r="15" spans="1:9" x14ac:dyDescent="0.3">
      <c r="A15" s="145" t="s">
        <v>9</v>
      </c>
      <c r="B15" s="146"/>
      <c r="C15" s="146"/>
      <c r="D15" s="147"/>
      <c r="E15" s="90"/>
      <c r="F15" s="90"/>
      <c r="I15" s="125" t="s">
        <v>175</v>
      </c>
    </row>
    <row r="16" spans="1:9" x14ac:dyDescent="0.3">
      <c r="A16" s="58" t="s">
        <v>94</v>
      </c>
      <c r="B16" s="1">
        <v>45</v>
      </c>
      <c r="C16" t="s">
        <v>74</v>
      </c>
      <c r="D16" s="76"/>
      <c r="I16" s="125" t="s">
        <v>176</v>
      </c>
    </row>
    <row r="17" spans="1:13" s="113" customFormat="1" x14ac:dyDescent="0.3">
      <c r="E17" s="76"/>
      <c r="F17" s="76"/>
      <c r="I17" s="125" t="s">
        <v>131</v>
      </c>
    </row>
    <row r="18" spans="1:13" s="124" customFormat="1" x14ac:dyDescent="0.3">
      <c r="A18" s="6" t="s">
        <v>204</v>
      </c>
      <c r="B18" s="131">
        <v>1.1399999999999999</v>
      </c>
      <c r="C18" s="154" t="s">
        <v>10</v>
      </c>
      <c r="D18" s="44" t="s">
        <v>84</v>
      </c>
      <c r="E18" s="156">
        <f>B18*B19</f>
        <v>1.8764399999999997</v>
      </c>
      <c r="F18" s="5" t="s">
        <v>11</v>
      </c>
      <c r="G18" s="5"/>
      <c r="I18" s="125"/>
    </row>
    <row r="19" spans="1:13" s="124" customFormat="1" ht="15" thickBot="1" x14ac:dyDescent="0.35">
      <c r="A19" s="6" t="s">
        <v>205</v>
      </c>
      <c r="B19" s="131">
        <v>1.6459999999999999</v>
      </c>
      <c r="C19" s="154" t="s">
        <v>10</v>
      </c>
      <c r="D19" s="87"/>
      <c r="E19" s="87"/>
      <c r="I19" s="125"/>
    </row>
    <row r="20" spans="1:13" s="111" customFormat="1" x14ac:dyDescent="0.3">
      <c r="A20" s="66" t="s">
        <v>93</v>
      </c>
      <c r="B20" s="128">
        <v>1.462</v>
      </c>
      <c r="C20" s="154" t="s">
        <v>10</v>
      </c>
      <c r="D20" s="87"/>
      <c r="E20" s="87"/>
      <c r="G20" s="111">
        <f>2.31/1.93</f>
        <v>1.1968911917098446</v>
      </c>
      <c r="I20" s="125" t="s">
        <v>163</v>
      </c>
    </row>
    <row r="21" spans="1:13" s="111" customFormat="1" ht="15" thickBot="1" x14ac:dyDescent="0.35">
      <c r="A21" s="66" t="s">
        <v>207</v>
      </c>
      <c r="B21" s="129">
        <v>0.92</v>
      </c>
      <c r="C21" s="154" t="s">
        <v>10</v>
      </c>
      <c r="D21" s="44" t="s">
        <v>83</v>
      </c>
      <c r="E21" s="7">
        <f>B20*B21</f>
        <v>1.34504</v>
      </c>
      <c r="F21" s="5" t="s">
        <v>11</v>
      </c>
      <c r="G21" s="5"/>
      <c r="I21" s="125" t="s">
        <v>196</v>
      </c>
      <c r="J21" s="113"/>
      <c r="K21" s="113"/>
      <c r="L21" s="113"/>
    </row>
    <row r="22" spans="1:13" s="111" customFormat="1" x14ac:dyDescent="0.3">
      <c r="A22" s="1" t="s">
        <v>221</v>
      </c>
      <c r="B22" s="168">
        <v>4.7600000000000003E-3</v>
      </c>
      <c r="C22" s="154" t="s">
        <v>10</v>
      </c>
      <c r="D22" s="44" t="s">
        <v>167</v>
      </c>
      <c r="E22" s="134"/>
      <c r="I22" s="125" t="s">
        <v>197</v>
      </c>
      <c r="J22" s="110">
        <v>2.31</v>
      </c>
      <c r="K22" s="110" t="s">
        <v>124</v>
      </c>
      <c r="L22" s="110">
        <v>1.9370000000000001</v>
      </c>
      <c r="M22" s="110" t="s">
        <v>125</v>
      </c>
    </row>
    <row r="23" spans="1:13" s="111" customFormat="1" x14ac:dyDescent="0.3">
      <c r="A23" s="66" t="s">
        <v>223</v>
      </c>
      <c r="B23" s="169">
        <f>0.00558</f>
        <v>5.5799999999999999E-3</v>
      </c>
      <c r="C23" s="154" t="s">
        <v>10</v>
      </c>
      <c r="D23" s="44" t="s">
        <v>168</v>
      </c>
      <c r="E23" s="126">
        <f>L_af</f>
        <v>1.0000000000000001E-9</v>
      </c>
      <c r="F23" s="111" t="s">
        <v>10</v>
      </c>
      <c r="I23" s="125"/>
    </row>
    <row r="24" spans="1:13" s="111" customFormat="1" x14ac:dyDescent="0.3">
      <c r="A24" s="66" t="s">
        <v>97</v>
      </c>
      <c r="B24" s="170">
        <v>0</v>
      </c>
      <c r="C24" s="154" t="s">
        <v>10</v>
      </c>
      <c r="D24" s="44" t="s">
        <v>169</v>
      </c>
      <c r="E24" s="126">
        <f>L_riser</f>
        <v>1.462</v>
      </c>
      <c r="F24" s="87" t="s">
        <v>10</v>
      </c>
      <c r="I24" s="125"/>
    </row>
    <row r="25" spans="1:13" s="111" customFormat="1" x14ac:dyDescent="0.3">
      <c r="A25" s="66" t="s">
        <v>177</v>
      </c>
      <c r="B25" s="169">
        <f>Dext_tube</f>
        <v>5.5799999999999999E-3</v>
      </c>
      <c r="C25" s="154" t="s">
        <v>10</v>
      </c>
      <c r="D25" s="44" t="s">
        <v>166</v>
      </c>
      <c r="E25" s="126">
        <f>2*E23*E24</f>
        <v>2.9240000000000002E-9</v>
      </c>
      <c r="F25" s="148"/>
      <c r="I25" s="125"/>
    </row>
    <row r="26" spans="1:13" s="113" customFormat="1" x14ac:dyDescent="0.3">
      <c r="A26" s="66" t="s">
        <v>178</v>
      </c>
      <c r="B26" s="169">
        <f>iota+l_c</f>
        <v>5.5799999999999999E-3</v>
      </c>
      <c r="C26" s="154" t="s">
        <v>10</v>
      </c>
      <c r="D26" s="44" t="s">
        <v>171</v>
      </c>
      <c r="E26" s="88">
        <f>2*lambd_abs*E24</f>
        <v>2.9240000000000002E-9</v>
      </c>
      <c r="F26" s="148" t="s">
        <v>10</v>
      </c>
      <c r="I26" s="125"/>
    </row>
    <row r="27" spans="1:13" s="113" customFormat="1" x14ac:dyDescent="0.3">
      <c r="A27" s="11" t="s">
        <v>91</v>
      </c>
      <c r="B27" s="171">
        <f>L_abs</f>
        <v>1.462</v>
      </c>
      <c r="C27" s="154" t="s">
        <v>10</v>
      </c>
      <c r="D27" s="87"/>
      <c r="E27" s="87"/>
      <c r="F27" s="87"/>
      <c r="I27" s="125" t="s">
        <v>122</v>
      </c>
    </row>
    <row r="28" spans="1:13" s="113" customFormat="1" x14ac:dyDescent="0.3">
      <c r="A28" s="11" t="s">
        <v>9</v>
      </c>
      <c r="B28" s="171" t="s">
        <v>206</v>
      </c>
      <c r="C28" s="86"/>
      <c r="D28" s="44" t="s">
        <v>209</v>
      </c>
      <c r="E28" s="107">
        <f>INT(L_abs/D_tube)</f>
        <v>307</v>
      </c>
      <c r="F28" s="87"/>
    </row>
    <row r="29" spans="1:13" s="113" customFormat="1" x14ac:dyDescent="0.3">
      <c r="A29" s="11" t="s">
        <v>188</v>
      </c>
      <c r="B29" s="171" t="s">
        <v>75</v>
      </c>
      <c r="C29" s="86"/>
      <c r="D29" s="87"/>
      <c r="E29" s="87"/>
      <c r="F29" s="87"/>
      <c r="H29" s="111"/>
      <c r="I29" t="s">
        <v>116</v>
      </c>
    </row>
    <row r="30" spans="1:13" s="113" customFormat="1" x14ac:dyDescent="0.3">
      <c r="A30" s="11" t="s">
        <v>128</v>
      </c>
      <c r="B30" s="171">
        <v>165</v>
      </c>
      <c r="C30" s="86"/>
      <c r="D30" s="87"/>
      <c r="E30" s="87"/>
      <c r="F30" s="87"/>
      <c r="H30" s="110">
        <f>W*N_meander</f>
        <v>5.5799999999999999E-3</v>
      </c>
      <c r="I30">
        <f>L_abs/N_meander</f>
        <v>1.462</v>
      </c>
    </row>
    <row r="31" spans="1:13" s="113" customFormat="1" x14ac:dyDescent="0.3">
      <c r="A31" s="11" t="s">
        <v>127</v>
      </c>
      <c r="B31" s="171">
        <v>165</v>
      </c>
      <c r="C31" s="86"/>
      <c r="D31" s="87"/>
      <c r="E31" s="87"/>
      <c r="F31" s="87"/>
    </row>
    <row r="32" spans="1:13" s="113" customFormat="1" x14ac:dyDescent="0.3">
      <c r="A32" s="11" t="s">
        <v>115</v>
      </c>
      <c r="B32" s="171">
        <v>1</v>
      </c>
      <c r="C32" s="86"/>
      <c r="D32" s="87"/>
      <c r="E32" s="87"/>
      <c r="F32" s="87"/>
    </row>
    <row r="33" spans="1:10" s="113" customFormat="1" x14ac:dyDescent="0.3">
      <c r="A33" s="1" t="s">
        <v>222</v>
      </c>
      <c r="B33" s="172">
        <f>Dext_tube</f>
        <v>5.5799999999999999E-3</v>
      </c>
      <c r="C33" s="113" t="s">
        <v>10</v>
      </c>
      <c r="D33" s="90" t="s">
        <v>208</v>
      </c>
      <c r="E33" s="155">
        <f>IF(geometry="harp",IF(orientation="portrait",w_abs/N_harp_actual,L_abs/N_harp_actual),IF(orientation="portrait",L_abs/N_meander,w_abs/N_meander))</f>
        <v>5.5757575757575759E-3</v>
      </c>
      <c r="F33" s="107" t="s">
        <v>10</v>
      </c>
    </row>
    <row r="34" spans="1:10" s="111" customFormat="1" x14ac:dyDescent="0.3">
      <c r="A34" s="1" t="s">
        <v>152</v>
      </c>
      <c r="B34" s="172">
        <f>(W-l_c)/2+0.000000001</f>
        <v>1.0000000000000001E-9</v>
      </c>
      <c r="C34" s="125" t="s">
        <v>10</v>
      </c>
      <c r="D34" s="90" t="s">
        <v>113</v>
      </c>
      <c r="E34" s="158">
        <f>(W-Dext_tube)/2</f>
        <v>0</v>
      </c>
      <c r="F34" s="111" t="s">
        <v>10</v>
      </c>
      <c r="G34" s="75" t="s">
        <v>88</v>
      </c>
      <c r="H34" s="75"/>
    </row>
    <row r="35" spans="1:10" s="125" customFormat="1" x14ac:dyDescent="0.3">
      <c r="A35" s="66" t="s">
        <v>218</v>
      </c>
      <c r="B35" s="173">
        <v>0</v>
      </c>
      <c r="C35" s="125" t="s">
        <v>10</v>
      </c>
      <c r="D35" s="90" t="s">
        <v>141</v>
      </c>
      <c r="E35" s="139">
        <f>W</f>
        <v>5.5799999999999999E-3</v>
      </c>
      <c r="F35" s="87" t="s">
        <v>10</v>
      </c>
      <c r="H35" s="75"/>
    </row>
    <row r="36" spans="1:10" s="125" customFormat="1" x14ac:dyDescent="0.3">
      <c r="A36" s="66" t="s">
        <v>212</v>
      </c>
      <c r="B36" s="170">
        <v>2.5000000000000001E-2</v>
      </c>
      <c r="C36" s="107" t="s">
        <v>224</v>
      </c>
      <c r="D36" s="90"/>
      <c r="E36" s="157"/>
      <c r="F36" s="87"/>
      <c r="H36" s="75"/>
    </row>
    <row r="37" spans="1:10" s="125" customFormat="1" x14ac:dyDescent="0.3">
      <c r="A37" s="66" t="s">
        <v>213</v>
      </c>
      <c r="B37" s="173">
        <f>1*0.000000001</f>
        <v>1.0000000000000001E-9</v>
      </c>
      <c r="C37" s="125" t="s">
        <v>10</v>
      </c>
      <c r="D37" s="90"/>
      <c r="E37" s="157"/>
      <c r="F37" s="87"/>
      <c r="H37" s="75"/>
    </row>
    <row r="38" spans="1:10" s="125" customFormat="1" x14ac:dyDescent="0.3">
      <c r="A38" s="66" t="s">
        <v>214</v>
      </c>
      <c r="B38" s="174">
        <v>226</v>
      </c>
      <c r="C38" s="107" t="s">
        <v>224</v>
      </c>
      <c r="D38" s="90"/>
      <c r="E38" s="157"/>
      <c r="F38" s="87"/>
      <c r="H38" s="75"/>
    </row>
    <row r="39" spans="1:10" s="125" customFormat="1" x14ac:dyDescent="0.3">
      <c r="A39" s="66" t="s">
        <v>215</v>
      </c>
      <c r="B39" s="170">
        <v>2E-3</v>
      </c>
      <c r="C39" s="107" t="s">
        <v>10</v>
      </c>
      <c r="D39" s="90"/>
      <c r="E39" s="157"/>
      <c r="F39" s="87"/>
      <c r="H39" s="75"/>
    </row>
    <row r="40" spans="1:10" s="125" customFormat="1" x14ac:dyDescent="0.3">
      <c r="A40" s="66" t="s">
        <v>151</v>
      </c>
      <c r="B40" s="181">
        <v>0.22</v>
      </c>
      <c r="C40" s="107" t="s">
        <v>224</v>
      </c>
      <c r="D40" s="90"/>
      <c r="E40" s="157"/>
      <c r="F40" s="87"/>
      <c r="H40" s="75"/>
    </row>
    <row r="41" spans="1:10" s="125" customFormat="1" x14ac:dyDescent="0.3">
      <c r="A41" s="66" t="s">
        <v>216</v>
      </c>
      <c r="B41" s="170">
        <v>0</v>
      </c>
      <c r="C41" s="125" t="s">
        <v>10</v>
      </c>
      <c r="D41" s="90"/>
      <c r="E41" s="157"/>
      <c r="F41" s="87"/>
      <c r="H41" s="75"/>
    </row>
    <row r="42" spans="1:10" s="125" customFormat="1" x14ac:dyDescent="0.3">
      <c r="A42" s="66" t="s">
        <v>217</v>
      </c>
      <c r="B42" s="170">
        <v>0.03</v>
      </c>
      <c r="C42" s="107" t="s">
        <v>224</v>
      </c>
      <c r="D42" s="90"/>
      <c r="E42" s="157"/>
      <c r="F42" s="87"/>
      <c r="H42" s="75"/>
    </row>
    <row r="44" spans="1:10" x14ac:dyDescent="0.3">
      <c r="A44" s="142" t="s">
        <v>165</v>
      </c>
      <c r="B44" s="143"/>
      <c r="C44" s="143"/>
      <c r="D44" s="144"/>
      <c r="E44" s="149"/>
      <c r="F44" s="149"/>
    </row>
    <row r="45" spans="1:10" s="110" customFormat="1" x14ac:dyDescent="0.3">
      <c r="A45" s="110" t="s">
        <v>186</v>
      </c>
      <c r="B45" s="130">
        <v>0</v>
      </c>
      <c r="D45" s="113" t="s">
        <v>193</v>
      </c>
      <c r="E45" s="118" t="str">
        <f>fin_0&amp;fin_1&amp;fin_2&amp;fin_3</f>
        <v>0000</v>
      </c>
      <c r="F45" s="125"/>
    </row>
    <row r="46" spans="1:10" s="113" customFormat="1" x14ac:dyDescent="0.3">
      <c r="A46" s="107" t="s">
        <v>194</v>
      </c>
      <c r="B46" s="132">
        <v>0</v>
      </c>
      <c r="E46" s="125"/>
      <c r="F46" s="125"/>
    </row>
    <row r="48" spans="1:10" s="65" customFormat="1" x14ac:dyDescent="0.3">
      <c r="A48" s="142" t="s">
        <v>76</v>
      </c>
      <c r="B48" s="143"/>
      <c r="C48" s="143"/>
      <c r="D48" s="159"/>
      <c r="E48" s="149"/>
      <c r="F48" s="149"/>
      <c r="H48" s="110"/>
      <c r="J48" s="85"/>
    </row>
    <row r="49" spans="1:15" s="85" customFormat="1" x14ac:dyDescent="0.3">
      <c r="A49" s="1" t="s">
        <v>211</v>
      </c>
      <c r="B49" s="130">
        <v>0.05</v>
      </c>
      <c r="D49" s="148" t="s">
        <v>10</v>
      </c>
      <c r="E49" s="148"/>
      <c r="F49" s="148"/>
      <c r="H49" s="110"/>
      <c r="I49" s="85" t="s">
        <v>102</v>
      </c>
      <c r="J49" s="85" t="s">
        <v>103</v>
      </c>
      <c r="K49" s="85" t="s">
        <v>101</v>
      </c>
      <c r="L49" s="75"/>
      <c r="O49" s="75"/>
    </row>
    <row r="50" spans="1:15" s="113" customFormat="1" x14ac:dyDescent="0.3">
      <c r="A50" s="1"/>
      <c r="B50" s="126"/>
      <c r="C50" s="75"/>
      <c r="D50" s="148"/>
      <c r="E50" s="148"/>
      <c r="F50" s="148"/>
      <c r="I50" s="91"/>
      <c r="J50" s="91"/>
      <c r="K50" s="91"/>
    </row>
    <row r="51" spans="1:15" s="113" customFormat="1" x14ac:dyDescent="0.3">
      <c r="A51" s="1" t="s">
        <v>119</v>
      </c>
      <c r="B51" s="130">
        <v>120</v>
      </c>
      <c r="C51" s="75"/>
      <c r="D51" s="148"/>
      <c r="E51" s="148"/>
      <c r="F51" s="148"/>
      <c r="I51" s="91"/>
      <c r="J51" s="91"/>
      <c r="K51" s="91"/>
    </row>
    <row r="52" spans="1:15" s="113" customFormat="1" x14ac:dyDescent="0.3">
      <c r="A52" s="1" t="s">
        <v>121</v>
      </c>
      <c r="B52" s="130">
        <v>10</v>
      </c>
      <c r="C52" s="124">
        <f>N_fins_per_EP*6</f>
        <v>60</v>
      </c>
      <c r="D52" s="66" t="s">
        <v>79</v>
      </c>
      <c r="E52" s="76">
        <f>N_ail/L_riser</f>
        <v>82.079343365253081</v>
      </c>
      <c r="F52" s="148" t="s">
        <v>80</v>
      </c>
      <c r="I52" s="91"/>
      <c r="J52" s="91"/>
      <c r="K52" s="91"/>
    </row>
    <row r="53" spans="1:15" s="125" customFormat="1" x14ac:dyDescent="0.3">
      <c r="A53" s="66" t="s">
        <v>219</v>
      </c>
      <c r="B53" s="130">
        <v>1.5E-3</v>
      </c>
      <c r="D53" s="66"/>
      <c r="E53" s="76"/>
      <c r="F53" s="148"/>
      <c r="I53" s="91"/>
      <c r="J53" s="91"/>
      <c r="K53" s="91"/>
    </row>
    <row r="54" spans="1:15" s="125" customFormat="1" x14ac:dyDescent="0.3">
      <c r="A54" s="66" t="s">
        <v>220</v>
      </c>
      <c r="B54" s="130">
        <v>226</v>
      </c>
      <c r="D54" s="66"/>
      <c r="E54" s="76"/>
      <c r="F54" s="148"/>
      <c r="I54" s="91"/>
      <c r="J54" s="91"/>
      <c r="K54" s="91"/>
    </row>
    <row r="55" spans="1:15" s="113" customFormat="1" x14ac:dyDescent="0.3">
      <c r="C55" s="124"/>
      <c r="D55" s="148"/>
      <c r="E55" s="148"/>
      <c r="F55" s="148"/>
      <c r="I55" s="91"/>
      <c r="J55" s="91"/>
      <c r="K55" s="91"/>
    </row>
    <row r="56" spans="1:15" s="113" customFormat="1" x14ac:dyDescent="0.3">
      <c r="A56" s="66" t="s">
        <v>210</v>
      </c>
      <c r="B56" s="133">
        <v>1.7000000000000001E-2</v>
      </c>
      <c r="C56" s="124">
        <f>(w_abs-N_ail*lambd_ail)/(N_ail-1)</f>
        <v>6.218487394957983E-3</v>
      </c>
      <c r="D56" s="90" t="s">
        <v>10</v>
      </c>
      <c r="E56" s="125"/>
      <c r="F56" s="125"/>
      <c r="I56" s="91"/>
      <c r="J56" s="91"/>
      <c r="K56" s="91"/>
    </row>
    <row r="57" spans="1:15" s="111" customFormat="1" x14ac:dyDescent="0.3">
      <c r="A57" s="163"/>
      <c r="B57" s="164"/>
      <c r="C57" s="75"/>
      <c r="D57" s="148"/>
      <c r="E57" s="148"/>
      <c r="F57" s="148"/>
      <c r="I57" s="91"/>
      <c r="J57" s="91"/>
      <c r="K57" s="91"/>
      <c r="L57" s="75"/>
    </row>
    <row r="58" spans="1:15" s="113" customFormat="1" x14ac:dyDescent="0.3">
      <c r="A58" s="161" t="s">
        <v>200</v>
      </c>
      <c r="B58" s="162">
        <v>0</v>
      </c>
      <c r="C58" s="75"/>
      <c r="D58" s="148"/>
      <c r="E58" s="148"/>
      <c r="F58" s="148"/>
      <c r="I58" s="91"/>
      <c r="J58" s="91"/>
      <c r="K58" s="91"/>
      <c r="L58" s="75"/>
    </row>
    <row r="59" spans="1:15" s="113" customFormat="1" x14ac:dyDescent="0.3">
      <c r="A59" s="1" t="s">
        <v>156</v>
      </c>
      <c r="B59" s="136">
        <f>N_ail</f>
        <v>120</v>
      </c>
      <c r="C59" s="75"/>
      <c r="D59" s="148"/>
      <c r="E59" s="148"/>
      <c r="F59" s="148"/>
      <c r="I59" s="91"/>
      <c r="J59" s="91"/>
      <c r="K59" s="91"/>
      <c r="L59" s="75"/>
    </row>
    <row r="60" spans="1:15" s="113" customFormat="1" x14ac:dyDescent="0.3">
      <c r="A60" s="1" t="s">
        <v>154</v>
      </c>
      <c r="B60" s="137">
        <f>Heta-D_tube</f>
        <v>4.5240000000000002E-2</v>
      </c>
      <c r="C60" s="75"/>
      <c r="D60" s="148"/>
      <c r="E60" s="148"/>
      <c r="F60" s="148"/>
      <c r="I60" s="91"/>
      <c r="J60" s="91"/>
      <c r="K60" s="91"/>
      <c r="L60" s="75"/>
    </row>
    <row r="61" spans="1:15" s="113" customFormat="1" x14ac:dyDescent="0.3">
      <c r="A61" s="1" t="s">
        <v>155</v>
      </c>
      <c r="B61" s="137">
        <f>D_tube</f>
        <v>4.7600000000000003E-3</v>
      </c>
      <c r="C61" s="75"/>
      <c r="D61" s="1" t="s">
        <v>166</v>
      </c>
      <c r="E61" s="126">
        <f>((L_f0*delta_f0)*N_f0)*2</f>
        <v>5.1682176000000003E-2</v>
      </c>
      <c r="F61" s="148" t="s">
        <v>98</v>
      </c>
      <c r="I61" s="91"/>
      <c r="J61" s="91"/>
      <c r="K61" s="91"/>
      <c r="L61" s="75"/>
    </row>
    <row r="62" spans="1:15" s="113" customFormat="1" x14ac:dyDescent="0.3">
      <c r="A62" s="1" t="s">
        <v>173</v>
      </c>
      <c r="B62" s="137">
        <f>(D_tube*PI())/2</f>
        <v>7.4769905155437077E-3</v>
      </c>
      <c r="C62" s="75"/>
      <c r="D62" s="1" t="s">
        <v>171</v>
      </c>
      <c r="E62" s="126"/>
      <c r="F62" s="75"/>
      <c r="I62" s="91"/>
      <c r="J62" s="91"/>
      <c r="K62" s="91"/>
      <c r="L62" s="75"/>
    </row>
    <row r="63" spans="1:15" s="113" customFormat="1" x14ac:dyDescent="0.3">
      <c r="D63" s="148"/>
      <c r="E63" s="148"/>
      <c r="F63" s="148"/>
      <c r="I63" s="91"/>
      <c r="J63" s="91"/>
      <c r="K63" s="91"/>
      <c r="L63" s="75"/>
    </row>
    <row r="64" spans="1:15" s="113" customFormat="1" x14ac:dyDescent="0.3">
      <c r="A64" s="127" t="s">
        <v>199</v>
      </c>
      <c r="B64" s="135">
        <v>0</v>
      </c>
      <c r="C64" s="75"/>
      <c r="D64" s="148"/>
      <c r="E64" s="148"/>
      <c r="F64" s="148"/>
      <c r="I64" s="91"/>
      <c r="J64" s="91"/>
      <c r="K64" s="91"/>
      <c r="L64" s="75"/>
    </row>
    <row r="65" spans="1:12" s="113" customFormat="1" x14ac:dyDescent="0.3">
      <c r="A65" s="1" t="s">
        <v>157</v>
      </c>
      <c r="B65" s="136">
        <f>N_ail</f>
        <v>120</v>
      </c>
      <c r="C65" s="75"/>
      <c r="D65" s="148"/>
      <c r="E65" s="148"/>
      <c r="F65" s="148"/>
      <c r="I65" s="91"/>
      <c r="J65" s="91"/>
      <c r="K65" s="91"/>
      <c r="L65" s="75"/>
    </row>
    <row r="66" spans="1:12" s="113" customFormat="1" x14ac:dyDescent="0.3">
      <c r="A66" s="1" t="s">
        <v>158</v>
      </c>
      <c r="B66" s="137">
        <f>delta</f>
        <v>0</v>
      </c>
      <c r="C66" s="75"/>
      <c r="D66" s="148"/>
      <c r="E66" s="148"/>
      <c r="F66" s="148"/>
      <c r="I66" s="91"/>
      <c r="J66" s="91"/>
      <c r="K66" s="91"/>
      <c r="L66" s="75"/>
    </row>
    <row r="67" spans="1:12" s="113" customFormat="1" x14ac:dyDescent="0.3">
      <c r="A67" s="1" t="s">
        <v>159</v>
      </c>
      <c r="B67" s="137">
        <f>Heta</f>
        <v>0.05</v>
      </c>
      <c r="C67" s="75"/>
      <c r="D67" s="148"/>
      <c r="E67" s="148"/>
      <c r="F67" s="148"/>
      <c r="I67" s="91"/>
      <c r="J67" s="91"/>
      <c r="K67" s="91"/>
      <c r="L67" s="75"/>
    </row>
    <row r="68" spans="1:12" s="113" customFormat="1" x14ac:dyDescent="0.3">
      <c r="A68" s="1" t="s">
        <v>203</v>
      </c>
      <c r="B68" s="137">
        <f>(D_tube*PI())/2</f>
        <v>7.4769905155437077E-3</v>
      </c>
      <c r="C68" s="123"/>
      <c r="D68" s="1" t="s">
        <v>166</v>
      </c>
      <c r="E68" s="126">
        <f>((L_f1*delta_f1)*2*N_f1)*2</f>
        <v>0</v>
      </c>
      <c r="F68" s="148"/>
      <c r="I68" s="91"/>
      <c r="J68" s="91"/>
      <c r="K68" s="91"/>
      <c r="L68" s="75"/>
    </row>
    <row r="69" spans="1:12" s="113" customFormat="1" x14ac:dyDescent="0.3">
      <c r="A69" s="1" t="s">
        <v>164</v>
      </c>
      <c r="B69" s="138">
        <v>1</v>
      </c>
      <c r="C69" s="75"/>
      <c r="D69" s="1" t="s">
        <v>171</v>
      </c>
      <c r="E69" s="88">
        <f>2*N_f1*delta_f1*lambd_ail</f>
        <v>1.8000000000000002E-2</v>
      </c>
      <c r="F69" s="148"/>
      <c r="I69" s="91"/>
      <c r="J69" s="91"/>
      <c r="K69" s="91"/>
      <c r="L69" s="75"/>
    </row>
    <row r="70" spans="1:12" s="113" customFormat="1" x14ac:dyDescent="0.3">
      <c r="C70" s="75"/>
      <c r="D70" s="148"/>
      <c r="E70" s="148"/>
      <c r="F70" s="148"/>
      <c r="I70" s="91"/>
      <c r="J70" s="91"/>
      <c r="K70" s="91"/>
      <c r="L70" s="75"/>
    </row>
    <row r="71" spans="1:12" s="113" customFormat="1" x14ac:dyDescent="0.3">
      <c r="A71" s="127" t="s">
        <v>201</v>
      </c>
      <c r="B71" s="135">
        <v>0</v>
      </c>
      <c r="C71" s="75"/>
      <c r="D71" s="148"/>
      <c r="E71" s="148"/>
      <c r="F71" s="148"/>
      <c r="I71" s="91"/>
      <c r="J71" s="91"/>
      <c r="K71" s="91"/>
      <c r="L71" s="75"/>
    </row>
    <row r="72" spans="1:12" s="111" customFormat="1" x14ac:dyDescent="0.3">
      <c r="A72" s="1" t="s">
        <v>172</v>
      </c>
      <c r="B72" s="136">
        <f>N_ail</f>
        <v>120</v>
      </c>
      <c r="C72" s="75"/>
      <c r="D72" s="148"/>
      <c r="E72" s="148"/>
      <c r="F72" s="148"/>
      <c r="I72" s="91"/>
      <c r="J72" s="91"/>
      <c r="K72" s="91"/>
      <c r="L72" s="75"/>
    </row>
    <row r="73" spans="1:12" s="111" customFormat="1" x14ac:dyDescent="0.3">
      <c r="A73" s="1" t="s">
        <v>163</v>
      </c>
      <c r="B73" s="137">
        <f>Heta-delta_f1</f>
        <v>0</v>
      </c>
      <c r="C73" s="75"/>
      <c r="D73" s="148"/>
      <c r="E73" s="148"/>
      <c r="F73" s="148"/>
      <c r="I73" s="91"/>
      <c r="J73" s="91"/>
      <c r="K73" s="91"/>
      <c r="L73" s="75"/>
    </row>
    <row r="74" spans="1:12" s="111" customFormat="1" x14ac:dyDescent="0.3">
      <c r="A74" s="1" t="s">
        <v>198</v>
      </c>
      <c r="B74" s="137">
        <f>delta</f>
        <v>0</v>
      </c>
      <c r="C74" s="75"/>
      <c r="D74" s="148"/>
      <c r="E74" s="148"/>
      <c r="F74" s="148"/>
      <c r="I74" s="91"/>
      <c r="J74" s="91"/>
      <c r="K74" s="91"/>
      <c r="L74" s="75"/>
    </row>
    <row r="75" spans="1:12" s="122" customFormat="1" x14ac:dyDescent="0.3">
      <c r="A75" s="1" t="s">
        <v>195</v>
      </c>
      <c r="B75" s="133">
        <f>(w_abs-N_f2*lambd_ail)/(N_f2-1)</f>
        <v>6.218487394957983E-3</v>
      </c>
      <c r="C75" s="75"/>
      <c r="D75" s="148"/>
      <c r="E75" s="148"/>
      <c r="F75" s="148"/>
      <c r="I75" s="91"/>
      <c r="J75" s="91"/>
      <c r="K75" s="91"/>
      <c r="L75" s="75"/>
    </row>
    <row r="76" spans="1:12" s="113" customFormat="1" x14ac:dyDescent="0.3">
      <c r="A76" s="160"/>
      <c r="B76" s="126"/>
      <c r="C76" s="75"/>
      <c r="D76" s="148"/>
      <c r="E76" s="148"/>
      <c r="F76" s="148"/>
      <c r="I76" s="91"/>
      <c r="J76" s="91"/>
      <c r="K76" s="91"/>
      <c r="L76" s="75"/>
    </row>
    <row r="77" spans="1:12" s="113" customFormat="1" x14ac:dyDescent="0.3">
      <c r="A77" s="127" t="s">
        <v>202</v>
      </c>
      <c r="B77" s="135">
        <v>0</v>
      </c>
      <c r="C77" s="75"/>
      <c r="D77" s="148"/>
      <c r="E77" s="148"/>
      <c r="F77" s="148"/>
      <c r="I77" s="91"/>
      <c r="J77" s="91"/>
      <c r="K77" s="91"/>
      <c r="L77" s="75"/>
    </row>
    <row r="78" spans="1:12" s="113" customFormat="1" x14ac:dyDescent="0.3">
      <c r="A78" s="1" t="s">
        <v>160</v>
      </c>
      <c r="B78" s="136">
        <f>N_ail</f>
        <v>120</v>
      </c>
      <c r="C78" s="75"/>
      <c r="D78" s="148"/>
      <c r="E78" s="148"/>
      <c r="F78" s="148"/>
      <c r="I78" s="91"/>
      <c r="J78" s="91"/>
      <c r="K78" s="91"/>
      <c r="L78" s="75"/>
    </row>
    <row r="79" spans="1:12" s="111" customFormat="1" x14ac:dyDescent="0.3">
      <c r="A79" s="1" t="s">
        <v>161</v>
      </c>
      <c r="B79" s="137">
        <f>0.02</f>
        <v>0.02</v>
      </c>
      <c r="C79" s="75"/>
      <c r="D79" s="148"/>
      <c r="E79" s="148"/>
      <c r="F79" s="148"/>
      <c r="I79" s="91"/>
      <c r="J79" s="91"/>
      <c r="K79" s="91"/>
      <c r="L79" s="75"/>
    </row>
    <row r="80" spans="1:12" s="111" customFormat="1" x14ac:dyDescent="0.3">
      <c r="A80" s="1" t="s">
        <v>162</v>
      </c>
      <c r="B80" s="137">
        <f>D_tube</f>
        <v>4.7600000000000003E-3</v>
      </c>
      <c r="C80" s="75"/>
      <c r="D80" s="148"/>
      <c r="E80" s="148"/>
      <c r="F80" s="148"/>
      <c r="I80" s="91"/>
      <c r="J80" s="91"/>
      <c r="K80" s="91"/>
      <c r="L80" s="75"/>
    </row>
    <row r="82" spans="1:12" x14ac:dyDescent="0.3">
      <c r="A82" s="145" t="s">
        <v>12</v>
      </c>
      <c r="B82" s="146"/>
      <c r="C82" s="146"/>
      <c r="D82" s="147"/>
      <c r="E82" s="90"/>
      <c r="F82" s="90"/>
    </row>
    <row r="83" spans="1:12" x14ac:dyDescent="0.3">
      <c r="A83" s="4" t="s">
        <v>13</v>
      </c>
      <c r="B83" s="13">
        <v>1</v>
      </c>
      <c r="C83" s="13"/>
      <c r="D83" s="14" t="s">
        <v>14</v>
      </c>
      <c r="E83" s="150"/>
      <c r="F83" s="150"/>
    </row>
    <row r="84" spans="1:12" x14ac:dyDescent="0.3">
      <c r="A84" s="4" t="s">
        <v>15</v>
      </c>
      <c r="B84" s="8">
        <v>0.8</v>
      </c>
      <c r="C84" s="15"/>
      <c r="D84" s="14"/>
      <c r="E84" s="150"/>
      <c r="F84" s="150"/>
    </row>
    <row r="85" spans="1:12" ht="28.95" customHeight="1" x14ac:dyDescent="0.3">
      <c r="A85" s="4" t="s">
        <v>16</v>
      </c>
      <c r="B85" s="8">
        <v>0.8</v>
      </c>
      <c r="C85" s="16"/>
      <c r="D85" s="14"/>
      <c r="E85" s="14"/>
      <c r="F85" s="14"/>
      <c r="G85" s="17" t="s">
        <v>17</v>
      </c>
      <c r="H85" s="17"/>
      <c r="I85" s="17" t="s">
        <v>18</v>
      </c>
      <c r="J85" s="95"/>
    </row>
    <row r="86" spans="1:12" x14ac:dyDescent="0.3">
      <c r="A86" s="4" t="s">
        <v>19</v>
      </c>
      <c r="B86" s="18">
        <v>0.95</v>
      </c>
      <c r="C86" s="16"/>
      <c r="D86" s="14"/>
      <c r="E86" s="150"/>
      <c r="F86" s="150"/>
      <c r="G86" s="19"/>
      <c r="H86" s="19"/>
      <c r="I86" s="19"/>
      <c r="J86" s="19"/>
    </row>
    <row r="87" spans="1:12" x14ac:dyDescent="0.3">
      <c r="A87" s="20" t="s">
        <v>20</v>
      </c>
      <c r="B87" s="21">
        <v>0.8</v>
      </c>
      <c r="C87" s="22"/>
      <c r="D87" s="14"/>
      <c r="E87" s="150"/>
      <c r="F87" s="150"/>
      <c r="G87" s="12">
        <v>0.98124999999999996</v>
      </c>
      <c r="H87" s="12"/>
      <c r="I87" s="23">
        <v>0.78500000000000003</v>
      </c>
      <c r="J87" s="23"/>
    </row>
    <row r="88" spans="1:12" x14ac:dyDescent="0.3">
      <c r="A88" s="1" t="s">
        <v>21</v>
      </c>
      <c r="B88" s="21">
        <v>0.9</v>
      </c>
      <c r="C88" s="9"/>
      <c r="D88" s="14" t="s">
        <v>14</v>
      </c>
      <c r="E88" s="150"/>
      <c r="F88" s="150"/>
    </row>
    <row r="89" spans="1:12" x14ac:dyDescent="0.3">
      <c r="A89" s="25"/>
      <c r="D89" s="14" t="s">
        <v>14</v>
      </c>
      <c r="E89" s="150"/>
      <c r="F89" s="150"/>
    </row>
    <row r="90" spans="1:12" x14ac:dyDescent="0.3">
      <c r="A90" s="26" t="s">
        <v>22</v>
      </c>
      <c r="B90" s="27"/>
      <c r="C90" s="27"/>
      <c r="D90" s="27"/>
      <c r="E90" s="27"/>
      <c r="F90" s="27"/>
      <c r="G90" s="27"/>
      <c r="H90" s="27"/>
      <c r="I90" s="28"/>
      <c r="J90" s="96"/>
    </row>
    <row r="91" spans="1:12" ht="28.95" customHeight="1" x14ac:dyDescent="0.3">
      <c r="A91" s="29"/>
      <c r="B91" s="17" t="s">
        <v>23</v>
      </c>
      <c r="C91" s="17" t="s">
        <v>24</v>
      </c>
      <c r="D91" s="17" t="s">
        <v>25</v>
      </c>
      <c r="E91" s="17"/>
      <c r="F91" s="17"/>
      <c r="G91" s="17" t="s">
        <v>17</v>
      </c>
      <c r="H91" s="17"/>
      <c r="I91" s="17" t="s">
        <v>18</v>
      </c>
      <c r="J91" s="95"/>
    </row>
    <row r="92" spans="1:12" x14ac:dyDescent="0.3">
      <c r="A92" s="30"/>
      <c r="B92" s="10" t="s">
        <v>10</v>
      </c>
      <c r="C92" s="10" t="s">
        <v>26</v>
      </c>
      <c r="D92" s="10" t="s">
        <v>27</v>
      </c>
      <c r="E92" s="31"/>
      <c r="F92" s="31"/>
      <c r="G92" s="31"/>
      <c r="H92" s="31"/>
      <c r="I92" s="10" t="s">
        <v>27</v>
      </c>
      <c r="J92" s="116">
        <f>SUM(I93:I102)</f>
        <v>8.8191666666666679E-3</v>
      </c>
    </row>
    <row r="93" spans="1:12" x14ac:dyDescent="0.3">
      <c r="A93" s="6" t="s">
        <v>28</v>
      </c>
      <c r="B93" s="175">
        <v>2.7799999999999999E-3</v>
      </c>
      <c r="C93" s="160">
        <v>0.8</v>
      </c>
      <c r="D93" s="67">
        <f>B93/C93</f>
        <v>3.4749999999999998E-3</v>
      </c>
      <c r="E93" s="67"/>
      <c r="F93" s="67"/>
      <c r="G93" s="4">
        <v>1</v>
      </c>
      <c r="H93" s="4"/>
      <c r="I93" s="84">
        <f>D93*G93</f>
        <v>3.4749999999999998E-3</v>
      </c>
      <c r="J93" s="117">
        <f>I93/$J$92</f>
        <v>0.39402815836719257</v>
      </c>
    </row>
    <row r="94" spans="1:12" x14ac:dyDescent="0.3">
      <c r="A94" s="6" t="s">
        <v>29</v>
      </c>
      <c r="B94" s="175">
        <f>0.515/1000</f>
        <v>5.1500000000000005E-4</v>
      </c>
      <c r="C94" s="160">
        <v>0.24</v>
      </c>
      <c r="D94" s="67">
        <f t="shared" ref="D94:D105" si="0">B94/C94</f>
        <v>2.1458333333333338E-3</v>
      </c>
      <c r="E94" s="67"/>
      <c r="F94" s="67"/>
      <c r="G94" s="4">
        <v>1</v>
      </c>
      <c r="H94" s="4"/>
      <c r="I94" s="84">
        <f t="shared" ref="I94:I106" si="1">D94*G94</f>
        <v>2.1458333333333338E-3</v>
      </c>
      <c r="J94" s="117">
        <f t="shared" ref="J94:J102" si="2">I94/$J$92</f>
        <v>0.24331475007086839</v>
      </c>
      <c r="L94">
        <f>C101/C102</f>
        <v>80</v>
      </c>
    </row>
    <row r="95" spans="1:12" x14ac:dyDescent="0.3">
      <c r="A95" s="6" t="s">
        <v>30</v>
      </c>
      <c r="B95" s="175">
        <v>1.4999999999999999E-4</v>
      </c>
      <c r="C95" s="160">
        <v>60</v>
      </c>
      <c r="D95" s="67">
        <f t="shared" si="0"/>
        <v>2.4999999999999998E-6</v>
      </c>
      <c r="E95" s="67"/>
      <c r="F95" s="67"/>
      <c r="G95" s="4">
        <v>1</v>
      </c>
      <c r="H95" s="4"/>
      <c r="I95" s="84">
        <f t="shared" si="1"/>
        <v>2.4999999999999998E-6</v>
      </c>
      <c r="J95" s="117">
        <f t="shared" si="2"/>
        <v>2.8347349522819609E-4</v>
      </c>
    </row>
    <row r="96" spans="1:12" x14ac:dyDescent="0.3">
      <c r="A96" s="6" t="s">
        <v>29</v>
      </c>
      <c r="B96" s="175">
        <f>0.515/1000</f>
        <v>5.1500000000000005E-4</v>
      </c>
      <c r="C96" s="4">
        <v>0.24</v>
      </c>
      <c r="D96" s="67">
        <f t="shared" si="0"/>
        <v>2.1458333333333338E-3</v>
      </c>
      <c r="E96" s="67"/>
      <c r="F96" s="67"/>
      <c r="G96" s="4">
        <v>1</v>
      </c>
      <c r="H96" s="4"/>
      <c r="I96" s="84">
        <f t="shared" si="1"/>
        <v>2.1458333333333338E-3</v>
      </c>
      <c r="J96" s="117">
        <f t="shared" si="2"/>
        <v>0.24331475007086839</v>
      </c>
      <c r="K96" s="94"/>
    </row>
    <row r="97" spans="1:13" x14ac:dyDescent="0.3">
      <c r="A97" s="6" t="s">
        <v>31</v>
      </c>
      <c r="B97" s="175">
        <v>3.0000000000000001E-5</v>
      </c>
      <c r="C97" s="4">
        <v>0.2</v>
      </c>
      <c r="D97" s="67">
        <f t="shared" si="0"/>
        <v>1.4999999999999999E-4</v>
      </c>
      <c r="E97" s="67"/>
      <c r="F97" s="67"/>
      <c r="G97" s="4">
        <v>1</v>
      </c>
      <c r="H97" s="4"/>
      <c r="I97" s="84">
        <f t="shared" si="1"/>
        <v>1.4999999999999999E-4</v>
      </c>
      <c r="J97" s="117">
        <f t="shared" si="2"/>
        <v>1.7008409713691768E-2</v>
      </c>
    </row>
    <row r="98" spans="1:13" x14ac:dyDescent="0.3">
      <c r="A98" s="6" t="s">
        <v>32</v>
      </c>
      <c r="B98" s="175">
        <v>2.7E-4</v>
      </c>
      <c r="C98" s="4">
        <v>0.3</v>
      </c>
      <c r="D98" s="67">
        <f t="shared" si="0"/>
        <v>9.0000000000000008E-4</v>
      </c>
      <c r="E98" s="67"/>
      <c r="F98" s="67"/>
      <c r="G98" s="4">
        <v>1</v>
      </c>
      <c r="H98" s="4"/>
      <c r="I98" s="84">
        <f t="shared" si="1"/>
        <v>9.0000000000000008E-4</v>
      </c>
      <c r="J98" s="117">
        <f t="shared" si="2"/>
        <v>0.10205045828215062</v>
      </c>
    </row>
    <row r="99" spans="1:13" x14ac:dyDescent="0.3">
      <c r="A99" s="6" t="s">
        <v>33</v>
      </c>
      <c r="B99" s="175">
        <v>0</v>
      </c>
      <c r="C99" s="4">
        <v>0.2</v>
      </c>
      <c r="D99" s="67">
        <f t="shared" si="0"/>
        <v>0</v>
      </c>
      <c r="E99" s="67"/>
      <c r="F99" s="67"/>
      <c r="G99" s="4">
        <v>1</v>
      </c>
      <c r="H99" s="4"/>
      <c r="I99" s="84">
        <f t="shared" si="1"/>
        <v>0</v>
      </c>
      <c r="J99" s="117">
        <f t="shared" si="2"/>
        <v>0</v>
      </c>
    </row>
    <row r="100" spans="1:13" x14ac:dyDescent="0.3">
      <c r="A100" s="6" t="s">
        <v>29</v>
      </c>
      <c r="B100" s="176">
        <v>0</v>
      </c>
      <c r="C100" s="33">
        <v>0.23</v>
      </c>
      <c r="D100" s="67">
        <f t="shared" si="0"/>
        <v>0</v>
      </c>
      <c r="E100" s="67"/>
      <c r="F100" s="67"/>
      <c r="G100" s="4">
        <v>1</v>
      </c>
      <c r="H100" s="4"/>
      <c r="I100" s="84">
        <f t="shared" si="1"/>
        <v>0</v>
      </c>
      <c r="J100" s="117">
        <f t="shared" si="2"/>
        <v>0</v>
      </c>
    </row>
    <row r="101" spans="1:13" s="111" customFormat="1" x14ac:dyDescent="0.3">
      <c r="A101" s="166" t="s">
        <v>95</v>
      </c>
      <c r="B101" s="177">
        <v>0</v>
      </c>
      <c r="C101" s="165">
        <v>2</v>
      </c>
      <c r="D101" s="67">
        <f>B101/C101</f>
        <v>0</v>
      </c>
      <c r="E101" s="67"/>
      <c r="F101" s="67"/>
      <c r="G101" s="4">
        <v>1</v>
      </c>
      <c r="H101" s="4"/>
      <c r="I101" s="84">
        <f>D101*G101</f>
        <v>0</v>
      </c>
      <c r="J101" s="117">
        <f>I101/$J$92</f>
        <v>0</v>
      </c>
      <c r="M101" s="83"/>
    </row>
    <row r="102" spans="1:13" x14ac:dyDescent="0.3">
      <c r="A102" s="6" t="s">
        <v>81</v>
      </c>
      <c r="B102" s="160">
        <f>air_layer</f>
        <v>0</v>
      </c>
      <c r="C102" s="160">
        <f>k_air</f>
        <v>2.5000000000000001E-2</v>
      </c>
      <c r="D102" s="67">
        <f t="shared" si="0"/>
        <v>0</v>
      </c>
      <c r="E102" s="67"/>
      <c r="F102" s="67"/>
      <c r="G102" s="4">
        <v>1</v>
      </c>
      <c r="H102" s="4"/>
      <c r="I102" s="84">
        <f t="shared" si="1"/>
        <v>0</v>
      </c>
      <c r="J102" s="117">
        <f t="shared" si="2"/>
        <v>0</v>
      </c>
      <c r="M102" s="83"/>
    </row>
    <row r="103" spans="1:13" x14ac:dyDescent="0.3">
      <c r="A103" s="166" t="s">
        <v>78</v>
      </c>
      <c r="B103" s="165">
        <f>lambd_abs</f>
        <v>1.0000000000000001E-9</v>
      </c>
      <c r="C103" s="165">
        <f>k_abs</f>
        <v>226</v>
      </c>
      <c r="D103" s="67">
        <f t="shared" si="0"/>
        <v>4.4247787610619471E-12</v>
      </c>
      <c r="E103" s="67"/>
      <c r="F103" s="67"/>
      <c r="G103" s="4">
        <v>1</v>
      </c>
      <c r="H103" s="4"/>
      <c r="I103" s="84">
        <f t="shared" si="1"/>
        <v>4.4247787610619471E-12</v>
      </c>
      <c r="J103" s="117"/>
      <c r="M103" s="84"/>
    </row>
    <row r="104" spans="1:13" x14ac:dyDescent="0.3">
      <c r="A104" s="167" t="s">
        <v>150</v>
      </c>
      <c r="B104" s="165">
        <f>lambd_riser</f>
        <v>2E-3</v>
      </c>
      <c r="C104" s="165">
        <f>k_riser</f>
        <v>0.22</v>
      </c>
      <c r="D104" s="71">
        <f t="shared" si="0"/>
        <v>9.0909090909090905E-3</v>
      </c>
      <c r="E104" s="71"/>
      <c r="F104" s="71"/>
      <c r="G104" s="70">
        <v>1</v>
      </c>
      <c r="H104" s="70"/>
      <c r="I104" s="71">
        <f t="shared" si="1"/>
        <v>9.0909090909090905E-3</v>
      </c>
      <c r="J104" s="97"/>
      <c r="K104">
        <f>1/I104</f>
        <v>110</v>
      </c>
    </row>
    <row r="105" spans="1:13" s="65" customFormat="1" x14ac:dyDescent="0.3">
      <c r="A105" s="166" t="s">
        <v>77</v>
      </c>
      <c r="B105" s="165">
        <f>lambd_ail</f>
        <v>1.5E-3</v>
      </c>
      <c r="C105" s="165">
        <f>k_ail</f>
        <v>226</v>
      </c>
      <c r="D105" s="92">
        <f t="shared" si="0"/>
        <v>6.6371681415929206E-6</v>
      </c>
      <c r="E105" s="92"/>
      <c r="F105" s="92"/>
      <c r="G105" s="4"/>
      <c r="H105" s="4"/>
      <c r="I105" s="67">
        <f t="shared" si="1"/>
        <v>0</v>
      </c>
      <c r="J105" s="98"/>
    </row>
    <row r="106" spans="1:13" x14ac:dyDescent="0.3">
      <c r="A106" s="6" t="s">
        <v>35</v>
      </c>
      <c r="B106" s="165">
        <f>e_insulation</f>
        <v>0</v>
      </c>
      <c r="C106" s="165">
        <f>k_insulation</f>
        <v>0.03</v>
      </c>
      <c r="D106" s="67">
        <f>B106/C106</f>
        <v>0</v>
      </c>
      <c r="E106" s="67"/>
      <c r="F106" s="67"/>
      <c r="G106" s="4">
        <v>1</v>
      </c>
      <c r="H106" s="4"/>
      <c r="I106" s="67">
        <f t="shared" si="1"/>
        <v>0</v>
      </c>
      <c r="J106" s="98"/>
    </row>
    <row r="107" spans="1:13" x14ac:dyDescent="0.3">
      <c r="A107" s="1" t="s">
        <v>36</v>
      </c>
      <c r="B107" s="8">
        <f>a_htop*u+b_htop</f>
        <v>3</v>
      </c>
      <c r="C107" s="36"/>
      <c r="D107" s="68">
        <f>1/h_top</f>
        <v>0.33333333333333331</v>
      </c>
      <c r="E107" s="151"/>
      <c r="F107" s="151"/>
      <c r="G107" s="35"/>
      <c r="H107" s="35"/>
      <c r="I107" s="32"/>
      <c r="J107" s="99"/>
      <c r="L107" t="s">
        <v>87</v>
      </c>
    </row>
    <row r="108" spans="1:13" s="111" customFormat="1" x14ac:dyDescent="0.3">
      <c r="A108" s="1" t="s">
        <v>170</v>
      </c>
      <c r="B108" s="24">
        <v>1</v>
      </c>
      <c r="C108" s="36"/>
      <c r="D108" s="68"/>
      <c r="E108" s="151"/>
      <c r="F108" s="151"/>
      <c r="G108" s="35"/>
      <c r="H108" s="35"/>
      <c r="I108" s="32"/>
      <c r="J108" s="99"/>
    </row>
    <row r="109" spans="1:13" s="85" customFormat="1" x14ac:dyDescent="0.3">
      <c r="A109" s="1" t="s">
        <v>118</v>
      </c>
      <c r="B109" s="24">
        <v>5</v>
      </c>
      <c r="C109" s="36">
        <v>3.85</v>
      </c>
      <c r="D109" s="68"/>
      <c r="E109" s="151"/>
      <c r="F109" s="151"/>
      <c r="G109" s="35"/>
      <c r="H109" s="35"/>
      <c r="I109" s="32"/>
      <c r="J109" s="99"/>
    </row>
    <row r="110" spans="1:13" s="85" customFormat="1" x14ac:dyDescent="0.3">
      <c r="A110" s="1" t="s">
        <v>117</v>
      </c>
      <c r="B110" s="24">
        <v>3</v>
      </c>
      <c r="C110" s="36">
        <v>3</v>
      </c>
      <c r="D110" s="68"/>
      <c r="E110" s="151"/>
      <c r="F110" s="151"/>
      <c r="G110" s="35"/>
      <c r="H110" s="35"/>
      <c r="I110" s="32"/>
      <c r="J110" s="99"/>
    </row>
    <row r="111" spans="1:13" x14ac:dyDescent="0.3">
      <c r="A111" s="4" t="s">
        <v>37</v>
      </c>
      <c r="B111" s="24">
        <v>3</v>
      </c>
      <c r="C111" s="36"/>
      <c r="D111" s="68">
        <f>1/h_inner</f>
        <v>0.33333333333333331</v>
      </c>
      <c r="E111" s="151"/>
      <c r="F111" s="151"/>
      <c r="G111" s="35"/>
      <c r="H111" s="35"/>
      <c r="I111" s="32"/>
      <c r="J111" s="99"/>
    </row>
    <row r="112" spans="1:13" s="85" customFormat="1" x14ac:dyDescent="0.3">
      <c r="A112" s="4" t="s">
        <v>104</v>
      </c>
      <c r="B112" s="24">
        <v>2</v>
      </c>
      <c r="C112" s="36"/>
      <c r="D112" s="68"/>
      <c r="E112" s="151"/>
      <c r="F112" s="151"/>
      <c r="G112" s="35"/>
      <c r="H112" s="35"/>
      <c r="I112" s="32"/>
      <c r="J112" s="99"/>
    </row>
    <row r="113" spans="1:12" x14ac:dyDescent="0.3">
      <c r="A113" s="37" t="s">
        <v>192</v>
      </c>
      <c r="B113" s="178">
        <f>I93+I94</f>
        <v>5.6208333333333336E-3</v>
      </c>
      <c r="C113" s="6"/>
      <c r="D113" s="38"/>
      <c r="E113" s="152"/>
      <c r="F113" s="152"/>
      <c r="G113" s="39">
        <v>1</v>
      </c>
      <c r="H113" s="39"/>
      <c r="I113" s="40">
        <v>3.3377926421404677E-2</v>
      </c>
      <c r="J113" s="100"/>
      <c r="L113" s="41"/>
    </row>
    <row r="114" spans="1:12" x14ac:dyDescent="0.3">
      <c r="A114" s="6" t="s">
        <v>191</v>
      </c>
      <c r="B114" s="178">
        <f>SUM(I96:I102)</f>
        <v>3.1958333333333339E-3</v>
      </c>
      <c r="C114" s="6"/>
      <c r="D114" s="34"/>
      <c r="E114" s="153"/>
      <c r="F114" s="153"/>
      <c r="G114" s="42">
        <v>1</v>
      </c>
      <c r="H114" s="42"/>
      <c r="I114" s="32">
        <v>1.25103093262529E-2</v>
      </c>
      <c r="J114" s="99"/>
      <c r="L114" s="41"/>
    </row>
    <row r="115" spans="1:12" x14ac:dyDescent="0.3">
      <c r="A115" s="43" t="s">
        <v>96</v>
      </c>
      <c r="B115" s="179">
        <f>I106</f>
        <v>0</v>
      </c>
      <c r="C115" s="44"/>
      <c r="D115" s="45"/>
      <c r="E115" s="45"/>
      <c r="F115" s="45"/>
      <c r="G115" s="46"/>
      <c r="H115" s="46"/>
      <c r="I115" s="47"/>
      <c r="J115" s="47"/>
    </row>
    <row r="116" spans="1:12" x14ac:dyDescent="0.3">
      <c r="A116" s="48" t="s">
        <v>92</v>
      </c>
      <c r="B116" s="180">
        <f>(l_c*k_riser)/lambd_riser</f>
        <v>0.6137999999999999</v>
      </c>
      <c r="C116" s="44"/>
      <c r="D116" s="45"/>
      <c r="E116" s="45"/>
      <c r="F116" s="45"/>
      <c r="G116" s="46" t="s">
        <v>89</v>
      </c>
      <c r="H116" s="46"/>
      <c r="I116" s="47"/>
      <c r="J116" s="47"/>
    </row>
    <row r="117" spans="1:12" x14ac:dyDescent="0.3">
      <c r="A117" s="46"/>
      <c r="B117" s="49"/>
      <c r="C117" s="49"/>
      <c r="D117" s="45"/>
      <c r="E117" s="45"/>
      <c r="F117" s="45"/>
      <c r="G117" s="46"/>
      <c r="H117" s="46"/>
      <c r="I117" s="47"/>
      <c r="J117" s="47"/>
    </row>
    <row r="118" spans="1:12" x14ac:dyDescent="0.3">
      <c r="A118" s="140">
        <v>7</v>
      </c>
      <c r="B118" s="141"/>
      <c r="C118" s="141"/>
      <c r="D118" s="141"/>
    </row>
    <row r="119" spans="1:12" x14ac:dyDescent="0.3">
      <c r="A119" s="1" t="s">
        <v>38</v>
      </c>
      <c r="B119" s="1">
        <v>10</v>
      </c>
      <c r="C119" s="50" t="s">
        <v>39</v>
      </c>
      <c r="I119" t="s">
        <v>40</v>
      </c>
    </row>
    <row r="120" spans="1:12" x14ac:dyDescent="0.3">
      <c r="A120" s="1" t="s">
        <v>41</v>
      </c>
      <c r="B120" s="93">
        <f>sigma*(T_sky^4-T_amb^4)</f>
        <v>-4.9600826081509926</v>
      </c>
      <c r="C120" s="50" t="s">
        <v>39</v>
      </c>
    </row>
    <row r="121" spans="1:12" s="85" customFormat="1" x14ac:dyDescent="0.3">
      <c r="A121" s="1" t="s">
        <v>100</v>
      </c>
      <c r="B121" s="1">
        <v>-1</v>
      </c>
      <c r="C121" s="50"/>
      <c r="E121" s="125"/>
      <c r="F121" s="125"/>
      <c r="H121" s="110"/>
    </row>
    <row r="122" spans="1:12" x14ac:dyDescent="0.3">
      <c r="A122" s="1" t="s">
        <v>42</v>
      </c>
      <c r="B122" s="1">
        <f>T_amb+coeff_G_p</f>
        <v>279.14999999999998</v>
      </c>
      <c r="C122" s="10" t="s">
        <v>43</v>
      </c>
      <c r="D122">
        <f>T_sky-273.15</f>
        <v>6</v>
      </c>
      <c r="G122" t="s">
        <v>44</v>
      </c>
      <c r="I122" t="s">
        <v>45</v>
      </c>
    </row>
    <row r="123" spans="1:12" x14ac:dyDescent="0.3">
      <c r="A123" s="1" t="s">
        <v>46</v>
      </c>
      <c r="B123" s="1">
        <f>7+273.15</f>
        <v>280.14999999999998</v>
      </c>
      <c r="C123" s="10" t="s">
        <v>43</v>
      </c>
      <c r="D123" s="69">
        <f>T_amb-273.15</f>
        <v>7</v>
      </c>
      <c r="G123" t="s">
        <v>44</v>
      </c>
    </row>
    <row r="124" spans="1:12" x14ac:dyDescent="0.3">
      <c r="A124" s="1" t="s">
        <v>47</v>
      </c>
      <c r="B124" s="1">
        <f>T_amb</f>
        <v>280.14999999999998</v>
      </c>
      <c r="C124" s="10" t="s">
        <v>43</v>
      </c>
      <c r="D124" s="69">
        <f>T_back-273.15</f>
        <v>7</v>
      </c>
      <c r="G124" t="s">
        <v>44</v>
      </c>
      <c r="K124" t="s">
        <v>48</v>
      </c>
    </row>
    <row r="125" spans="1:12" x14ac:dyDescent="0.3">
      <c r="A125" s="4" t="s">
        <v>49</v>
      </c>
      <c r="B125" s="1">
        <v>0</v>
      </c>
      <c r="C125" s="10" t="s">
        <v>50</v>
      </c>
    </row>
    <row r="126" spans="1:12" x14ac:dyDescent="0.3">
      <c r="A126" s="51" t="s">
        <v>51</v>
      </c>
      <c r="B126" s="51">
        <v>0.1</v>
      </c>
      <c r="C126" s="52" t="s">
        <v>14</v>
      </c>
      <c r="D126" s="53" t="s">
        <v>52</v>
      </c>
      <c r="E126" s="53"/>
      <c r="F126" s="53"/>
    </row>
    <row r="127" spans="1:12" x14ac:dyDescent="0.3">
      <c r="A127" s="140" t="s">
        <v>34</v>
      </c>
      <c r="B127" s="141"/>
      <c r="C127" s="141"/>
      <c r="D127" s="141"/>
    </row>
    <row r="128" spans="1:12" x14ac:dyDescent="0.3">
      <c r="A128" s="1" t="s">
        <v>53</v>
      </c>
      <c r="B128" s="1">
        <f>2+273.15</f>
        <v>275.14999999999998</v>
      </c>
      <c r="C128" s="10" t="s">
        <v>43</v>
      </c>
      <c r="D128">
        <v>19.850000000000019</v>
      </c>
      <c r="G128" t="s">
        <v>44</v>
      </c>
    </row>
    <row r="129" spans="1:15" x14ac:dyDescent="0.3">
      <c r="A129" s="54" t="s">
        <v>54</v>
      </c>
      <c r="B129" s="4">
        <v>5.6000000000000001E-2</v>
      </c>
      <c r="C129" s="10" t="s">
        <v>55</v>
      </c>
      <c r="D129" s="55">
        <v>201.6</v>
      </c>
      <c r="E129" s="55"/>
      <c r="F129" s="55"/>
      <c r="G129" s="10" t="s">
        <v>56</v>
      </c>
      <c r="H129" s="90"/>
      <c r="I129">
        <v>480</v>
      </c>
    </row>
    <row r="130" spans="1:15" x14ac:dyDescent="0.3">
      <c r="A130" s="56" t="s">
        <v>57</v>
      </c>
      <c r="B130" s="57">
        <v>4186</v>
      </c>
      <c r="C130" s="10" t="s">
        <v>58</v>
      </c>
      <c r="D130" t="s">
        <v>59</v>
      </c>
    </row>
    <row r="131" spans="1:15" x14ac:dyDescent="0.3">
      <c r="A131" s="58" t="s">
        <v>60</v>
      </c>
      <c r="B131" s="4">
        <v>0.62</v>
      </c>
      <c r="C131" s="10" t="s">
        <v>26</v>
      </c>
      <c r="D131" t="s">
        <v>61</v>
      </c>
    </row>
    <row r="132" spans="1:15" x14ac:dyDescent="0.3">
      <c r="A132" s="58" t="s">
        <v>62</v>
      </c>
      <c r="B132" s="4">
        <v>1000</v>
      </c>
      <c r="C132" s="10" t="s">
        <v>63</v>
      </c>
      <c r="D132" t="s">
        <v>64</v>
      </c>
    </row>
    <row r="133" spans="1:15" x14ac:dyDescent="0.3">
      <c r="A133" s="58" t="s">
        <v>109</v>
      </c>
      <c r="B133" s="59">
        <v>8.8999999999999995E-4</v>
      </c>
      <c r="C133" s="10" t="s">
        <v>65</v>
      </c>
      <c r="D133" t="s">
        <v>66</v>
      </c>
      <c r="G133" s="53" t="s">
        <v>52</v>
      </c>
      <c r="H133" s="53"/>
    </row>
    <row r="134" spans="1:15" x14ac:dyDescent="0.3">
      <c r="A134" s="60" t="s">
        <v>67</v>
      </c>
      <c r="B134" s="61">
        <v>3.4146341463414637E-2</v>
      </c>
      <c r="C134" s="10" t="s">
        <v>68</v>
      </c>
      <c r="D134" s="53" t="s">
        <v>52</v>
      </c>
      <c r="E134" s="53"/>
      <c r="F134" s="53"/>
    </row>
    <row r="135" spans="1:15" x14ac:dyDescent="0.3">
      <c r="A135" s="60" t="s">
        <v>69</v>
      </c>
      <c r="B135" s="61">
        <v>0.27852115041081688</v>
      </c>
      <c r="C135" s="10" t="s">
        <v>50</v>
      </c>
    </row>
    <row r="136" spans="1:15" x14ac:dyDescent="0.3">
      <c r="A136" s="62" t="s">
        <v>70</v>
      </c>
      <c r="B136" s="74">
        <f>0.034</f>
        <v>3.4000000000000002E-2</v>
      </c>
      <c r="C136" s="64" t="s">
        <v>71</v>
      </c>
      <c r="D136" t="s">
        <v>72</v>
      </c>
      <c r="G136" t="s">
        <v>73</v>
      </c>
      <c r="I136">
        <f>m_dot*60*60</f>
        <v>122.4</v>
      </c>
      <c r="J136" s="85" t="s">
        <v>56</v>
      </c>
      <c r="K136" t="s">
        <v>85</v>
      </c>
      <c r="O136" s="75" t="s">
        <v>99</v>
      </c>
    </row>
    <row r="137" spans="1:15" s="101" customFormat="1" x14ac:dyDescent="0.3">
      <c r="A137" s="103"/>
      <c r="B137" s="73">
        <f>m_dot/1000</f>
        <v>3.4E-5</v>
      </c>
      <c r="C137" s="64" t="s">
        <v>86</v>
      </c>
      <c r="E137" s="125"/>
      <c r="F137" s="125"/>
      <c r="H137" s="110"/>
      <c r="O137" s="75"/>
    </row>
    <row r="138" spans="1:15" s="101" customFormat="1" x14ac:dyDescent="0.3">
      <c r="A138" s="105" t="s">
        <v>105</v>
      </c>
      <c r="B138" s="112">
        <f>m_dot/N_harp_actual</f>
        <v>2.0606060606060607E-4</v>
      </c>
      <c r="C138" s="106" t="s">
        <v>71</v>
      </c>
      <c r="D138" s="104">
        <f>B138/rho_fluid</f>
        <v>2.0606060606060606E-7</v>
      </c>
      <c r="E138" s="104"/>
      <c r="F138" s="104"/>
      <c r="G138" s="106" t="s">
        <v>86</v>
      </c>
      <c r="H138" s="107"/>
      <c r="O138" s="75"/>
    </row>
    <row r="139" spans="1:15" s="101" customFormat="1" x14ac:dyDescent="0.3">
      <c r="A139" s="105" t="s">
        <v>107</v>
      </c>
      <c r="B139" s="109">
        <f>PI()*(D_tube/2)^2</f>
        <v>1.7795237426994028E-5</v>
      </c>
      <c r="C139" s="106" t="s">
        <v>98</v>
      </c>
      <c r="E139" s="125"/>
      <c r="F139" s="125"/>
      <c r="H139" s="110"/>
      <c r="O139" s="75"/>
    </row>
    <row r="140" spans="1:15" s="101" customFormat="1" x14ac:dyDescent="0.3">
      <c r="A140" s="105" t="s">
        <v>106</v>
      </c>
      <c r="B140" s="104">
        <f>D138/B139</f>
        <v>1.1579536766844579E-2</v>
      </c>
      <c r="C140" s="106" t="s">
        <v>50</v>
      </c>
      <c r="E140" s="125"/>
      <c r="F140" s="125"/>
      <c r="H140" s="110"/>
      <c r="O140" s="75"/>
    </row>
    <row r="141" spans="1:15" s="101" customFormat="1" x14ac:dyDescent="0.3">
      <c r="A141" s="105" t="s">
        <v>108</v>
      </c>
      <c r="B141" s="108">
        <f>(rho_fluid*B140*D_tube)/mu_fluid</f>
        <v>61.931005629415957</v>
      </c>
      <c r="C141" s="107"/>
      <c r="E141" s="125"/>
      <c r="F141" s="125"/>
      <c r="H141" s="110"/>
      <c r="O141" s="75"/>
    </row>
    <row r="142" spans="1:15" s="101" customFormat="1" x14ac:dyDescent="0.3">
      <c r="A142" s="105" t="s">
        <v>110</v>
      </c>
      <c r="B142" s="108">
        <v>7</v>
      </c>
      <c r="C142" s="107"/>
      <c r="E142" s="125"/>
      <c r="F142" s="125"/>
      <c r="H142" s="110"/>
      <c r="O142" s="75"/>
    </row>
    <row r="143" spans="1:15" s="101" customFormat="1" x14ac:dyDescent="0.3">
      <c r="A143" s="105" t="s">
        <v>112</v>
      </c>
      <c r="B143" s="108">
        <f>IF(Re&lt;2000,0.7*0.023*Re^0.8*Pr_fluid^0.4,0.023*Re^0.8*Pr_fluid^0.4)</f>
        <v>0.9514623282546133</v>
      </c>
      <c r="C143" s="107"/>
      <c r="E143" s="125"/>
      <c r="F143" s="125"/>
      <c r="H143" s="110"/>
      <c r="O143" s="75"/>
    </row>
    <row r="144" spans="1:15" s="101" customFormat="1" x14ac:dyDescent="0.3">
      <c r="A144" s="105" t="s">
        <v>111</v>
      </c>
      <c r="B144" s="108">
        <f>(k_fluid/D_tube)*Nu_fluid</f>
        <v>123.92996712560087</v>
      </c>
      <c r="C144" s="107"/>
      <c r="E144" s="125"/>
      <c r="F144" s="125"/>
      <c r="H144" s="110"/>
      <c r="O144" s="75"/>
    </row>
    <row r="146" spans="1:8" x14ac:dyDescent="0.3">
      <c r="A146" s="63" t="s">
        <v>174</v>
      </c>
      <c r="B146">
        <f>m_dot*C_p</f>
        <v>142.32400000000001</v>
      </c>
      <c r="H146"/>
    </row>
  </sheetData>
  <mergeCells count="8">
    <mergeCell ref="A127:D127"/>
    <mergeCell ref="A48:D48"/>
    <mergeCell ref="A44:D44"/>
    <mergeCell ref="A3:D3"/>
    <mergeCell ref="A7:D7"/>
    <mergeCell ref="A15:D15"/>
    <mergeCell ref="A82:D82"/>
    <mergeCell ref="A118:D118"/>
  </mergeCells>
  <dataValidations count="3">
    <dataValidation type="list" allowBlank="1" showInputMessage="1" showErrorMessage="1" sqref="B28" xr:uid="{75821DF4-A396-45E3-8D71-E46A727AF997}">
      <formula1>"harp,meander"</formula1>
    </dataValidation>
    <dataValidation type="list" allowBlank="1" showInputMessage="1" showErrorMessage="1" sqref="B29" xr:uid="{61A2D7AF-9649-4310-9A03-7AE6D6E907C2}">
      <formula1>"portrait,landscape"</formula1>
    </dataValidation>
    <dataValidation type="list" allowBlank="1" showInputMessage="1" showErrorMessage="1" sqref="B1" xr:uid="{9838AB20-C518-4934-98D2-09E3E9FDD3A9}">
      <formula1>$I$1:$I$27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C7E5-3949-4A3B-B177-11BFA0BF390D}">
  <sheetPr codeName="Feuil5"/>
  <dimension ref="A2:D37"/>
  <sheetViews>
    <sheetView showGridLines="0" topLeftCell="A13" workbookViewId="0">
      <selection activeCell="D32" sqref="D32"/>
    </sheetView>
  </sheetViews>
  <sheetFormatPr baseColWidth="10" defaultColWidth="11.44140625" defaultRowHeight="14.4" x14ac:dyDescent="0.3"/>
  <cols>
    <col min="1" max="1" width="11.5546875" style="111"/>
    <col min="2" max="2" width="22.109375" customWidth="1"/>
  </cols>
  <sheetData>
    <row r="2" spans="2:4" s="111" customFormat="1" x14ac:dyDescent="0.3">
      <c r="B2" s="77" t="s">
        <v>138</v>
      </c>
      <c r="C2" s="78">
        <f>N_meander</f>
        <v>1</v>
      </c>
      <c r="D2" s="79"/>
    </row>
    <row r="3" spans="2:4" s="111" customFormat="1" x14ac:dyDescent="0.3">
      <c r="B3" s="89" t="s">
        <v>153</v>
      </c>
      <c r="C3" s="90">
        <f>N_harp_actual</f>
        <v>165</v>
      </c>
      <c r="D3" s="114"/>
    </row>
    <row r="4" spans="2:4" s="113" customFormat="1" x14ac:dyDescent="0.3">
      <c r="B4" s="80" t="s">
        <v>189</v>
      </c>
      <c r="C4" s="121">
        <f>W*1000</f>
        <v>5.58</v>
      </c>
      <c r="D4" s="82" t="s">
        <v>90</v>
      </c>
    </row>
    <row r="5" spans="2:4" s="111" customFormat="1" x14ac:dyDescent="0.3">
      <c r="B5" s="89" t="s">
        <v>139</v>
      </c>
      <c r="C5" s="90">
        <f>L_riser</f>
        <v>1.462</v>
      </c>
      <c r="D5" s="114" t="s">
        <v>10</v>
      </c>
    </row>
    <row r="6" spans="2:4" s="111" customFormat="1" x14ac:dyDescent="0.3">
      <c r="B6" s="89" t="s">
        <v>140</v>
      </c>
      <c r="C6" s="90">
        <f>D_tube*1000</f>
        <v>4.7600000000000007</v>
      </c>
      <c r="D6" s="114" t="s">
        <v>90</v>
      </c>
    </row>
    <row r="7" spans="2:4" s="111" customFormat="1" x14ac:dyDescent="0.3">
      <c r="B7" s="89" t="s">
        <v>179</v>
      </c>
      <c r="C7" s="90">
        <f>l_B*1000</f>
        <v>5.58</v>
      </c>
      <c r="D7" s="114" t="s">
        <v>90</v>
      </c>
    </row>
    <row r="8" spans="2:4" s="113" customFormat="1" x14ac:dyDescent="0.3">
      <c r="B8" s="89" t="s">
        <v>148</v>
      </c>
      <c r="C8" s="90">
        <f>l_c*1000</f>
        <v>5.58</v>
      </c>
      <c r="D8" s="114" t="s">
        <v>90</v>
      </c>
    </row>
    <row r="9" spans="2:4" s="111" customFormat="1" x14ac:dyDescent="0.3">
      <c r="B9" s="80" t="s">
        <v>149</v>
      </c>
      <c r="C9" s="81">
        <f>iota*1000</f>
        <v>0</v>
      </c>
      <c r="D9" s="82" t="s">
        <v>90</v>
      </c>
    </row>
    <row r="10" spans="2:4" s="111" customFormat="1" x14ac:dyDescent="0.3">
      <c r="B10" s="89" t="s">
        <v>136</v>
      </c>
      <c r="C10" s="90">
        <f>air_layer*1000</f>
        <v>0</v>
      </c>
      <c r="D10" s="114" t="s">
        <v>90</v>
      </c>
    </row>
    <row r="11" spans="2:4" s="111" customFormat="1" x14ac:dyDescent="0.3">
      <c r="B11" s="80" t="s">
        <v>137</v>
      </c>
      <c r="C11" s="81">
        <f>e_insulation*1000</f>
        <v>0</v>
      </c>
      <c r="D11" s="82" t="s">
        <v>90</v>
      </c>
    </row>
    <row r="12" spans="2:4" x14ac:dyDescent="0.3">
      <c r="B12" s="77" t="s">
        <v>131</v>
      </c>
      <c r="C12" s="78">
        <f>coeff_h_top</f>
        <v>1</v>
      </c>
      <c r="D12" s="79"/>
    </row>
    <row r="13" spans="2:4" x14ac:dyDescent="0.3">
      <c r="B13" s="89" t="s">
        <v>134</v>
      </c>
      <c r="C13" s="115" t="s">
        <v>142</v>
      </c>
      <c r="D13" s="114" t="s">
        <v>147</v>
      </c>
    </row>
    <row r="14" spans="2:4" s="113" customFormat="1" x14ac:dyDescent="0.3">
      <c r="B14" s="89" t="s">
        <v>133</v>
      </c>
      <c r="C14" s="90">
        <f>a_htop</f>
        <v>5</v>
      </c>
      <c r="D14" s="114" t="s">
        <v>145</v>
      </c>
    </row>
    <row r="15" spans="2:4" x14ac:dyDescent="0.3">
      <c r="B15" s="89" t="s">
        <v>135</v>
      </c>
      <c r="C15" s="90">
        <f>coeff_h_back</f>
        <v>2</v>
      </c>
      <c r="D15" s="114"/>
    </row>
    <row r="16" spans="2:4" s="111" customFormat="1" x14ac:dyDescent="0.3">
      <c r="B16" s="77" t="s">
        <v>146</v>
      </c>
      <c r="C16" s="119" t="e">
        <f>h_fluid</f>
        <v>#REF!</v>
      </c>
      <c r="D16" s="79" t="s">
        <v>147</v>
      </c>
    </row>
    <row r="17" spans="2:4" s="113" customFormat="1" x14ac:dyDescent="0.3">
      <c r="B17" s="77" t="s">
        <v>190</v>
      </c>
      <c r="C17" s="120" t="str">
        <f>orientation</f>
        <v>portrait</v>
      </c>
      <c r="D17" s="79"/>
    </row>
    <row r="18" spans="2:4" x14ac:dyDescent="0.3">
      <c r="B18" s="80" t="s">
        <v>143</v>
      </c>
      <c r="C18" s="81">
        <f>theta</f>
        <v>45</v>
      </c>
      <c r="D18" s="82" t="s">
        <v>144</v>
      </c>
    </row>
    <row r="19" spans="2:4" s="113" customFormat="1" x14ac:dyDescent="0.3">
      <c r="B19" s="90"/>
      <c r="C19" s="90"/>
      <c r="D19" s="90"/>
    </row>
    <row r="21" spans="2:4" x14ac:dyDescent="0.3">
      <c r="B21" t="str">
        <f>Main!A93</f>
        <v>Frontsheet : verre</v>
      </c>
      <c r="C21">
        <f>Main!B93*1000</f>
        <v>2.78</v>
      </c>
      <c r="D21" t="s">
        <v>90</v>
      </c>
    </row>
    <row r="22" spans="2:4" x14ac:dyDescent="0.3">
      <c r="B22" s="113" t="str">
        <f>Main!A94</f>
        <v>EVA</v>
      </c>
      <c r="C22" s="113">
        <f>Main!B94*1000</f>
        <v>0.51500000000000001</v>
      </c>
      <c r="D22" s="113" t="s">
        <v>90</v>
      </c>
    </row>
    <row r="23" spans="2:4" x14ac:dyDescent="0.3">
      <c r="B23" s="113" t="str">
        <f>Main!A95</f>
        <v>Silicium (PV cells)</v>
      </c>
      <c r="C23" s="113">
        <f>Main!B95*1000</f>
        <v>0.15</v>
      </c>
      <c r="D23" s="113" t="s">
        <v>90</v>
      </c>
    </row>
    <row r="24" spans="2:4" x14ac:dyDescent="0.3">
      <c r="B24" s="113" t="str">
        <f>Main!A96</f>
        <v>EVA</v>
      </c>
      <c r="C24" s="113">
        <f>Main!B96*1000</f>
        <v>0.51500000000000001</v>
      </c>
      <c r="D24" s="113" t="s">
        <v>90</v>
      </c>
    </row>
    <row r="25" spans="2:4" x14ac:dyDescent="0.3">
      <c r="B25" s="113" t="str">
        <f>Main!A97</f>
        <v>Backsheet : PVDF</v>
      </c>
      <c r="C25" s="113">
        <f>Main!B97*1000</f>
        <v>3.0000000000000002E-2</v>
      </c>
      <c r="D25" s="113" t="s">
        <v>90</v>
      </c>
    </row>
    <row r="26" spans="2:4" x14ac:dyDescent="0.3">
      <c r="B26" s="113" t="str">
        <f>Main!A98</f>
        <v>Backsheet : PET</v>
      </c>
      <c r="C26" s="113">
        <f>Main!B98*1000</f>
        <v>0.27</v>
      </c>
      <c r="D26" s="113" t="s">
        <v>90</v>
      </c>
    </row>
    <row r="27" spans="2:4" x14ac:dyDescent="0.3">
      <c r="B27" s="113" t="str">
        <f>Main!A99</f>
        <v>Backsheet : Adhesive</v>
      </c>
      <c r="C27" s="113">
        <f>Main!B99*1000</f>
        <v>0</v>
      </c>
      <c r="D27" s="113" t="s">
        <v>90</v>
      </c>
    </row>
    <row r="28" spans="2:4" x14ac:dyDescent="0.3">
      <c r="B28" s="113" t="s">
        <v>181</v>
      </c>
      <c r="C28" s="113">
        <f>Main!B102*1000</f>
        <v>0</v>
      </c>
      <c r="D28" s="113" t="s">
        <v>90</v>
      </c>
    </row>
    <row r="29" spans="2:4" x14ac:dyDescent="0.3">
      <c r="B29" s="113" t="s">
        <v>180</v>
      </c>
      <c r="C29" s="113">
        <f>Main!B103*1000</f>
        <v>1.0000000000000002E-6</v>
      </c>
      <c r="D29" s="113" t="s">
        <v>90</v>
      </c>
    </row>
    <row r="30" spans="2:4" x14ac:dyDescent="0.3">
      <c r="B30" s="113" t="str">
        <f>Main!A104</f>
        <v>Tube en cuivre</v>
      </c>
      <c r="C30" s="113">
        <f>Main!B104*1000</f>
        <v>2</v>
      </c>
      <c r="D30" s="113" t="s">
        <v>90</v>
      </c>
    </row>
    <row r="31" spans="2:4" x14ac:dyDescent="0.3">
      <c r="B31" s="113" t="str">
        <f>Main!A106</f>
        <v>Isolant</v>
      </c>
      <c r="C31" s="113">
        <f>Main!B106*1000</f>
        <v>0</v>
      </c>
      <c r="D31" s="113" t="s">
        <v>90</v>
      </c>
    </row>
    <row r="32" spans="2:4" x14ac:dyDescent="0.3">
      <c r="B32" t="s">
        <v>76</v>
      </c>
      <c r="C32">
        <f>lambd_ail*1000</f>
        <v>1.5</v>
      </c>
      <c r="D32" t="s">
        <v>90</v>
      </c>
    </row>
    <row r="34" spans="2:3" x14ac:dyDescent="0.3">
      <c r="B34" s="113"/>
      <c r="C34" s="113"/>
    </row>
    <row r="37" spans="2:3" x14ac:dyDescent="0.3">
      <c r="B37" s="1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93</vt:i4>
      </vt:variant>
    </vt:vector>
  </HeadingPairs>
  <TitlesOfParts>
    <vt:vector size="95" baseType="lpstr">
      <vt:lpstr>Main</vt:lpstr>
      <vt:lpstr>Recap</vt:lpstr>
      <vt:lpstr>A_G</vt:lpstr>
      <vt:lpstr>a_htop</vt:lpstr>
      <vt:lpstr>ailette</vt:lpstr>
      <vt:lpstr>air_layer</vt:lpstr>
      <vt:lpstr>b_htop</vt:lpstr>
      <vt:lpstr>C_B</vt:lpstr>
      <vt:lpstr>C_p</vt:lpstr>
      <vt:lpstr>coeff_f1</vt:lpstr>
      <vt:lpstr>coeff_G_p</vt:lpstr>
      <vt:lpstr>coeff_h_back</vt:lpstr>
      <vt:lpstr>coeff_h_top</vt:lpstr>
      <vt:lpstr>D</vt:lpstr>
      <vt:lpstr>D_tube</vt:lpstr>
      <vt:lpstr>delta</vt:lpstr>
      <vt:lpstr>DELTA_a</vt:lpstr>
      <vt:lpstr>delta_f0</vt:lpstr>
      <vt:lpstr>delta_f1</vt:lpstr>
      <vt:lpstr>delta_f1_int</vt:lpstr>
      <vt:lpstr>delta_f2</vt:lpstr>
      <vt:lpstr>delta_f3</vt:lpstr>
      <vt:lpstr>Dext_tube</vt:lpstr>
      <vt:lpstr>e_insulation</vt:lpstr>
      <vt:lpstr>Eff_G</vt:lpstr>
      <vt:lpstr>Eff_T</vt:lpstr>
      <vt:lpstr>eps</vt:lpstr>
      <vt:lpstr>eta_nom</vt:lpstr>
      <vt:lpstr>fin_0</vt:lpstr>
      <vt:lpstr>fin_1</vt:lpstr>
      <vt:lpstr>fin_2</vt:lpstr>
      <vt:lpstr>fin_3</vt:lpstr>
      <vt:lpstr>G_p</vt:lpstr>
      <vt:lpstr>G_ref</vt:lpstr>
      <vt:lpstr>G_T0</vt:lpstr>
      <vt:lpstr>geometry</vt:lpstr>
      <vt:lpstr>h_inner</vt:lpstr>
      <vt:lpstr>h_top</vt:lpstr>
      <vt:lpstr>Heta</vt:lpstr>
      <vt:lpstr>insulated</vt:lpstr>
      <vt:lpstr>iota</vt:lpstr>
      <vt:lpstr>k_abs</vt:lpstr>
      <vt:lpstr>k_ail</vt:lpstr>
      <vt:lpstr>k_air</vt:lpstr>
      <vt:lpstr>k_fluid</vt:lpstr>
      <vt:lpstr>k_insulation</vt:lpstr>
      <vt:lpstr>k_riser</vt:lpstr>
      <vt:lpstr>L_abs</vt:lpstr>
      <vt:lpstr>L_af</vt:lpstr>
      <vt:lpstr>l_B</vt:lpstr>
      <vt:lpstr>l_c</vt:lpstr>
      <vt:lpstr>L_f0</vt:lpstr>
      <vt:lpstr>L_f1</vt:lpstr>
      <vt:lpstr>L_f2</vt:lpstr>
      <vt:lpstr>L_f3</vt:lpstr>
      <vt:lpstr>l_i</vt:lpstr>
      <vt:lpstr>L_pan</vt:lpstr>
      <vt:lpstr>L_riser</vt:lpstr>
      <vt:lpstr>lambd_abs</vt:lpstr>
      <vt:lpstr>lambd_ail</vt:lpstr>
      <vt:lpstr>lambd_riser</vt:lpstr>
      <vt:lpstr>m_dot</vt:lpstr>
      <vt:lpstr>mu_fluid</vt:lpstr>
      <vt:lpstr>N_ail</vt:lpstr>
      <vt:lpstr>N_f0</vt:lpstr>
      <vt:lpstr>N_f1</vt:lpstr>
      <vt:lpstr>N_f2</vt:lpstr>
      <vt:lpstr>N_f3</vt:lpstr>
      <vt:lpstr>N_fins_per_EP</vt:lpstr>
      <vt:lpstr>N_harp</vt:lpstr>
      <vt:lpstr>N_harp_actual</vt:lpstr>
      <vt:lpstr>N_meander</vt:lpstr>
      <vt:lpstr>Nu_fluid</vt:lpstr>
      <vt:lpstr>orientation</vt:lpstr>
      <vt:lpstr>Pr_fluid</vt:lpstr>
      <vt:lpstr>R_2</vt:lpstr>
      <vt:lpstr>R_INTER</vt:lpstr>
      <vt:lpstr>R_TOP</vt:lpstr>
      <vt:lpstr>Re</vt:lpstr>
      <vt:lpstr>rho_fluid</vt:lpstr>
      <vt:lpstr>sigma</vt:lpstr>
      <vt:lpstr>T_amb</vt:lpstr>
      <vt:lpstr>T_back</vt:lpstr>
      <vt:lpstr>T_fluid_in0</vt:lpstr>
      <vt:lpstr>T_ref</vt:lpstr>
      <vt:lpstr>T_sky</vt:lpstr>
      <vt:lpstr>tau_alpha</vt:lpstr>
      <vt:lpstr>test</vt:lpstr>
      <vt:lpstr>theta</vt:lpstr>
      <vt:lpstr>tube_conv</vt:lpstr>
      <vt:lpstr>u</vt:lpstr>
      <vt:lpstr>W</vt:lpstr>
      <vt:lpstr>w_abs</vt:lpstr>
      <vt:lpstr>w_pan</vt:lpstr>
      <vt:lpstr>X_corr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- DualSun</dc:creator>
  <cp:lastModifiedBy>valentin</cp:lastModifiedBy>
  <dcterms:created xsi:type="dcterms:W3CDTF">2021-12-29T11:02:06Z</dcterms:created>
  <dcterms:modified xsi:type="dcterms:W3CDTF">2022-06-23T15:33:35Z</dcterms:modified>
</cp:coreProperties>
</file>