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  <sheet state="visible" name="Feuille 3" sheetId="2" r:id="rId5"/>
    <sheet state="visible" name="Epsilon" sheetId="3" r:id="rId6"/>
    <sheet state="visible" name="Feuille 4" sheetId="4" r:id="rId7"/>
  </sheets>
  <definedNames/>
  <calcPr/>
</workbook>
</file>

<file path=xl/sharedStrings.xml><?xml version="1.0" encoding="utf-8"?>
<sst xmlns="http://schemas.openxmlformats.org/spreadsheetml/2006/main" count="247" uniqueCount="143">
  <si>
    <t>Masse (g)</t>
  </si>
  <si>
    <t>Poids (N)</t>
  </si>
  <si>
    <t>ym</t>
  </si>
  <si>
    <t>y_mes (m)</t>
  </si>
  <si>
    <t>Distance (mm)</t>
  </si>
  <si>
    <t>xmes (m)</t>
  </si>
  <si>
    <t>y_partie2 (m)</t>
  </si>
  <si>
    <t>Masse (kg)</t>
  </si>
  <si>
    <t>y0</t>
  </si>
  <si>
    <t>ymes (m)</t>
  </si>
  <si>
    <t>xmes (mm)</t>
  </si>
  <si>
    <t>ξ_y</t>
  </si>
  <si>
    <t>eps (l0-l)/l0</t>
  </si>
  <si>
    <t>I</t>
  </si>
  <si>
    <t>sigma</t>
  </si>
  <si>
    <t>Young</t>
  </si>
  <si>
    <t>m₀ = 0kg</t>
  </si>
  <si>
    <t>M₁ = 0,766kg</t>
  </si>
  <si>
    <t>M₂ = 1,969kg</t>
  </si>
  <si>
    <t>M₃ = 2,769kg</t>
  </si>
  <si>
    <t>x (m)</t>
  </si>
  <si>
    <t>y (m)</t>
  </si>
  <si>
    <t>DELTA 766</t>
  </si>
  <si>
    <t>DELTA 1969</t>
  </si>
  <si>
    <t>DELTA 2769</t>
  </si>
  <si>
    <t>sigma  766</t>
  </si>
  <si>
    <t>E 766</t>
  </si>
  <si>
    <t>sigma 1969</t>
  </si>
  <si>
    <t>E 1969</t>
  </si>
  <si>
    <t>sigma 2769</t>
  </si>
  <si>
    <t>E 2769</t>
  </si>
  <si>
    <t>Eps₁</t>
  </si>
  <si>
    <t>Jauge dessus</t>
  </si>
  <si>
    <t>Eps₂</t>
  </si>
  <si>
    <t>Jauge desssous</t>
  </si>
  <si>
    <t>Eps₃</t>
  </si>
  <si>
    <t>Eps₄</t>
  </si>
  <si>
    <t>Jauge dessous</t>
  </si>
  <si>
    <t>Eps₅</t>
  </si>
  <si>
    <t>Eps₆</t>
  </si>
  <si>
    <t>Eps₇</t>
  </si>
  <si>
    <t>Eps₈</t>
  </si>
  <si>
    <t xml:space="preserve">
</t>
  </si>
  <si>
    <t>TRACE EPS</t>
  </si>
  <si>
    <t>TRACE SIG</t>
  </si>
  <si>
    <t xml:space="preserve">Eps </t>
  </si>
  <si>
    <t>Calcul d'erreur</t>
  </si>
  <si>
    <t>Delta epsilon theo</t>
  </si>
  <si>
    <t>Delta epsilon exp</t>
  </si>
  <si>
    <t>E exp</t>
  </si>
  <si>
    <t>E theo</t>
  </si>
  <si>
    <t>Delta sigma</t>
  </si>
  <si>
    <t>7.72*10^5</t>
  </si>
  <si>
    <t>0.0772*10^7</t>
  </si>
  <si>
    <t>PARTIE 1 AVEC MASSE</t>
  </si>
  <si>
    <t>Deplacement (mm)</t>
  </si>
  <si>
    <t>Deplacement_masse  (m)</t>
  </si>
  <si>
    <t>Position (mm)</t>
  </si>
  <si>
    <t>Position (m)</t>
  </si>
  <si>
    <t>Position complète</t>
  </si>
  <si>
    <t>h/2 (m)</t>
  </si>
  <si>
    <t>PARTIE 1 SANS MASSE</t>
  </si>
  <si>
    <t>Deplacement_vide (mm)</t>
  </si>
  <si>
    <t>Deplacement_vide (m)</t>
  </si>
  <si>
    <t>Position_vide (m)</t>
  </si>
  <si>
    <t>Young_test</t>
  </si>
  <si>
    <t>sigma_test</t>
  </si>
  <si>
    <t>déformation (l - l0)</t>
  </si>
  <si>
    <t>Eps theorique</t>
  </si>
  <si>
    <t>E theorique</t>
  </si>
  <si>
    <t>EPS exp</t>
  </si>
  <si>
    <t>Young exp</t>
  </si>
  <si>
    <t>Young h+</t>
  </si>
  <si>
    <t>Young h-</t>
  </si>
  <si>
    <t>young h+</t>
  </si>
  <si>
    <t>young h-</t>
  </si>
  <si>
    <t>m1</t>
  </si>
  <si>
    <t>m2</t>
  </si>
  <si>
    <t>-1,49m</t>
  </si>
  <si>
    <t>-1,83m</t>
  </si>
  <si>
    <t>-1,96m</t>
  </si>
  <si>
    <t>m3</t>
  </si>
  <si>
    <t>-1,91m</t>
  </si>
  <si>
    <t>-1,77m</t>
  </si>
  <si>
    <t>-1,56m</t>
  </si>
  <si>
    <t>-1,41m</t>
  </si>
  <si>
    <t>x = 0.53</t>
  </si>
  <si>
    <t>x = 0.43</t>
  </si>
  <si>
    <t>x = 0,43</t>
  </si>
  <si>
    <t>-824µ</t>
  </si>
  <si>
    <t>-927µ</t>
  </si>
  <si>
    <t>-1,09m</t>
  </si>
  <si>
    <t>-1,19m</t>
  </si>
  <si>
    <t>-1,95m</t>
  </si>
  <si>
    <t>-1,84m</t>
  </si>
  <si>
    <t>-1,67m</t>
  </si>
  <si>
    <t>-1,33m</t>
  </si>
  <si>
    <t>-1,4m</t>
  </si>
  <si>
    <t>-1,51m</t>
  </si>
  <si>
    <t>-1,58m</t>
  </si>
  <si>
    <t>-2,51m</t>
  </si>
  <si>
    <t>-2,44m</t>
  </si>
  <si>
    <t>-2,33m</t>
  </si>
  <si>
    <t>-2,25m</t>
  </si>
  <si>
    <t>sigma = -M(x)*y/I</t>
  </si>
  <si>
    <t>y</t>
  </si>
  <si>
    <t>b</t>
  </si>
  <si>
    <t>E Théorique</t>
  </si>
  <si>
    <t>E opti</t>
  </si>
  <si>
    <t>Déplacement théorique</t>
  </si>
  <si>
    <t>M(x) x[0, L/2]</t>
  </si>
  <si>
    <t>M(x)  x[L/2; L]</t>
  </si>
  <si>
    <t>Y = h+</t>
  </si>
  <si>
    <t>inertie</t>
  </si>
  <si>
    <t xml:space="preserve">g
</t>
  </si>
  <si>
    <t>m=0</t>
  </si>
  <si>
    <t xml:space="preserve">x (m)
</t>
  </si>
  <si>
    <t>deltaEps 0,766</t>
  </si>
  <si>
    <t>deltaEps 1,969</t>
  </si>
  <si>
    <t>deltaEps 2769</t>
  </si>
  <si>
    <t>sigma 0,766</t>
  </si>
  <si>
    <t>sigma 1,969</t>
  </si>
  <si>
    <t>sigma 2,769</t>
  </si>
  <si>
    <t>E 0,766</t>
  </si>
  <si>
    <t>E 1,969</t>
  </si>
  <si>
    <t>E 2,769</t>
  </si>
  <si>
    <t>Y = h-</t>
  </si>
  <si>
    <t>Position x (m)</t>
  </si>
  <si>
    <t>Y</t>
  </si>
  <si>
    <t>0,766 kg</t>
  </si>
  <si>
    <t>1,969 kg</t>
  </si>
  <si>
    <t>2,769 kg</t>
  </si>
  <si>
    <t>sigma 0,766kg</t>
  </si>
  <si>
    <t>sigma 1,969kg</t>
  </si>
  <si>
    <t>sigma 2,769kg</t>
  </si>
  <si>
    <t>E (GPa) - 0,766kg</t>
  </si>
  <si>
    <t>E (GPa) - 1,969kg</t>
  </si>
  <si>
    <t>E (GPa) - 2,769 kg</t>
  </si>
  <si>
    <t>ymes (mm)</t>
  </si>
  <si>
    <t>E</t>
  </si>
  <si>
    <t>yth faux</t>
  </si>
  <si>
    <t>ξ_yth</t>
  </si>
  <si>
    <t>ym-yth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</si>
</sst>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000000"/>
      <name val="Calibri"/>
    </font>
    <font>
      <color theme="1"/>
      <name val="Calibri"/>
    </font>
    <font>
      <sz val="10.0"/>
      <color theme="1"/>
      <name val="Arial"/>
    </font>
    <font>
      <sz val="10.0"/>
      <color rgb="FF000000"/>
      <name val="Helvetica Neue"/>
    </font>
    <font>
      <sz val="11.0"/>
      <color rgb="FF7E3794"/>
      <name val="Inconsolata"/>
    </font>
    <font>
      <color rgb="FFFF0000"/>
      <name val="Calibri"/>
    </font>
    <font>
      <color theme="1"/>
      <name val="Arial"/>
    </font>
    <font>
      <color rgb="FFE69138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0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2" fillId="3" fontId="2" numFmtId="0" xfId="0" applyBorder="1" applyFill="1" applyFont="1"/>
    <xf borderId="2" fillId="0" fontId="2" numFmtId="0" xfId="0" applyBorder="1" applyFont="1"/>
    <xf borderId="2" fillId="2" fontId="2" numFmtId="0" xfId="0" applyBorder="1" applyFont="1"/>
    <xf borderId="2" fillId="2" fontId="2" numFmtId="0" xfId="0" applyAlignment="1" applyBorder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3" fillId="2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4" fillId="0" fontId="2" numFmtId="0" xfId="0" applyBorder="1" applyFont="1"/>
    <xf borderId="5" fillId="0" fontId="4" numFmtId="0" xfId="0" applyAlignment="1" applyBorder="1" applyFont="1">
      <alignment readingOrder="0" shrinkToFit="0" vertical="top" wrapText="1"/>
    </xf>
    <xf borderId="0" fillId="3" fontId="5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2" fillId="3" fontId="2" numFmtId="0" xfId="0" applyAlignment="1" applyBorder="1" applyFont="1">
      <alignment readingOrder="0"/>
    </xf>
    <xf borderId="2" fillId="2" fontId="2" numFmtId="0" xfId="0" applyAlignment="1" applyBorder="1" applyFont="1">
      <alignment readingOrder="0" vertical="bottom"/>
    </xf>
    <xf borderId="0" fillId="2" fontId="2" numFmtId="0" xfId="0" applyAlignment="1" applyFont="1">
      <alignment readingOrder="0" vertical="bottom"/>
    </xf>
    <xf borderId="2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10" xfId="0" applyAlignment="1" applyFont="1" applyNumberFormat="1">
      <alignment shrinkToFit="0" vertical="bottom" wrapText="0"/>
    </xf>
    <xf borderId="3" fillId="3" fontId="2" numFmtId="0" xfId="0" applyAlignment="1" applyBorder="1" applyFont="1">
      <alignment readingOrder="0"/>
    </xf>
    <xf borderId="4" fillId="3" fontId="2" numFmtId="0" xfId="0" applyBorder="1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vertical="bottom"/>
    </xf>
    <xf borderId="0" fillId="0" fontId="8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Courbure de la demi-poutre avec une masse m=712,2g au centre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8"/>
            <c:spPr>
              <a:solidFill>
                <a:srgbClr val="004586"/>
              </a:solidFill>
              <a:ln cmpd="sng">
                <a:solidFill>
                  <a:srgbClr val="004586"/>
                </a:solidFill>
              </a:ln>
            </c:spPr>
          </c:marker>
          <c:xVal>
            <c:numRef>
              <c:f>Feuille1!$E$2:$E$34</c:f>
            </c:numRef>
          </c:xVal>
          <c:yVal>
            <c:numRef>
              <c:f>Feuille1!$C$2:$C$34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820729"/>
        <c:axId val="413027071"/>
      </c:scatterChart>
      <c:valAx>
        <c:axId val="193282072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Position x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413027071"/>
      </c:valAx>
      <c:valAx>
        <c:axId val="4130270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Position y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932820729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Courbe de la demi-poutre sans chargement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8"/>
            <c:spPr>
              <a:solidFill>
                <a:srgbClr val="004586"/>
              </a:solidFill>
              <a:ln cmpd="sng">
                <a:solidFill>
                  <a:srgbClr val="004586"/>
                </a:solidFill>
              </a:ln>
            </c:spPr>
          </c:marker>
          <c:xVal>
            <c:numRef>
              <c:f>Feuille1!$N$2:$N$34</c:f>
            </c:numRef>
          </c:xVal>
          <c:yVal>
            <c:numRef>
              <c:f>Feuille1!$L$2:$L$34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36736"/>
        <c:axId val="1783323994"/>
      </c:scatterChart>
      <c:valAx>
        <c:axId val="1670367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Position x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783323994"/>
      </c:valAx>
      <c:valAx>
        <c:axId val="17833239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Position y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670367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0357538523517"/>
          <c:y val="0.0362994706327199"/>
          <c:w val="0.7588881055494011"/>
          <c:h val="0.915721367952273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Feuille1!$N$2:$N$34</c:f>
            </c:numRef>
          </c:xVal>
          <c:yVal>
            <c:numRef>
              <c:f>Feuille1!$S$2:$S$34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14623"/>
        <c:axId val="1894679010"/>
      </c:scatterChart>
      <c:valAx>
        <c:axId val="5898146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894679010"/>
      </c:valAx>
      <c:valAx>
        <c:axId val="18946790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589814623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TRACE SIG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Feuille1!$AD$12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circle"/>
            <c:size val="10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/>
            <c:spPr>
              <a:ln w="19050">
                <a:solidFill>
                  <a:srgbClr val="FF0000">
                    <a:alpha val="40000"/>
                  </a:srgbClr>
                </a:solidFill>
              </a:ln>
            </c:spPr>
            <c:trendlineType val="linear"/>
            <c:dispRSqr val="0"/>
            <c:dispEq val="1"/>
          </c:trendline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Feuille1!$AC$13:$AC$16</c:f>
            </c:strRef>
          </c:cat>
          <c:val>
            <c:numRef>
              <c:f>Feuille1!$AD$13:$AD$16</c:f>
              <c:numCache/>
            </c:numRef>
          </c:val>
          <c:smooth val="0"/>
        </c:ser>
        <c:axId val="159362141"/>
        <c:axId val="1828591400"/>
      </c:lineChart>
      <c:catAx>
        <c:axId val="1593621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8591400"/>
      </c:catAx>
      <c:valAx>
        <c:axId val="18285914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TRACE SIG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3621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TRACE SIG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Feuille1!$AD$12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Feuille1!$AC$13:$AC$16</c:f>
            </c:numRef>
          </c:xVal>
          <c:yVal>
            <c:numRef>
              <c:f>Feuille1!$AD$13:$AD$16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332695"/>
        <c:axId val="1145032602"/>
      </c:scatterChart>
      <c:valAx>
        <c:axId val="13373326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5032602"/>
      </c:valAx>
      <c:valAx>
        <c:axId val="11450326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TRACE SIG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73326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Courbure de la poutre avec et sans chargement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Feuille1!$C$1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circle"/>
            <c:size val="2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errBars>
            <c:errDir val="y"/>
            <c:errBarType val="both"/>
            <c:errValType val="fixedVal"/>
            <c:noEndCap val="0"/>
            <c:val val="0.2"/>
          </c:errBars>
          <c:cat>
            <c:strRef>
              <c:f>Feuille1!$G$2:$G$34</c:f>
            </c:strRef>
          </c:cat>
          <c:val>
            <c:numRef>
              <c:f>Feuille1!$C$2:$C$34</c:f>
              <c:numCache/>
            </c:numRef>
          </c:val>
          <c:smooth val="0"/>
        </c:ser>
        <c:ser>
          <c:idx val="1"/>
          <c:order val="1"/>
          <c:tx>
            <c:strRef>
              <c:f>Feuille1!$L$1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circle"/>
            <c:size val="2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errBars>
            <c:errDir val="y"/>
            <c:errBarType val="both"/>
            <c:errValType val="fixedVal"/>
            <c:noEndCap val="0"/>
            <c:val val="0.2"/>
          </c:errBars>
          <c:cat>
            <c:strRef>
              <c:f>Feuille1!$G$2:$G$34</c:f>
            </c:strRef>
          </c:cat>
          <c:val>
            <c:numRef>
              <c:f>Feuille1!$L$2:$L$34</c:f>
              <c:numCache/>
            </c:numRef>
          </c:val>
          <c:smooth val="0"/>
        </c:ser>
        <c:ser>
          <c:idx val="2"/>
          <c:order val="2"/>
          <c:tx>
            <c:strRef>
              <c:f>Feuille1!$S$1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circle"/>
            <c:size val="2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errBars>
            <c:errDir val="y"/>
            <c:errBarType val="both"/>
            <c:errValType val="fixedVal"/>
            <c:noEndCap val="0"/>
            <c:val val="0.2"/>
          </c:errBars>
          <c:cat>
            <c:strRef>
              <c:f>Feuille1!$G$2:$G$34</c:f>
            </c:strRef>
          </c:cat>
          <c:val>
            <c:numRef>
              <c:f>Feuille1!$S$2:$S$34</c:f>
              <c:numCache/>
            </c:numRef>
          </c:val>
          <c:smooth val="0"/>
        </c:ser>
        <c:axId val="1733059323"/>
        <c:axId val="1570909664"/>
      </c:lineChart>
      <c:catAx>
        <c:axId val="17330593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570909664"/>
      </c:catAx>
      <c:valAx>
        <c:axId val="15709096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3059323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Evolution du moment fléchissant en fonction de la position x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3'!$I$37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'Feuille 3'!$K$2:$K$65</c:f>
            </c:strRef>
          </c:cat>
          <c:val>
            <c:numRef>
              <c:f>'Feuille 3'!$I$38:$I$102</c:f>
              <c:numCache/>
            </c:numRef>
          </c:val>
          <c:smooth val="0"/>
        </c:ser>
        <c:axId val="2036075961"/>
        <c:axId val="253350400"/>
      </c:lineChart>
      <c:catAx>
        <c:axId val="20360759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Position sur la règle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3350400"/>
      </c:catAx>
      <c:valAx>
        <c:axId val="2533504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Moment Fléchissant M(x) (N.m)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60759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Comparaison courbure de la poutre théorique/expérimentale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'Feuille 4'!$N$1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circle"/>
            <c:size val="2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errBars>
            <c:errDir val="y"/>
            <c:errBarType val="both"/>
            <c:errValType val="fixedVal"/>
            <c:noEndCap val="0"/>
            <c:val val="0.2"/>
          </c:errBars>
          <c:cat>
            <c:strRef>
              <c:f>'Feuille 4'!$F$2:$F$34</c:f>
            </c:strRef>
          </c:cat>
          <c:val>
            <c:numRef>
              <c:f>'Feuille 4'!$N$2:$N$34</c:f>
              <c:numCache/>
            </c:numRef>
          </c:val>
          <c:smooth val="0"/>
        </c:ser>
        <c:ser>
          <c:idx val="1"/>
          <c:order val="1"/>
          <c:tx>
            <c:strRef>
              <c:f>'Feuille 4'!$O$1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circle"/>
            <c:size val="2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2.0"/>
          </c:errBars>
          <c:cat>
            <c:strRef>
              <c:f>'Feuille 4'!$F$2:$F$34</c:f>
            </c:strRef>
          </c:cat>
          <c:val>
            <c:numRef>
              <c:f>'Feuille 4'!$O$2:$O$34</c:f>
              <c:numCache/>
            </c:numRef>
          </c:val>
          <c:smooth val="0"/>
        </c:ser>
        <c:axId val="1364085683"/>
        <c:axId val="1064899228"/>
      </c:lineChart>
      <c:catAx>
        <c:axId val="13640856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4899228"/>
      </c:catAx>
      <c:valAx>
        <c:axId val="10648992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4085683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ym - y0, yth et ym-yth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'Feuille 4'!$P$1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circle"/>
            <c:size val="3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cat>
            <c:strRef>
              <c:f>'Feuille 4'!$F$2:$F$49</c:f>
            </c:strRef>
          </c:cat>
          <c:val>
            <c:numRef>
              <c:f>'Feuille 4'!$P$2:$P$39</c:f>
              <c:numCache/>
            </c:numRef>
          </c:val>
          <c:smooth val="0"/>
        </c:ser>
        <c:axId val="767054974"/>
        <c:axId val="59148673"/>
      </c:lineChart>
      <c:catAx>
        <c:axId val="7670549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yth faux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148673"/>
      </c:catAx>
      <c:valAx>
        <c:axId val="591486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70549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Courbure relative de la poutre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'Feuille 4'!$N$1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'Feuille 4'!$F$2:$F$34</c:f>
            </c:strRef>
          </c:cat>
          <c:val>
            <c:numRef>
              <c:f>'Feuille 4'!$N$2:$N$34</c:f>
              <c:numCache/>
            </c:numRef>
          </c:val>
          <c:smooth val="0"/>
        </c:ser>
        <c:axId val="566056186"/>
        <c:axId val="1797393698"/>
      </c:lineChart>
      <c:catAx>
        <c:axId val="5660561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7393698"/>
      </c:catAx>
      <c:valAx>
        <c:axId val="17973936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6056186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36</xdr:row>
      <xdr:rowOff>133350</xdr:rowOff>
    </xdr:from>
    <xdr:ext cx="7210425" cy="4514850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600075</xdr:colOff>
      <xdr:row>36</xdr:row>
      <xdr:rowOff>76200</xdr:rowOff>
    </xdr:from>
    <xdr:ext cx="7115175" cy="46767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638175</xdr:colOff>
      <xdr:row>37</xdr:row>
      <xdr:rowOff>47625</xdr:rowOff>
    </xdr:from>
    <xdr:ext cx="6762750" cy="42672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24</xdr:col>
      <xdr:colOff>133350</xdr:colOff>
      <xdr:row>24</xdr:row>
      <xdr:rowOff>114300</xdr:rowOff>
    </xdr:from>
    <xdr:ext cx="5715000" cy="3533775"/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21</xdr:col>
      <xdr:colOff>0</xdr:colOff>
      <xdr:row>19</xdr:row>
      <xdr:rowOff>66675</xdr:rowOff>
    </xdr:from>
    <xdr:ext cx="5715000" cy="3533775"/>
    <xdr:graphicFrame>
      <xdr:nvGraphicFramePr>
        <xdr:cNvPr id="5" name="Chart 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</xdr:col>
      <xdr:colOff>1028700</xdr:colOff>
      <xdr:row>19</xdr:row>
      <xdr:rowOff>66675</xdr:rowOff>
    </xdr:from>
    <xdr:ext cx="10639425" cy="6581775"/>
    <xdr:graphicFrame>
      <xdr:nvGraphicFramePr>
        <xdr:cNvPr id="6" name="Chart 6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114300</xdr:colOff>
      <xdr:row>34</xdr:row>
      <xdr:rowOff>95250</xdr:rowOff>
    </xdr:from>
    <xdr:ext cx="5715000" cy="3533775"/>
    <xdr:graphicFrame>
      <xdr:nvGraphicFramePr>
        <xdr:cNvPr id="7" name="Chart 7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495300</xdr:colOff>
      <xdr:row>39</xdr:row>
      <xdr:rowOff>142875</xdr:rowOff>
    </xdr:from>
    <xdr:ext cx="9991725" cy="6181725"/>
    <xdr:graphicFrame>
      <xdr:nvGraphicFramePr>
        <xdr:cNvPr id="8" name="Chart 8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923925</xdr:colOff>
      <xdr:row>0</xdr:row>
      <xdr:rowOff>95250</xdr:rowOff>
    </xdr:from>
    <xdr:ext cx="5715000" cy="3533775"/>
    <xdr:graphicFrame>
      <xdr:nvGraphicFramePr>
        <xdr:cNvPr id="9" name="Chart 9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152400</xdr:colOff>
      <xdr:row>8</xdr:row>
      <xdr:rowOff>85725</xdr:rowOff>
    </xdr:from>
    <xdr:ext cx="8210550" cy="5076825"/>
    <xdr:graphicFrame>
      <xdr:nvGraphicFramePr>
        <xdr:cNvPr id="10" name="Chart 10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4" width="15.57"/>
    <col customWidth="1" min="5" max="5" width="13.57"/>
    <col customWidth="1" min="6" max="13" width="11.57"/>
    <col customWidth="1" min="14" max="14" width="13.57"/>
    <col customWidth="1" min="15" max="16" width="11.57"/>
    <col customWidth="1" min="17" max="19" width="15.0"/>
    <col customWidth="1" min="20" max="20" width="11.57"/>
    <col customWidth="1" min="21" max="21" width="15.14"/>
    <col customWidth="1" min="22" max="26" width="11.57"/>
    <col customWidth="1" min="27" max="27" width="12.57"/>
    <col customWidth="1" min="28" max="28" width="11.57"/>
    <col customWidth="1" min="29" max="29" width="12.57"/>
    <col customWidth="1" min="30" max="42" width="11.57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 t="s">
        <v>5</v>
      </c>
      <c r="H1" s="6" t="s">
        <v>5</v>
      </c>
      <c r="I1" s="8" t="s">
        <v>6</v>
      </c>
      <c r="J1" s="9" t="s">
        <v>7</v>
      </c>
      <c r="K1" s="9" t="s">
        <v>1</v>
      </c>
      <c r="L1" s="10" t="s">
        <v>8</v>
      </c>
      <c r="M1" s="11" t="s">
        <v>9</v>
      </c>
      <c r="N1" s="9" t="s">
        <v>10</v>
      </c>
      <c r="P1" s="11" t="s">
        <v>5</v>
      </c>
      <c r="S1" s="12" t="s">
        <v>11</v>
      </c>
      <c r="T1" s="13" t="s">
        <v>12</v>
      </c>
      <c r="U1" s="11" t="s">
        <v>13</v>
      </c>
      <c r="V1" s="14" t="s">
        <v>14</v>
      </c>
      <c r="W1" s="14" t="s">
        <v>15</v>
      </c>
      <c r="Z1" s="9" t="s">
        <v>16</v>
      </c>
      <c r="AA1" s="9" t="s">
        <v>17</v>
      </c>
      <c r="AB1" s="9" t="s">
        <v>18</v>
      </c>
      <c r="AC1" s="9" t="s">
        <v>19</v>
      </c>
      <c r="AD1" s="9" t="s">
        <v>20</v>
      </c>
      <c r="AE1" s="10" t="s">
        <v>21</v>
      </c>
      <c r="AF1" s="10" t="s">
        <v>22</v>
      </c>
      <c r="AG1" s="10" t="s">
        <v>23</v>
      </c>
      <c r="AH1" s="10" t="s">
        <v>24</v>
      </c>
      <c r="AJ1" s="10" t="s">
        <v>25</v>
      </c>
      <c r="AK1" s="15" t="s">
        <v>26</v>
      </c>
      <c r="AL1" s="10" t="s">
        <v>27</v>
      </c>
      <c r="AM1" s="15" t="s">
        <v>28</v>
      </c>
      <c r="AN1" s="10" t="s">
        <v>29</v>
      </c>
      <c r="AO1" s="15" t="s">
        <v>30</v>
      </c>
    </row>
    <row r="2" ht="12.75" customHeight="1">
      <c r="A2" s="16">
        <f t="shared" ref="A2:A34" si="4">712.2</f>
        <v>712.2</v>
      </c>
      <c r="B2" s="6">
        <f t="shared" ref="B2:B34" si="5">-(A2/1000)*9.81</f>
        <v>-6.986682</v>
      </c>
      <c r="C2" s="6">
        <v>1.45</v>
      </c>
      <c r="D2" s="6">
        <f t="shared" ref="D2:D34" si="6">C2/1000</f>
        <v>0.00145</v>
      </c>
      <c r="E2" s="6">
        <v>640.0</v>
      </c>
      <c r="F2" s="6">
        <v>640.0</v>
      </c>
      <c r="G2" s="6">
        <f t="shared" ref="G2:H2" si="1">E2/1000</f>
        <v>0.64</v>
      </c>
      <c r="H2" s="6">
        <f t="shared" si="1"/>
        <v>0.64</v>
      </c>
      <c r="I2" s="17">
        <v>0.003</v>
      </c>
      <c r="J2" s="9">
        <f t="shared" ref="J2:K2" si="2">0</f>
        <v>0</v>
      </c>
      <c r="K2" s="9">
        <f t="shared" si="2"/>
        <v>0</v>
      </c>
      <c r="L2" s="9">
        <v>9.5</v>
      </c>
      <c r="M2" s="9">
        <f t="shared" ref="M2:M34" si="9">L2/1000</f>
        <v>0.0095</v>
      </c>
      <c r="N2" s="9">
        <v>640.0</v>
      </c>
      <c r="O2" s="9">
        <v>640.0</v>
      </c>
      <c r="P2" s="9">
        <f t="shared" ref="P2:Q2" si="3">N2/1000</f>
        <v>0.64</v>
      </c>
      <c r="Q2" s="9">
        <f t="shared" si="3"/>
        <v>0.64</v>
      </c>
      <c r="S2" s="9">
        <f t="shared" ref="S2:S34" si="11">(D2 - M2)*1000</f>
        <v>-8.05</v>
      </c>
      <c r="T2" s="9">
        <f t="shared" ref="T2:T34" si="12">S2/M2</f>
        <v>-847.3684211</v>
      </c>
      <c r="U2" s="9">
        <f t="shared" ref="U2:U33" si="13"> ((0.019)*((0.0064)^3))/12</f>
        <v>0.0000000004150613333</v>
      </c>
      <c r="V2" s="9">
        <f t="shared" ref="V2:V33" si="14"> -((B2*G2/2)*D2)/U2</f>
        <v>7810461.22</v>
      </c>
      <c r="W2" s="9">
        <f t="shared" ref="W2:W33" si="15"> (V2)/T2</f>
        <v>-9217.314483</v>
      </c>
      <c r="Y2" s="9" t="s">
        <v>31</v>
      </c>
      <c r="Z2" s="10">
        <f>-697/(1000000)</f>
        <v>-0.000697</v>
      </c>
      <c r="AA2" s="10">
        <f>-862/(1000000)</f>
        <v>-0.000862</v>
      </c>
      <c r="AB2" s="9">
        <f>-1.12/1000</f>
        <v>-0.00112</v>
      </c>
      <c r="AC2" s="9">
        <f>-1.29/1000</f>
        <v>-0.00129</v>
      </c>
      <c r="AD2" s="9">
        <v>0.53</v>
      </c>
      <c r="AE2" s="10">
        <f t="shared" ref="AE2:AE9" si="16">0.0032
</f>
        <v>0.0032</v>
      </c>
      <c r="AF2" s="9">
        <f t="shared" ref="AF2:AF9" si="17">AA2-Z2</f>
        <v>-0.000165</v>
      </c>
      <c r="AG2" s="9">
        <f t="shared" ref="AG2:AG9" si="18">AB2-Z2</f>
        <v>-0.000423</v>
      </c>
      <c r="AH2" s="9">
        <f t="shared" ref="AH2:AH9" si="19">AC2-Z2</f>
        <v>-0.000593</v>
      </c>
      <c r="AI2" s="10" t="s">
        <v>32</v>
      </c>
      <c r="AJ2" s="9">
        <f>-9.81*0.53*0.0032*0.766/(2*0.0000000004150613333)</f>
        <v>-15352579.41</v>
      </c>
      <c r="AK2" s="6">
        <f t="shared" ref="AK2:AK9" si="20">AJ2/AF2/(10^9)</f>
        <v>93.04593583</v>
      </c>
      <c r="AL2" s="9">
        <f>-9.81*0.53*0.0032*1.969/(2*0.0000000004150613333)</f>
        <v>-39463745.25</v>
      </c>
      <c r="AM2" s="6">
        <f t="shared" ref="AM2:AM9" si="21">AL2/AG2/(10^9)</f>
        <v>93.29490603</v>
      </c>
      <c r="AN2" s="9">
        <f>-9.81*0.53*0.0032*2.769/(2*0.0000000004150613333)</f>
        <v>-55497770.74</v>
      </c>
      <c r="AO2" s="6">
        <f t="shared" ref="AO2:AO9" si="22">AN2/AH2/(10^9)</f>
        <v>93.58814628</v>
      </c>
    </row>
    <row r="3" ht="12.75" customHeight="1">
      <c r="A3" s="16">
        <f t="shared" si="4"/>
        <v>712.2</v>
      </c>
      <c r="B3" s="6">
        <f t="shared" si="5"/>
        <v>-6.986682</v>
      </c>
      <c r="C3" s="6">
        <v>1.55</v>
      </c>
      <c r="D3" s="6">
        <f t="shared" si="6"/>
        <v>0.00155</v>
      </c>
      <c r="E3" s="6">
        <f t="shared" ref="E3:E34" si="23">E2-20</f>
        <v>620</v>
      </c>
      <c r="F3" s="6">
        <f t="shared" ref="F3:F34" si="24">F2+20</f>
        <v>660</v>
      </c>
      <c r="G3" s="6">
        <f t="shared" ref="G3:H3" si="7">E3/1000</f>
        <v>0.62</v>
      </c>
      <c r="H3" s="6">
        <f t="shared" si="7"/>
        <v>0.66</v>
      </c>
      <c r="I3" s="17">
        <v>0.003</v>
      </c>
      <c r="J3" s="9">
        <f t="shared" ref="J3:K3" si="8">0</f>
        <v>0</v>
      </c>
      <c r="K3" s="9">
        <f t="shared" si="8"/>
        <v>0</v>
      </c>
      <c r="L3" s="9">
        <v>9.6</v>
      </c>
      <c r="M3" s="9">
        <f t="shared" si="9"/>
        <v>0.0096</v>
      </c>
      <c r="N3" s="9">
        <f t="shared" ref="N3:N34" si="27">N2-20</f>
        <v>620</v>
      </c>
      <c r="O3" s="9">
        <f t="shared" ref="O3:O34" si="28">O2+20</f>
        <v>660</v>
      </c>
      <c r="P3" s="9">
        <f t="shared" ref="P3:Q3" si="10">N3/1000</f>
        <v>0.62</v>
      </c>
      <c r="Q3" s="9">
        <f t="shared" si="10"/>
        <v>0.66</v>
      </c>
      <c r="S3" s="9">
        <f t="shared" si="11"/>
        <v>-8.05</v>
      </c>
      <c r="T3" s="9">
        <f t="shared" si="12"/>
        <v>-838.5416667</v>
      </c>
      <c r="U3" s="9">
        <f t="shared" si="13"/>
        <v>0.0000000004150613333</v>
      </c>
      <c r="V3" s="9">
        <f t="shared" si="14"/>
        <v>8088203.914</v>
      </c>
      <c r="W3" s="9">
        <f t="shared" si="15"/>
        <v>-9645.559948</v>
      </c>
      <c r="Y3" s="9" t="s">
        <v>33</v>
      </c>
      <c r="Z3" s="9">
        <f>-1.23/1000</f>
        <v>-0.00123</v>
      </c>
      <c r="AA3" s="9">
        <f>-1.06/1000</f>
        <v>-0.00106</v>
      </c>
      <c r="AB3" s="9">
        <f>-797/1000000
</f>
        <v>-0.000797</v>
      </c>
      <c r="AC3" s="9">
        <f>-624/1000000</f>
        <v>-0.000624</v>
      </c>
      <c r="AD3" s="9">
        <v>0.53</v>
      </c>
      <c r="AE3" s="10">
        <f t="shared" si="16"/>
        <v>0.0032</v>
      </c>
      <c r="AF3" s="9">
        <f t="shared" si="17"/>
        <v>0.00017</v>
      </c>
      <c r="AG3" s="9">
        <f t="shared" si="18"/>
        <v>0.000433</v>
      </c>
      <c r="AH3" s="9">
        <f t="shared" si="19"/>
        <v>0.000606</v>
      </c>
      <c r="AI3" s="10" t="s">
        <v>34</v>
      </c>
      <c r="AJ3" s="9">
        <f>-9.81*0.53*-0.0032*0.766/(2*0.0000000004150613333)</f>
        <v>15352579.41</v>
      </c>
      <c r="AK3" s="6">
        <f t="shared" si="20"/>
        <v>90.30929065</v>
      </c>
      <c r="AL3" s="9">
        <f>-9.81*0.53*-0.0032*1.969/(2*0.0000000004150613333)</f>
        <v>39463745.25</v>
      </c>
      <c r="AM3" s="6">
        <f t="shared" si="21"/>
        <v>91.14028926</v>
      </c>
      <c r="AN3" s="9">
        <f>-9.81*0.53*-0.0032*2.769/(2*0.0000000004150613333)</f>
        <v>55497770.74</v>
      </c>
      <c r="AO3" s="6">
        <f t="shared" si="22"/>
        <v>91.58047977</v>
      </c>
    </row>
    <row r="4" ht="12.75" customHeight="1">
      <c r="A4" s="16">
        <f t="shared" si="4"/>
        <v>712.2</v>
      </c>
      <c r="B4" s="6">
        <f t="shared" si="5"/>
        <v>-6.986682</v>
      </c>
      <c r="C4" s="6">
        <v>1.7</v>
      </c>
      <c r="D4" s="6">
        <f t="shared" si="6"/>
        <v>0.0017</v>
      </c>
      <c r="E4" s="6">
        <f t="shared" si="23"/>
        <v>600</v>
      </c>
      <c r="F4" s="6">
        <f t="shared" si="24"/>
        <v>680</v>
      </c>
      <c r="G4" s="6">
        <f t="shared" ref="G4:H4" si="25">E4/1000</f>
        <v>0.6</v>
      </c>
      <c r="H4" s="6">
        <f t="shared" si="25"/>
        <v>0.68</v>
      </c>
      <c r="I4" s="17">
        <v>0.003</v>
      </c>
      <c r="J4" s="9">
        <f t="shared" ref="J4:K4" si="26">0</f>
        <v>0</v>
      </c>
      <c r="K4" s="9">
        <f t="shared" si="26"/>
        <v>0</v>
      </c>
      <c r="L4" s="9">
        <v>9.3</v>
      </c>
      <c r="M4" s="9">
        <f t="shared" si="9"/>
        <v>0.0093</v>
      </c>
      <c r="N4" s="9">
        <f t="shared" si="27"/>
        <v>600</v>
      </c>
      <c r="O4" s="9">
        <f t="shared" si="28"/>
        <v>680</v>
      </c>
      <c r="P4" s="9">
        <f t="shared" ref="P4:Q4" si="29">N4/1000</f>
        <v>0.6</v>
      </c>
      <c r="Q4" s="9">
        <f t="shared" si="29"/>
        <v>0.68</v>
      </c>
      <c r="S4" s="9">
        <f t="shared" si="11"/>
        <v>-7.6</v>
      </c>
      <c r="T4" s="9">
        <f t="shared" si="12"/>
        <v>-817.2043011</v>
      </c>
      <c r="U4" s="9">
        <f t="shared" si="13"/>
        <v>0.0000000004150613333</v>
      </c>
      <c r="V4" s="9">
        <f t="shared" si="14"/>
        <v>8584774.186</v>
      </c>
      <c r="W4" s="9">
        <f t="shared" si="15"/>
        <v>-10505.05262</v>
      </c>
      <c r="Y4" s="9" t="s">
        <v>35</v>
      </c>
      <c r="Z4" s="9">
        <f>-1.49/1000</f>
        <v>-0.00149</v>
      </c>
      <c r="AA4" s="18">
        <f>-1.62/1000</f>
        <v>-0.00162</v>
      </c>
      <c r="AB4" s="9">
        <f>-1.83/1000</f>
        <v>-0.00183</v>
      </c>
      <c r="AC4" s="9">
        <f>-1.96/1000</f>
        <v>-0.00196</v>
      </c>
      <c r="AD4" s="9">
        <v>0.43</v>
      </c>
      <c r="AE4" s="10">
        <f t="shared" si="16"/>
        <v>0.0032</v>
      </c>
      <c r="AF4" s="9">
        <f t="shared" si="17"/>
        <v>-0.00013</v>
      </c>
      <c r="AG4" s="9">
        <f t="shared" si="18"/>
        <v>-0.00034</v>
      </c>
      <c r="AH4" s="9">
        <f t="shared" si="19"/>
        <v>-0.00047</v>
      </c>
      <c r="AI4" s="10" t="s">
        <v>32</v>
      </c>
      <c r="AJ4" s="9">
        <f>-9.81*0.43*0.0032*0.766/(2*0.0000000004150613333)</f>
        <v>-12455866.31</v>
      </c>
      <c r="AK4" s="6">
        <f t="shared" si="20"/>
        <v>95.81435627</v>
      </c>
      <c r="AL4" s="9">
        <f>-9.81*0.43*0.0032*1.969/(2*0.0000000004150613333)</f>
        <v>-32017755.58</v>
      </c>
      <c r="AM4" s="6">
        <f t="shared" si="21"/>
        <v>94.16986935</v>
      </c>
      <c r="AN4" s="9">
        <f>-9.81*0.43*0.0032*2.769/(2*0.0000000004150613333)</f>
        <v>-45026493.24</v>
      </c>
      <c r="AO4" s="6">
        <f t="shared" si="22"/>
        <v>95.80104946</v>
      </c>
    </row>
    <row r="5" ht="12.75" customHeight="1">
      <c r="A5" s="16">
        <f t="shared" si="4"/>
        <v>712.2</v>
      </c>
      <c r="B5" s="6">
        <f t="shared" si="5"/>
        <v>-6.986682</v>
      </c>
      <c r="C5" s="6">
        <v>1.8</v>
      </c>
      <c r="D5" s="6">
        <f t="shared" si="6"/>
        <v>0.0018</v>
      </c>
      <c r="E5" s="6">
        <f t="shared" si="23"/>
        <v>580</v>
      </c>
      <c r="F5" s="6">
        <f t="shared" si="24"/>
        <v>700</v>
      </c>
      <c r="G5" s="6">
        <f t="shared" ref="G5:H5" si="30">E5/1000</f>
        <v>0.58</v>
      </c>
      <c r="H5" s="6">
        <f t="shared" si="30"/>
        <v>0.7</v>
      </c>
      <c r="I5" s="17">
        <v>0.003</v>
      </c>
      <c r="J5" s="9">
        <f t="shared" ref="J5:K5" si="31">0</f>
        <v>0</v>
      </c>
      <c r="K5" s="9">
        <f t="shared" si="31"/>
        <v>0</v>
      </c>
      <c r="L5" s="9">
        <v>9.4</v>
      </c>
      <c r="M5" s="9">
        <f t="shared" si="9"/>
        <v>0.0094</v>
      </c>
      <c r="N5" s="9">
        <f t="shared" si="27"/>
        <v>580</v>
      </c>
      <c r="O5" s="9">
        <f t="shared" si="28"/>
        <v>700</v>
      </c>
      <c r="P5" s="9">
        <f t="shared" ref="P5:Q5" si="32">N5/1000</f>
        <v>0.58</v>
      </c>
      <c r="Q5" s="9">
        <f t="shared" si="32"/>
        <v>0.7</v>
      </c>
      <c r="S5" s="9">
        <f t="shared" si="11"/>
        <v>-7.6</v>
      </c>
      <c r="T5" s="9">
        <f t="shared" si="12"/>
        <v>-808.5106383</v>
      </c>
      <c r="U5" s="9">
        <f t="shared" si="13"/>
        <v>0.0000000004150613333</v>
      </c>
      <c r="V5" s="9">
        <f t="shared" si="14"/>
        <v>8786768.873</v>
      </c>
      <c r="W5" s="9">
        <f t="shared" si="15"/>
        <v>-10867.84571</v>
      </c>
      <c r="Y5" s="9" t="s">
        <v>36</v>
      </c>
      <c r="Z5" s="9">
        <f>-1.91/1000</f>
        <v>-0.00191</v>
      </c>
      <c r="AA5" s="19">
        <f>-1.77/1000
</f>
        <v>-0.00177</v>
      </c>
      <c r="AB5" s="9">
        <f>-1.56/1000</f>
        <v>-0.00156</v>
      </c>
      <c r="AC5" s="9">
        <f>-1.41/1000</f>
        <v>-0.00141</v>
      </c>
      <c r="AD5" s="9">
        <v>0.43</v>
      </c>
      <c r="AE5" s="10">
        <f t="shared" si="16"/>
        <v>0.0032</v>
      </c>
      <c r="AF5" s="9">
        <f t="shared" si="17"/>
        <v>0.00014</v>
      </c>
      <c r="AG5" s="9">
        <f t="shared" si="18"/>
        <v>0.00035</v>
      </c>
      <c r="AH5" s="9">
        <f t="shared" si="19"/>
        <v>0.0005</v>
      </c>
      <c r="AI5" s="10" t="s">
        <v>37</v>
      </c>
      <c r="AJ5" s="9">
        <f>-9.81*0.43*-0.0032*0.766/(2*0.0000000004150613333)</f>
        <v>12455866.31</v>
      </c>
      <c r="AK5" s="6">
        <f t="shared" si="20"/>
        <v>88.97047368</v>
      </c>
      <c r="AL5" s="9">
        <f>-9.81*0.43*-0.0032*1.969/(2*0.0000000004150613333)</f>
        <v>32017755.58</v>
      </c>
      <c r="AM5" s="6">
        <f t="shared" si="21"/>
        <v>91.47930166</v>
      </c>
      <c r="AN5" s="9">
        <f>-9.81*0.43*-0.0032*2.769/(2*0.0000000004150613333)</f>
        <v>45026493.24</v>
      </c>
      <c r="AO5" s="6">
        <f t="shared" si="22"/>
        <v>90.05298649</v>
      </c>
    </row>
    <row r="6" ht="12.75" customHeight="1">
      <c r="A6" s="16">
        <f t="shared" si="4"/>
        <v>712.2</v>
      </c>
      <c r="B6" s="6">
        <f t="shared" si="5"/>
        <v>-6.986682</v>
      </c>
      <c r="C6" s="6">
        <v>2.1</v>
      </c>
      <c r="D6" s="6">
        <f t="shared" si="6"/>
        <v>0.0021</v>
      </c>
      <c r="E6" s="6">
        <f t="shared" si="23"/>
        <v>560</v>
      </c>
      <c r="F6" s="6">
        <f t="shared" si="24"/>
        <v>720</v>
      </c>
      <c r="G6" s="6">
        <f t="shared" ref="G6:H6" si="33">E6/1000</f>
        <v>0.56</v>
      </c>
      <c r="H6" s="6">
        <f t="shared" si="33"/>
        <v>0.72</v>
      </c>
      <c r="I6" s="17">
        <v>0.003</v>
      </c>
      <c r="J6" s="9">
        <f t="shared" ref="J6:K6" si="34">0</f>
        <v>0</v>
      </c>
      <c r="K6" s="9">
        <f t="shared" si="34"/>
        <v>0</v>
      </c>
      <c r="L6" s="9">
        <v>9.55</v>
      </c>
      <c r="M6" s="9">
        <f t="shared" si="9"/>
        <v>0.00955</v>
      </c>
      <c r="N6" s="9">
        <f t="shared" si="27"/>
        <v>560</v>
      </c>
      <c r="O6" s="9">
        <f t="shared" si="28"/>
        <v>720</v>
      </c>
      <c r="P6" s="9">
        <f t="shared" ref="P6:Q6" si="35">N6/1000</f>
        <v>0.56</v>
      </c>
      <c r="Q6" s="9">
        <f t="shared" si="35"/>
        <v>0.72</v>
      </c>
      <c r="S6" s="9">
        <f t="shared" si="11"/>
        <v>-7.45</v>
      </c>
      <c r="T6" s="9">
        <f t="shared" si="12"/>
        <v>-780.104712</v>
      </c>
      <c r="U6" s="9">
        <f t="shared" si="13"/>
        <v>0.0000000004150613333</v>
      </c>
      <c r="V6" s="9">
        <f t="shared" si="14"/>
        <v>9897739.65</v>
      </c>
      <c r="W6" s="9">
        <f t="shared" si="15"/>
        <v>-12687.70653</v>
      </c>
      <c r="Y6" s="9" t="s">
        <v>38</v>
      </c>
      <c r="Z6" s="9">
        <f>-824/1000000
</f>
        <v>-0.000824</v>
      </c>
      <c r="AA6" s="20">
        <f>-927/1000000</f>
        <v>-0.000927</v>
      </c>
      <c r="AB6" s="9">
        <f>-1.09/1000
</f>
        <v>-0.00109</v>
      </c>
      <c r="AC6" s="9">
        <f>-1.19/1000</f>
        <v>-0.00119</v>
      </c>
      <c r="AD6" s="9">
        <v>0.33</v>
      </c>
      <c r="AE6" s="10">
        <f t="shared" si="16"/>
        <v>0.0032</v>
      </c>
      <c r="AF6" s="9">
        <f t="shared" si="17"/>
        <v>-0.000103</v>
      </c>
      <c r="AG6" s="9">
        <f t="shared" si="18"/>
        <v>-0.000266</v>
      </c>
      <c r="AH6" s="9">
        <f t="shared" si="19"/>
        <v>-0.000366</v>
      </c>
      <c r="AI6" s="10" t="s">
        <v>32</v>
      </c>
      <c r="AJ6" s="9">
        <f>-9.81*0.33*0.0032*0.766/(2*0.0000000004150613333)</f>
        <v>-9559153.218</v>
      </c>
      <c r="AK6" s="6">
        <f t="shared" si="20"/>
        <v>92.8073128</v>
      </c>
      <c r="AL6" s="9">
        <f>-9.81*0.33*0.0032*1.969/(2*0.0000000004150613333)</f>
        <v>-24571765.91</v>
      </c>
      <c r="AM6" s="6">
        <f t="shared" si="21"/>
        <v>92.37505981</v>
      </c>
      <c r="AN6" s="9">
        <f>-9.81*0.33*0.0032*2.769/(2*0.0000000004150613333)</f>
        <v>-34555215.75</v>
      </c>
      <c r="AO6" s="6">
        <f t="shared" si="22"/>
        <v>94.41315778</v>
      </c>
    </row>
    <row r="7" ht="12.75" customHeight="1">
      <c r="A7" s="16">
        <f t="shared" si="4"/>
        <v>712.2</v>
      </c>
      <c r="B7" s="6">
        <f t="shared" si="5"/>
        <v>-6.986682</v>
      </c>
      <c r="C7" s="6">
        <v>2.15</v>
      </c>
      <c r="D7" s="6">
        <f t="shared" si="6"/>
        <v>0.00215</v>
      </c>
      <c r="E7" s="6">
        <f t="shared" si="23"/>
        <v>540</v>
      </c>
      <c r="F7" s="6">
        <f t="shared" si="24"/>
        <v>740</v>
      </c>
      <c r="G7" s="6">
        <f t="shared" ref="G7:H7" si="36">E7/1000</f>
        <v>0.54</v>
      </c>
      <c r="H7" s="6">
        <f t="shared" si="36"/>
        <v>0.74</v>
      </c>
      <c r="I7" s="17">
        <v>0.003</v>
      </c>
      <c r="J7" s="9">
        <f t="shared" ref="J7:K7" si="37">0</f>
        <v>0</v>
      </c>
      <c r="K7" s="9">
        <f t="shared" si="37"/>
        <v>0</v>
      </c>
      <c r="L7" s="9">
        <v>9.55</v>
      </c>
      <c r="M7" s="9">
        <f t="shared" si="9"/>
        <v>0.00955</v>
      </c>
      <c r="N7" s="9">
        <f t="shared" si="27"/>
        <v>540</v>
      </c>
      <c r="O7" s="9">
        <f t="shared" si="28"/>
        <v>740</v>
      </c>
      <c r="P7" s="9">
        <f t="shared" ref="P7:Q7" si="38">N7/1000</f>
        <v>0.54</v>
      </c>
      <c r="Q7" s="9">
        <f t="shared" si="38"/>
        <v>0.74</v>
      </c>
      <c r="S7" s="9">
        <f t="shared" si="11"/>
        <v>-7.4</v>
      </c>
      <c r="T7" s="9">
        <f t="shared" si="12"/>
        <v>-774.8691099</v>
      </c>
      <c r="U7" s="9">
        <f t="shared" si="13"/>
        <v>0.0000000004150613333</v>
      </c>
      <c r="V7" s="9">
        <f t="shared" si="14"/>
        <v>9771492.971</v>
      </c>
      <c r="W7" s="9">
        <f t="shared" si="15"/>
        <v>-12610.50782</v>
      </c>
      <c r="Y7" s="9" t="s">
        <v>39</v>
      </c>
      <c r="Z7" s="9">
        <f>-1.95/1000</f>
        <v>-0.00195</v>
      </c>
      <c r="AA7" s="9">
        <f>-1.84/1000</f>
        <v>-0.00184</v>
      </c>
      <c r="AB7" s="9">
        <f>-1.67/1000</f>
        <v>-0.00167</v>
      </c>
      <c r="AC7" s="9">
        <f>-1.56/1000</f>
        <v>-0.00156</v>
      </c>
      <c r="AD7" s="9">
        <v>0.33</v>
      </c>
      <c r="AE7" s="10">
        <f t="shared" si="16"/>
        <v>0.0032</v>
      </c>
      <c r="AF7" s="9">
        <f t="shared" si="17"/>
        <v>0.00011</v>
      </c>
      <c r="AG7" s="9">
        <f t="shared" si="18"/>
        <v>0.00028</v>
      </c>
      <c r="AH7" s="9">
        <f t="shared" si="19"/>
        <v>0.00039</v>
      </c>
      <c r="AI7" s="10" t="s">
        <v>37</v>
      </c>
      <c r="AJ7" s="9">
        <f>-9.81*0.33*-0.0032*0.766/(2*0.0000000004150613333)</f>
        <v>9559153.218</v>
      </c>
      <c r="AK7" s="6">
        <f t="shared" si="20"/>
        <v>86.90139289</v>
      </c>
      <c r="AL7" s="9">
        <f>-9.81*0.33*-0.0032*1.969/(2*0.0000000004150613333)</f>
        <v>24571765.91</v>
      </c>
      <c r="AM7" s="6">
        <f t="shared" si="21"/>
        <v>87.75630682</v>
      </c>
      <c r="AN7" s="9">
        <f>-9.81*0.33*-0.0032*2.769/(2*0.0000000004150613333)</f>
        <v>34555215.75</v>
      </c>
      <c r="AO7" s="6">
        <f t="shared" si="22"/>
        <v>88.6031173</v>
      </c>
    </row>
    <row r="8" ht="12.75" customHeight="1">
      <c r="A8" s="16">
        <f t="shared" si="4"/>
        <v>712.2</v>
      </c>
      <c r="B8" s="6">
        <f t="shared" si="5"/>
        <v>-6.986682</v>
      </c>
      <c r="C8" s="6">
        <v>2.45</v>
      </c>
      <c r="D8" s="6">
        <f t="shared" si="6"/>
        <v>0.00245</v>
      </c>
      <c r="E8" s="6">
        <f t="shared" si="23"/>
        <v>520</v>
      </c>
      <c r="F8" s="6">
        <f t="shared" si="24"/>
        <v>760</v>
      </c>
      <c r="G8" s="6">
        <f t="shared" ref="G8:H8" si="39">E8/1000</f>
        <v>0.52</v>
      </c>
      <c r="H8" s="6">
        <f t="shared" si="39"/>
        <v>0.76</v>
      </c>
      <c r="I8" s="17">
        <v>0.003</v>
      </c>
      <c r="J8" s="9">
        <f t="shared" ref="J8:K8" si="40">0</f>
        <v>0</v>
      </c>
      <c r="K8" s="9">
        <f t="shared" si="40"/>
        <v>0</v>
      </c>
      <c r="L8" s="9">
        <v>9.7</v>
      </c>
      <c r="M8" s="9">
        <f t="shared" si="9"/>
        <v>0.0097</v>
      </c>
      <c r="N8" s="9">
        <f t="shared" si="27"/>
        <v>520</v>
      </c>
      <c r="O8" s="9">
        <f t="shared" si="28"/>
        <v>760</v>
      </c>
      <c r="P8" s="9">
        <f t="shared" ref="P8:Q8" si="41">N8/1000</f>
        <v>0.52</v>
      </c>
      <c r="Q8" s="9">
        <f t="shared" si="41"/>
        <v>0.76</v>
      </c>
      <c r="S8" s="9">
        <f t="shared" si="11"/>
        <v>-7.25</v>
      </c>
      <c r="T8" s="9">
        <f t="shared" si="12"/>
        <v>-747.4226804</v>
      </c>
      <c r="U8" s="9">
        <f t="shared" si="13"/>
        <v>0.0000000004150613333</v>
      </c>
      <c r="V8" s="9">
        <f t="shared" si="14"/>
        <v>10722551.29</v>
      </c>
      <c r="W8" s="9">
        <f t="shared" si="15"/>
        <v>-14346.03414</v>
      </c>
      <c r="Y8" s="9" t="s">
        <v>40</v>
      </c>
      <c r="Z8" s="9">
        <f>-1.33/1000</f>
        <v>-0.00133</v>
      </c>
      <c r="AA8" s="9">
        <f>-1.4/1000</f>
        <v>-0.0014</v>
      </c>
      <c r="AB8" s="9">
        <f>-1.51/1000</f>
        <v>-0.00151</v>
      </c>
      <c r="AC8" s="9">
        <f>-1.58/1000</f>
        <v>-0.00158</v>
      </c>
      <c r="AD8" s="9">
        <v>0.23</v>
      </c>
      <c r="AE8" s="10">
        <f t="shared" si="16"/>
        <v>0.0032</v>
      </c>
      <c r="AF8" s="9">
        <f t="shared" si="17"/>
        <v>-0.00007</v>
      </c>
      <c r="AG8" s="9">
        <f t="shared" si="18"/>
        <v>-0.00018</v>
      </c>
      <c r="AH8" s="9">
        <f t="shared" si="19"/>
        <v>-0.00025</v>
      </c>
      <c r="AI8" s="10" t="s">
        <v>32</v>
      </c>
      <c r="AJ8" s="9">
        <f>-9.81*0.23*0.0032*0.766/(2*0.0000000004150613333)</f>
        <v>-6662440.122</v>
      </c>
      <c r="AK8" s="6">
        <f t="shared" si="20"/>
        <v>95.17771603</v>
      </c>
      <c r="AL8" s="9">
        <f>-9.81*0.23*0.0032*1.969/(2*0.0000000004150613333)</f>
        <v>-17125776.24</v>
      </c>
      <c r="AM8" s="6">
        <f t="shared" si="21"/>
        <v>95.14320133</v>
      </c>
      <c r="AN8" s="9">
        <f>-9.81*0.23*0.0032*2.769/(2*0.0000000004150613333)</f>
        <v>-24083938.25</v>
      </c>
      <c r="AO8" s="6">
        <f t="shared" si="22"/>
        <v>96.33575299</v>
      </c>
    </row>
    <row r="9" ht="12.75" customHeight="1">
      <c r="A9" s="16">
        <f t="shared" si="4"/>
        <v>712.2</v>
      </c>
      <c r="B9" s="6">
        <f t="shared" si="5"/>
        <v>-6.986682</v>
      </c>
      <c r="C9" s="6">
        <v>2.8</v>
      </c>
      <c r="D9" s="6">
        <f t="shared" si="6"/>
        <v>0.0028</v>
      </c>
      <c r="E9" s="6">
        <f t="shared" si="23"/>
        <v>500</v>
      </c>
      <c r="F9" s="6">
        <f t="shared" si="24"/>
        <v>780</v>
      </c>
      <c r="G9" s="6">
        <f t="shared" ref="G9:H9" si="42">E9/1000</f>
        <v>0.5</v>
      </c>
      <c r="H9" s="6">
        <f t="shared" si="42"/>
        <v>0.78</v>
      </c>
      <c r="I9" s="17">
        <v>0.003</v>
      </c>
      <c r="J9" s="9">
        <f t="shared" ref="J9:K9" si="43">0</f>
        <v>0</v>
      </c>
      <c r="K9" s="9">
        <f t="shared" si="43"/>
        <v>0</v>
      </c>
      <c r="L9" s="9">
        <v>9.9</v>
      </c>
      <c r="M9" s="9">
        <f t="shared" si="9"/>
        <v>0.0099</v>
      </c>
      <c r="N9" s="9">
        <f t="shared" si="27"/>
        <v>500</v>
      </c>
      <c r="O9" s="9">
        <f t="shared" si="28"/>
        <v>780</v>
      </c>
      <c r="P9" s="9">
        <f t="shared" ref="P9:Q9" si="44">N9/1000</f>
        <v>0.5</v>
      </c>
      <c r="Q9" s="9">
        <f t="shared" si="44"/>
        <v>0.78</v>
      </c>
      <c r="S9" s="9">
        <f t="shared" si="11"/>
        <v>-7.1</v>
      </c>
      <c r="T9" s="9">
        <f t="shared" si="12"/>
        <v>-717.1717172</v>
      </c>
      <c r="U9" s="9">
        <f t="shared" si="13"/>
        <v>0.0000000004150613333</v>
      </c>
      <c r="V9" s="9">
        <f t="shared" si="14"/>
        <v>11783023.39</v>
      </c>
      <c r="W9" s="9">
        <f t="shared" si="15"/>
        <v>-16429.84952</v>
      </c>
      <c r="Y9" s="9" t="s">
        <v>41</v>
      </c>
      <c r="Z9" s="9">
        <f>-2.51/1000</f>
        <v>-0.00251</v>
      </c>
      <c r="AA9" s="9">
        <f>-2.44/1000</f>
        <v>-0.00244</v>
      </c>
      <c r="AB9" s="9">
        <f>-2.33/1000</f>
        <v>-0.00233</v>
      </c>
      <c r="AC9" s="9">
        <f>-2.25/1000</f>
        <v>-0.00225</v>
      </c>
      <c r="AD9" s="9">
        <v>0.23</v>
      </c>
      <c r="AE9" s="10">
        <f t="shared" si="16"/>
        <v>0.0032</v>
      </c>
      <c r="AF9" s="9">
        <f t="shared" si="17"/>
        <v>0.00007</v>
      </c>
      <c r="AG9" s="9">
        <f t="shared" si="18"/>
        <v>0.00018</v>
      </c>
      <c r="AH9" s="9">
        <f t="shared" si="19"/>
        <v>0.00026</v>
      </c>
      <c r="AI9" s="10" t="s">
        <v>37</v>
      </c>
      <c r="AJ9" s="9">
        <f>-9.81*0.23*-0.0032*0.766/(2*0.0000000004150613333)</f>
        <v>6662440.122</v>
      </c>
      <c r="AK9" s="21">
        <f t="shared" si="20"/>
        <v>95.17771603</v>
      </c>
      <c r="AL9" s="9">
        <f>-9.81*0.23*-0.0032*1.969/(2*0.0000000004150613333)</f>
        <v>17125776.24</v>
      </c>
      <c r="AM9" s="21">
        <f t="shared" si="21"/>
        <v>95.14320133</v>
      </c>
      <c r="AN9" s="9">
        <f>-9.81*0.23*-0.0032*2.769/(2*0.0000000004150613333)</f>
        <v>24083938.25</v>
      </c>
      <c r="AO9" s="21">
        <f t="shared" si="22"/>
        <v>92.63053172</v>
      </c>
      <c r="AP9" s="10"/>
    </row>
    <row r="10" ht="12.75" customHeight="1">
      <c r="A10" s="16">
        <f t="shared" si="4"/>
        <v>712.2</v>
      </c>
      <c r="B10" s="6">
        <f t="shared" si="5"/>
        <v>-6.986682</v>
      </c>
      <c r="C10" s="6">
        <v>3.22</v>
      </c>
      <c r="D10" s="6">
        <f t="shared" si="6"/>
        <v>0.00322</v>
      </c>
      <c r="E10" s="6">
        <f t="shared" si="23"/>
        <v>480</v>
      </c>
      <c r="F10" s="6">
        <f t="shared" si="24"/>
        <v>800</v>
      </c>
      <c r="G10" s="6">
        <f t="shared" ref="G10:H10" si="45">E10/1000</f>
        <v>0.48</v>
      </c>
      <c r="H10" s="6">
        <f t="shared" si="45"/>
        <v>0.8</v>
      </c>
      <c r="I10" s="17">
        <v>0.003</v>
      </c>
      <c r="J10" s="9">
        <f t="shared" ref="J10:K10" si="46">0</f>
        <v>0</v>
      </c>
      <c r="K10" s="9">
        <f t="shared" si="46"/>
        <v>0</v>
      </c>
      <c r="L10" s="9">
        <v>10.1</v>
      </c>
      <c r="M10" s="9">
        <f t="shared" si="9"/>
        <v>0.0101</v>
      </c>
      <c r="N10" s="9">
        <f t="shared" si="27"/>
        <v>480</v>
      </c>
      <c r="O10" s="9">
        <f t="shared" si="28"/>
        <v>800</v>
      </c>
      <c r="P10" s="9">
        <f t="shared" ref="P10:Q10" si="47">N10/1000</f>
        <v>0.48</v>
      </c>
      <c r="Q10" s="9">
        <f t="shared" si="47"/>
        <v>0.8</v>
      </c>
      <c r="S10" s="9">
        <f t="shared" si="11"/>
        <v>-6.88</v>
      </c>
      <c r="T10" s="9">
        <f t="shared" si="12"/>
        <v>-681.1881188</v>
      </c>
      <c r="U10" s="9">
        <f t="shared" si="13"/>
        <v>0.0000000004150613333</v>
      </c>
      <c r="V10" s="9">
        <f t="shared" si="14"/>
        <v>13008457.83</v>
      </c>
      <c r="W10" s="9">
        <f t="shared" si="15"/>
        <v>-19096.71861</v>
      </c>
      <c r="Z10" s="22"/>
      <c r="AA10" s="22"/>
    </row>
    <row r="11" ht="12.75" customHeight="1">
      <c r="A11" s="16">
        <f t="shared" si="4"/>
        <v>712.2</v>
      </c>
      <c r="B11" s="6">
        <f t="shared" si="5"/>
        <v>-6.986682</v>
      </c>
      <c r="C11" s="6">
        <v>3.65</v>
      </c>
      <c r="D11" s="6">
        <f t="shared" si="6"/>
        <v>0.00365</v>
      </c>
      <c r="E11" s="6">
        <f t="shared" si="23"/>
        <v>460</v>
      </c>
      <c r="F11" s="6">
        <f t="shared" si="24"/>
        <v>820</v>
      </c>
      <c r="G11" s="6">
        <f t="shared" ref="G11:H11" si="48">E11/1000</f>
        <v>0.46</v>
      </c>
      <c r="H11" s="6">
        <f t="shared" si="48"/>
        <v>0.82</v>
      </c>
      <c r="I11" s="17">
        <v>0.003</v>
      </c>
      <c r="J11" s="9">
        <f t="shared" ref="J11:K11" si="49">0</f>
        <v>0</v>
      </c>
      <c r="K11" s="9">
        <f t="shared" si="49"/>
        <v>0</v>
      </c>
      <c r="L11" s="9">
        <v>10.8</v>
      </c>
      <c r="M11" s="9">
        <f t="shared" si="9"/>
        <v>0.0108</v>
      </c>
      <c r="N11" s="9">
        <f t="shared" si="27"/>
        <v>460</v>
      </c>
      <c r="O11" s="9">
        <f t="shared" si="28"/>
        <v>820</v>
      </c>
      <c r="P11" s="9">
        <f t="shared" ref="P11:Q11" si="50">N11/1000</f>
        <v>0.46</v>
      </c>
      <c r="Q11" s="9">
        <f t="shared" si="50"/>
        <v>0.82</v>
      </c>
      <c r="S11" s="9">
        <f t="shared" si="11"/>
        <v>-7.15</v>
      </c>
      <c r="T11" s="9">
        <f t="shared" si="12"/>
        <v>-662.037037</v>
      </c>
      <c r="U11" s="9">
        <f t="shared" si="13"/>
        <v>0.0000000004150613333</v>
      </c>
      <c r="V11" s="9">
        <f t="shared" si="14"/>
        <v>14131211.63</v>
      </c>
      <c r="W11" s="9">
        <f t="shared" si="15"/>
        <v>-21345.04693</v>
      </c>
      <c r="AI11" s="10" t="s">
        <v>42</v>
      </c>
      <c r="AJ11" s="10"/>
      <c r="AK11" s="10"/>
      <c r="AL11" s="10"/>
      <c r="AM11" s="10"/>
      <c r="AN11" s="10"/>
      <c r="AO11" s="10"/>
      <c r="AP11" s="10"/>
    </row>
    <row r="12" ht="12.75" customHeight="1">
      <c r="A12" s="16">
        <f t="shared" si="4"/>
        <v>712.2</v>
      </c>
      <c r="B12" s="6">
        <f t="shared" si="5"/>
        <v>-6.986682</v>
      </c>
      <c r="C12" s="6">
        <v>4.1</v>
      </c>
      <c r="D12" s="6">
        <f t="shared" si="6"/>
        <v>0.0041</v>
      </c>
      <c r="E12" s="6">
        <f t="shared" si="23"/>
        <v>440</v>
      </c>
      <c r="F12" s="6">
        <f t="shared" si="24"/>
        <v>840</v>
      </c>
      <c r="G12" s="6">
        <f t="shared" ref="G12:H12" si="51">E12/1000</f>
        <v>0.44</v>
      </c>
      <c r="H12" s="6">
        <f t="shared" si="51"/>
        <v>0.84</v>
      </c>
      <c r="I12" s="17">
        <v>0.003</v>
      </c>
      <c r="J12" s="9">
        <f t="shared" ref="J12:K12" si="52">0</f>
        <v>0</v>
      </c>
      <c r="K12" s="9">
        <f t="shared" si="52"/>
        <v>0</v>
      </c>
      <c r="L12" s="9">
        <v>10.6</v>
      </c>
      <c r="M12" s="9">
        <f t="shared" si="9"/>
        <v>0.0106</v>
      </c>
      <c r="N12" s="9">
        <f t="shared" si="27"/>
        <v>440</v>
      </c>
      <c r="O12" s="9">
        <f t="shared" si="28"/>
        <v>840</v>
      </c>
      <c r="P12" s="9">
        <f t="shared" ref="P12:Q12" si="53">N12/1000</f>
        <v>0.44</v>
      </c>
      <c r="Q12" s="9">
        <f t="shared" si="53"/>
        <v>0.84</v>
      </c>
      <c r="S12" s="9">
        <f t="shared" si="11"/>
        <v>-6.5</v>
      </c>
      <c r="T12" s="9">
        <f t="shared" si="12"/>
        <v>-613.2075472</v>
      </c>
      <c r="U12" s="9">
        <f t="shared" si="13"/>
        <v>0.0000000004150613333</v>
      </c>
      <c r="V12" s="9">
        <f t="shared" si="14"/>
        <v>15183267.29</v>
      </c>
      <c r="W12" s="9">
        <f t="shared" si="15"/>
        <v>-24760.40511</v>
      </c>
      <c r="Z12" s="10" t="s">
        <v>43</v>
      </c>
      <c r="AA12" s="10" t="s">
        <v>44</v>
      </c>
      <c r="AC12" s="10" t="s">
        <v>43</v>
      </c>
      <c r="AD12" s="10" t="s">
        <v>44</v>
      </c>
      <c r="AF12" s="9">
        <f>(1.969+2.769+0.766)/3</f>
        <v>1.834666667</v>
      </c>
    </row>
    <row r="13" ht="12.75" customHeight="1">
      <c r="A13" s="16">
        <f t="shared" si="4"/>
        <v>712.2</v>
      </c>
      <c r="B13" s="6">
        <f t="shared" si="5"/>
        <v>-6.986682</v>
      </c>
      <c r="C13" s="6">
        <v>4.4</v>
      </c>
      <c r="D13" s="6">
        <f t="shared" si="6"/>
        <v>0.0044</v>
      </c>
      <c r="E13" s="6">
        <f t="shared" si="23"/>
        <v>420</v>
      </c>
      <c r="F13" s="6">
        <f t="shared" si="24"/>
        <v>860</v>
      </c>
      <c r="G13" s="6">
        <f t="shared" ref="G13:H13" si="54">E13/1000</f>
        <v>0.42</v>
      </c>
      <c r="H13" s="6">
        <f t="shared" si="54"/>
        <v>0.86</v>
      </c>
      <c r="I13" s="17">
        <v>0.003</v>
      </c>
      <c r="J13" s="9">
        <f t="shared" ref="J13:K13" si="55">0</f>
        <v>0</v>
      </c>
      <c r="K13" s="9">
        <f t="shared" si="55"/>
        <v>0</v>
      </c>
      <c r="L13" s="9">
        <v>10.8</v>
      </c>
      <c r="M13" s="9">
        <f t="shared" si="9"/>
        <v>0.0108</v>
      </c>
      <c r="N13" s="9">
        <f t="shared" si="27"/>
        <v>420</v>
      </c>
      <c r="O13" s="9">
        <f t="shared" si="28"/>
        <v>860</v>
      </c>
      <c r="P13" s="9">
        <f t="shared" ref="P13:Q13" si="56">N13/1000</f>
        <v>0.42</v>
      </c>
      <c r="Q13" s="9">
        <f t="shared" si="56"/>
        <v>0.86</v>
      </c>
      <c r="S13" s="9">
        <f t="shared" si="11"/>
        <v>-6.4</v>
      </c>
      <c r="T13" s="9">
        <f t="shared" si="12"/>
        <v>-592.5925926</v>
      </c>
      <c r="U13" s="9">
        <f t="shared" si="13"/>
        <v>0.0000000004150613333</v>
      </c>
      <c r="V13" s="9">
        <f t="shared" si="14"/>
        <v>15553590.88</v>
      </c>
      <c r="W13" s="9">
        <f t="shared" si="15"/>
        <v>-26246.68461</v>
      </c>
      <c r="Z13" s="23">
        <f>AA2-Z2</f>
        <v>-0.000165</v>
      </c>
      <c r="AA13" s="9">
        <f>-9.81*0.53*0.0032*0.766/(2*0.0000000004150613333)</f>
        <v>-15352579.41</v>
      </c>
      <c r="AC13" s="23">
        <f>AA3-Z3</f>
        <v>0.00017</v>
      </c>
      <c r="AD13" s="9">
        <f>-9.81*0.53*-0.0032*0.766/(2*0.0000000004150613333)</f>
        <v>15352579.41</v>
      </c>
    </row>
    <row r="14" ht="12.75" customHeight="1">
      <c r="A14" s="16">
        <f t="shared" si="4"/>
        <v>712.2</v>
      </c>
      <c r="B14" s="6">
        <f t="shared" si="5"/>
        <v>-6.986682</v>
      </c>
      <c r="C14" s="6">
        <v>4.75</v>
      </c>
      <c r="D14" s="6">
        <f t="shared" si="6"/>
        <v>0.00475</v>
      </c>
      <c r="E14" s="6">
        <f t="shared" si="23"/>
        <v>400</v>
      </c>
      <c r="F14" s="6">
        <f t="shared" si="24"/>
        <v>880</v>
      </c>
      <c r="G14" s="6">
        <f t="shared" ref="G14:H14" si="57">E14/1000</f>
        <v>0.4</v>
      </c>
      <c r="H14" s="6">
        <f t="shared" si="57"/>
        <v>0.88</v>
      </c>
      <c r="I14" s="17">
        <v>0.003</v>
      </c>
      <c r="J14" s="9">
        <f t="shared" ref="J14:K14" si="58">0</f>
        <v>0</v>
      </c>
      <c r="K14" s="9">
        <f t="shared" si="58"/>
        <v>0</v>
      </c>
      <c r="L14" s="9">
        <v>11.15</v>
      </c>
      <c r="M14" s="9">
        <f t="shared" si="9"/>
        <v>0.01115</v>
      </c>
      <c r="N14" s="9">
        <f t="shared" si="27"/>
        <v>400</v>
      </c>
      <c r="O14" s="9">
        <f t="shared" si="28"/>
        <v>880</v>
      </c>
      <c r="P14" s="9">
        <f t="shared" ref="P14:Q14" si="59">N14/1000</f>
        <v>0.4</v>
      </c>
      <c r="Q14" s="9">
        <f t="shared" si="59"/>
        <v>0.88</v>
      </c>
      <c r="S14" s="9">
        <f t="shared" si="11"/>
        <v>-6.4</v>
      </c>
      <c r="T14" s="9">
        <f t="shared" si="12"/>
        <v>-573.9910314</v>
      </c>
      <c r="U14" s="9">
        <f t="shared" si="13"/>
        <v>0.0000000004150613333</v>
      </c>
      <c r="V14" s="9">
        <f t="shared" si="14"/>
        <v>15991246.03</v>
      </c>
      <c r="W14" s="9">
        <f t="shared" si="15"/>
        <v>-27859.74895</v>
      </c>
      <c r="Z14" s="23">
        <f>AA4-Z4</f>
        <v>-0.00013</v>
      </c>
      <c r="AA14" s="9">
        <f>-9.81*0.43*0.0032*0.766/(2*0.0000000004150613333)</f>
        <v>-12455866.31</v>
      </c>
      <c r="AC14" s="23">
        <f>AA5-Z5</f>
        <v>0.00014</v>
      </c>
      <c r="AD14" s="9">
        <f>-9.81*0.43*-0.0032*0.766/(2*0.0000000004150613333)</f>
        <v>12455866.31</v>
      </c>
      <c r="AI14" s="10" t="s">
        <v>42</v>
      </c>
      <c r="AJ14" s="10" t="s">
        <v>45</v>
      </c>
      <c r="AK14" s="10"/>
      <c r="AL14" s="10"/>
      <c r="AM14" s="10"/>
      <c r="AN14" s="10"/>
      <c r="AO14" s="10"/>
      <c r="AP14" s="10"/>
    </row>
    <row r="15" ht="12.75" customHeight="1">
      <c r="A15" s="16">
        <f t="shared" si="4"/>
        <v>712.2</v>
      </c>
      <c r="B15" s="6">
        <f t="shared" si="5"/>
        <v>-6.986682</v>
      </c>
      <c r="C15" s="6">
        <v>5.25</v>
      </c>
      <c r="D15" s="6">
        <f t="shared" si="6"/>
        <v>0.00525</v>
      </c>
      <c r="E15" s="6">
        <f t="shared" si="23"/>
        <v>380</v>
      </c>
      <c r="F15" s="6">
        <f t="shared" si="24"/>
        <v>900</v>
      </c>
      <c r="G15" s="6">
        <f t="shared" ref="G15:H15" si="60">E15/1000</f>
        <v>0.38</v>
      </c>
      <c r="H15" s="6">
        <f t="shared" si="60"/>
        <v>0.9</v>
      </c>
      <c r="I15" s="17">
        <v>0.003</v>
      </c>
      <c r="J15" s="9">
        <f t="shared" ref="J15:K15" si="61">0</f>
        <v>0</v>
      </c>
      <c r="K15" s="9">
        <f t="shared" si="61"/>
        <v>0</v>
      </c>
      <c r="L15" s="9">
        <v>11.45</v>
      </c>
      <c r="M15" s="9">
        <f t="shared" si="9"/>
        <v>0.01145</v>
      </c>
      <c r="N15" s="9">
        <f t="shared" si="27"/>
        <v>380</v>
      </c>
      <c r="O15" s="9">
        <f t="shared" si="28"/>
        <v>900</v>
      </c>
      <c r="P15" s="9">
        <f t="shared" ref="P15:Q15" si="62">N15/1000</f>
        <v>0.38</v>
      </c>
      <c r="Q15" s="9">
        <f t="shared" si="62"/>
        <v>0.9</v>
      </c>
      <c r="S15" s="9">
        <f t="shared" si="11"/>
        <v>-6.2</v>
      </c>
      <c r="T15" s="9">
        <f t="shared" si="12"/>
        <v>-541.4847162</v>
      </c>
      <c r="U15" s="9">
        <f t="shared" si="13"/>
        <v>0.0000000004150613333</v>
      </c>
      <c r="V15" s="9">
        <f t="shared" si="14"/>
        <v>16790808.33</v>
      </c>
      <c r="W15" s="9">
        <f t="shared" si="15"/>
        <v>-31008.83152</v>
      </c>
      <c r="Z15" s="23">
        <f>AA6-Z6</f>
        <v>-0.000103</v>
      </c>
      <c r="AA15" s="9">
        <f>-9.81*0.33*0.0032*0.766/(2*0.0000000004150613333)</f>
        <v>-9559153.218</v>
      </c>
      <c r="AC15" s="23">
        <f>AA7-Z7</f>
        <v>0.00011</v>
      </c>
      <c r="AD15" s="9">
        <f>-9.81*0.33*-0.0032*0.766/(2*0.0000000004150613333)</f>
        <v>9559153.218</v>
      </c>
      <c r="AE15" s="10"/>
      <c r="AJ15" s="9">
        <f>(AK2+AK3+AK4+AK5+AK6+AK7+AK8+AK9+AM2+AM3+AM4+AM5+AM6+AM7+AM8+AM9+AO2+AO3+AO4+AO5+AO6+AO7+AO8+AO9)/24</f>
        <v>92.57131465</v>
      </c>
    </row>
    <row r="16" ht="12.75" customHeight="1">
      <c r="A16" s="16">
        <f t="shared" si="4"/>
        <v>712.2</v>
      </c>
      <c r="B16" s="6">
        <f t="shared" si="5"/>
        <v>-6.986682</v>
      </c>
      <c r="C16" s="6">
        <v>5.8</v>
      </c>
      <c r="D16" s="6">
        <f t="shared" si="6"/>
        <v>0.0058</v>
      </c>
      <c r="E16" s="6">
        <f t="shared" si="23"/>
        <v>360</v>
      </c>
      <c r="F16" s="6">
        <f t="shared" si="24"/>
        <v>920</v>
      </c>
      <c r="G16" s="6">
        <f t="shared" ref="G16:H16" si="63">E16/1000</f>
        <v>0.36</v>
      </c>
      <c r="H16" s="6">
        <f t="shared" si="63"/>
        <v>0.92</v>
      </c>
      <c r="I16" s="17">
        <v>0.003</v>
      </c>
      <c r="J16" s="9">
        <v>0.0</v>
      </c>
      <c r="K16" s="9">
        <f>0</f>
        <v>0</v>
      </c>
      <c r="L16" s="9">
        <v>11.8</v>
      </c>
      <c r="M16" s="9">
        <f t="shared" si="9"/>
        <v>0.0118</v>
      </c>
      <c r="N16" s="9">
        <f t="shared" si="27"/>
        <v>360</v>
      </c>
      <c r="O16" s="9">
        <f t="shared" si="28"/>
        <v>920</v>
      </c>
      <c r="P16" s="9">
        <f t="shared" ref="P16:Q16" si="64">N16/1000</f>
        <v>0.36</v>
      </c>
      <c r="Q16" s="9">
        <f t="shared" si="64"/>
        <v>0.92</v>
      </c>
      <c r="S16" s="9">
        <f t="shared" si="11"/>
        <v>-6</v>
      </c>
      <c r="T16" s="9">
        <f t="shared" si="12"/>
        <v>-508.4745763</v>
      </c>
      <c r="U16" s="9">
        <f t="shared" si="13"/>
        <v>0.0000000004150613333</v>
      </c>
      <c r="V16" s="9">
        <f t="shared" si="14"/>
        <v>17573537.75</v>
      </c>
      <c r="W16" s="9">
        <f t="shared" si="15"/>
        <v>-34561.2909</v>
      </c>
      <c r="Z16" s="23">
        <f>AA8-Z8</f>
        <v>-0.00007</v>
      </c>
      <c r="AA16" s="9">
        <f>-9.81*0.23*0.0032*0.766/(2*0.0000000004150613333)</f>
        <v>-6662440.122</v>
      </c>
      <c r="AC16" s="23">
        <f>AA9-Z9</f>
        <v>0.00007</v>
      </c>
      <c r="AD16" s="9">
        <f>-9.81*0.23*-0.0032*0.766/(2*0.0000000004150613333)</f>
        <v>6662440.122</v>
      </c>
      <c r="AE16" s="10"/>
    </row>
    <row r="17" ht="12.75" customHeight="1">
      <c r="A17" s="16">
        <f t="shared" si="4"/>
        <v>712.2</v>
      </c>
      <c r="B17" s="6">
        <f t="shared" si="5"/>
        <v>-6.986682</v>
      </c>
      <c r="C17" s="6">
        <v>6.4</v>
      </c>
      <c r="D17" s="6">
        <f t="shared" si="6"/>
        <v>0.0064</v>
      </c>
      <c r="E17" s="6">
        <f t="shared" si="23"/>
        <v>340</v>
      </c>
      <c r="F17" s="6">
        <f t="shared" si="24"/>
        <v>940</v>
      </c>
      <c r="G17" s="6">
        <f t="shared" ref="G17:H17" si="65">E17/1000</f>
        <v>0.34</v>
      </c>
      <c r="H17" s="6">
        <f t="shared" si="65"/>
        <v>0.94</v>
      </c>
      <c r="I17" s="17">
        <v>0.003</v>
      </c>
      <c r="J17" s="9">
        <f t="shared" ref="J17:K17" si="66">0</f>
        <v>0</v>
      </c>
      <c r="K17" s="9">
        <f t="shared" si="66"/>
        <v>0</v>
      </c>
      <c r="L17" s="9">
        <v>12.5</v>
      </c>
      <c r="M17" s="9">
        <f t="shared" si="9"/>
        <v>0.0125</v>
      </c>
      <c r="N17" s="9">
        <f t="shared" si="27"/>
        <v>340</v>
      </c>
      <c r="O17" s="9">
        <f t="shared" si="28"/>
        <v>940</v>
      </c>
      <c r="P17" s="9">
        <f t="shared" ref="P17:Q17" si="67">N17/1000</f>
        <v>0.34</v>
      </c>
      <c r="Q17" s="9">
        <f t="shared" si="67"/>
        <v>0.94</v>
      </c>
      <c r="S17" s="9">
        <f t="shared" si="11"/>
        <v>-6.1</v>
      </c>
      <c r="T17" s="9">
        <f t="shared" si="12"/>
        <v>-488</v>
      </c>
      <c r="U17" s="9">
        <f t="shared" si="13"/>
        <v>0.0000000004150613333</v>
      </c>
      <c r="V17" s="9">
        <f t="shared" si="14"/>
        <v>18314184.93</v>
      </c>
      <c r="W17" s="9">
        <f t="shared" si="15"/>
        <v>-37529.06748</v>
      </c>
    </row>
    <row r="18" ht="12.75" customHeight="1">
      <c r="A18" s="16">
        <f t="shared" si="4"/>
        <v>712.2</v>
      </c>
      <c r="B18" s="6">
        <f t="shared" si="5"/>
        <v>-6.986682</v>
      </c>
      <c r="C18" s="6">
        <v>6.95</v>
      </c>
      <c r="D18" s="6">
        <f t="shared" si="6"/>
        <v>0.00695</v>
      </c>
      <c r="E18" s="6">
        <f t="shared" si="23"/>
        <v>320</v>
      </c>
      <c r="F18" s="6">
        <f t="shared" si="24"/>
        <v>960</v>
      </c>
      <c r="G18" s="6">
        <f t="shared" ref="G18:H18" si="68">E18/1000</f>
        <v>0.32</v>
      </c>
      <c r="H18" s="6">
        <f t="shared" si="68"/>
        <v>0.96</v>
      </c>
      <c r="I18" s="17">
        <v>0.003</v>
      </c>
      <c r="J18" s="9">
        <f t="shared" ref="J18:K18" si="69">0</f>
        <v>0</v>
      </c>
      <c r="K18" s="9">
        <f t="shared" si="69"/>
        <v>0</v>
      </c>
      <c r="L18" s="9">
        <v>12.3</v>
      </c>
      <c r="M18" s="9">
        <f t="shared" si="9"/>
        <v>0.0123</v>
      </c>
      <c r="N18" s="9">
        <f t="shared" si="27"/>
        <v>320</v>
      </c>
      <c r="O18" s="9">
        <f t="shared" si="28"/>
        <v>960</v>
      </c>
      <c r="P18" s="9">
        <f t="shared" ref="P18:Q18" si="70">N18/1000</f>
        <v>0.32</v>
      </c>
      <c r="Q18" s="9">
        <f t="shared" si="70"/>
        <v>0.96</v>
      </c>
      <c r="S18" s="9">
        <f t="shared" si="11"/>
        <v>-5.35</v>
      </c>
      <c r="T18" s="9">
        <f t="shared" si="12"/>
        <v>-434.9593496</v>
      </c>
      <c r="U18" s="9">
        <f t="shared" si="13"/>
        <v>0.0000000004150613333</v>
      </c>
      <c r="V18" s="9">
        <f t="shared" si="14"/>
        <v>18718174.3</v>
      </c>
      <c r="W18" s="9">
        <f t="shared" si="15"/>
        <v>-43034.30728</v>
      </c>
    </row>
    <row r="19" ht="12.75" customHeight="1">
      <c r="A19" s="16">
        <f t="shared" si="4"/>
        <v>712.2</v>
      </c>
      <c r="B19" s="6">
        <f t="shared" si="5"/>
        <v>-6.986682</v>
      </c>
      <c r="C19" s="6">
        <v>7.6</v>
      </c>
      <c r="D19" s="6">
        <f t="shared" si="6"/>
        <v>0.0076</v>
      </c>
      <c r="E19" s="6">
        <f t="shared" si="23"/>
        <v>300</v>
      </c>
      <c r="F19" s="6">
        <f t="shared" si="24"/>
        <v>980</v>
      </c>
      <c r="G19" s="6">
        <f t="shared" ref="G19:H19" si="71">E19/1000</f>
        <v>0.3</v>
      </c>
      <c r="H19" s="6">
        <f t="shared" si="71"/>
        <v>0.98</v>
      </c>
      <c r="I19" s="17">
        <v>0.003</v>
      </c>
      <c r="J19" s="9">
        <f t="shared" ref="J19:K19" si="72">0</f>
        <v>0</v>
      </c>
      <c r="K19" s="9">
        <f t="shared" si="72"/>
        <v>0</v>
      </c>
      <c r="L19" s="9">
        <v>12.63</v>
      </c>
      <c r="M19" s="9">
        <f t="shared" si="9"/>
        <v>0.01263</v>
      </c>
      <c r="N19" s="9">
        <f t="shared" si="27"/>
        <v>300</v>
      </c>
      <c r="O19" s="9">
        <f t="shared" si="28"/>
        <v>980</v>
      </c>
      <c r="P19" s="9">
        <f t="shared" ref="P19:Q19" si="73">N19/1000</f>
        <v>0.3</v>
      </c>
      <c r="Q19" s="9">
        <f t="shared" si="73"/>
        <v>0.98</v>
      </c>
      <c r="S19" s="9">
        <f t="shared" si="11"/>
        <v>-5.03</v>
      </c>
      <c r="T19" s="9">
        <f t="shared" si="12"/>
        <v>-398.2581156</v>
      </c>
      <c r="U19" s="9">
        <f t="shared" si="13"/>
        <v>0.0000000004150613333</v>
      </c>
      <c r="V19" s="9">
        <f t="shared" si="14"/>
        <v>19189495.24</v>
      </c>
      <c r="W19" s="9">
        <f t="shared" si="15"/>
        <v>-48183.56359</v>
      </c>
      <c r="AE19" s="10" t="s">
        <v>42</v>
      </c>
      <c r="AI19" s="10" t="s">
        <v>42</v>
      </c>
      <c r="AJ19" s="10"/>
      <c r="AK19" s="10"/>
      <c r="AL19" s="10"/>
      <c r="AM19" s="10"/>
      <c r="AN19" s="10"/>
      <c r="AO19" s="10"/>
      <c r="AP19" s="10"/>
    </row>
    <row r="20" ht="12.75" customHeight="1">
      <c r="A20" s="16">
        <f t="shared" si="4"/>
        <v>712.2</v>
      </c>
      <c r="B20" s="6">
        <f t="shared" si="5"/>
        <v>-6.986682</v>
      </c>
      <c r="C20" s="6">
        <v>8.2</v>
      </c>
      <c r="D20" s="6">
        <f t="shared" si="6"/>
        <v>0.0082</v>
      </c>
      <c r="E20" s="6">
        <f t="shared" si="23"/>
        <v>280</v>
      </c>
      <c r="F20" s="6">
        <f t="shared" si="24"/>
        <v>1000</v>
      </c>
      <c r="G20" s="6">
        <f t="shared" ref="G20:H20" si="74">E20/1000</f>
        <v>0.28</v>
      </c>
      <c r="H20" s="6">
        <f t="shared" si="74"/>
        <v>1</v>
      </c>
      <c r="I20" s="17">
        <v>0.003</v>
      </c>
      <c r="J20" s="9">
        <f t="shared" ref="J20:K20" si="75">0</f>
        <v>0</v>
      </c>
      <c r="K20" s="9">
        <f t="shared" si="75"/>
        <v>0</v>
      </c>
      <c r="L20" s="9">
        <v>12.97</v>
      </c>
      <c r="M20" s="9">
        <f t="shared" si="9"/>
        <v>0.01297</v>
      </c>
      <c r="N20" s="9">
        <f t="shared" si="27"/>
        <v>280</v>
      </c>
      <c r="O20" s="9">
        <f t="shared" si="28"/>
        <v>1000</v>
      </c>
      <c r="P20" s="9">
        <f t="shared" ref="P20:Q20" si="76">N20/1000</f>
        <v>0.28</v>
      </c>
      <c r="Q20" s="9">
        <f t="shared" si="76"/>
        <v>1</v>
      </c>
      <c r="S20" s="9">
        <f t="shared" si="11"/>
        <v>-4.77</v>
      </c>
      <c r="T20" s="9">
        <f t="shared" si="12"/>
        <v>-367.771781</v>
      </c>
      <c r="U20" s="9">
        <f t="shared" si="13"/>
        <v>0.0000000004150613333</v>
      </c>
      <c r="V20" s="9">
        <f t="shared" si="14"/>
        <v>19324158.36</v>
      </c>
      <c r="W20" s="9">
        <f t="shared" si="15"/>
        <v>-52543.88553</v>
      </c>
    </row>
    <row r="21" ht="12.75" customHeight="1">
      <c r="A21" s="16">
        <f t="shared" si="4"/>
        <v>712.2</v>
      </c>
      <c r="B21" s="6">
        <f t="shared" si="5"/>
        <v>-6.986682</v>
      </c>
      <c r="C21" s="6">
        <v>9.3</v>
      </c>
      <c r="D21" s="6">
        <f t="shared" si="6"/>
        <v>0.0093</v>
      </c>
      <c r="E21" s="6">
        <f t="shared" si="23"/>
        <v>260</v>
      </c>
      <c r="F21" s="6">
        <f t="shared" si="24"/>
        <v>1020</v>
      </c>
      <c r="G21" s="6">
        <f t="shared" ref="G21:H21" si="77">E21/1000</f>
        <v>0.26</v>
      </c>
      <c r="H21" s="6">
        <f t="shared" si="77"/>
        <v>1.02</v>
      </c>
      <c r="I21" s="17">
        <v>0.003</v>
      </c>
      <c r="J21" s="9">
        <f t="shared" ref="J21:K21" si="78">0</f>
        <v>0</v>
      </c>
      <c r="K21" s="9">
        <f t="shared" si="78"/>
        <v>0</v>
      </c>
      <c r="L21" s="9">
        <v>13.8</v>
      </c>
      <c r="M21" s="9">
        <f t="shared" si="9"/>
        <v>0.0138</v>
      </c>
      <c r="N21" s="9">
        <f t="shared" si="27"/>
        <v>260</v>
      </c>
      <c r="O21" s="9">
        <f t="shared" si="28"/>
        <v>1020</v>
      </c>
      <c r="P21" s="9">
        <f t="shared" ref="P21:Q21" si="79">N21/1000</f>
        <v>0.26</v>
      </c>
      <c r="Q21" s="9">
        <f t="shared" si="79"/>
        <v>1.02</v>
      </c>
      <c r="S21" s="9">
        <f t="shared" si="11"/>
        <v>-4.5</v>
      </c>
      <c r="T21" s="9">
        <f t="shared" si="12"/>
        <v>-326.0869565</v>
      </c>
      <c r="U21" s="9">
        <f t="shared" si="13"/>
        <v>0.0000000004150613333</v>
      </c>
      <c r="V21" s="9">
        <f t="shared" si="14"/>
        <v>20350964.69</v>
      </c>
      <c r="W21" s="9">
        <f t="shared" si="15"/>
        <v>-62409.62504</v>
      </c>
    </row>
    <row r="22" ht="12.75" customHeight="1">
      <c r="A22" s="16">
        <f t="shared" si="4"/>
        <v>712.2</v>
      </c>
      <c r="B22" s="6">
        <f t="shared" si="5"/>
        <v>-6.986682</v>
      </c>
      <c r="C22" s="6">
        <v>9.98</v>
      </c>
      <c r="D22" s="6">
        <f t="shared" si="6"/>
        <v>0.00998</v>
      </c>
      <c r="E22" s="6">
        <f t="shared" si="23"/>
        <v>240</v>
      </c>
      <c r="F22" s="6">
        <f t="shared" si="24"/>
        <v>1040</v>
      </c>
      <c r="G22" s="6">
        <f t="shared" ref="G22:H22" si="80">E22/1000</f>
        <v>0.24</v>
      </c>
      <c r="H22" s="6">
        <f t="shared" si="80"/>
        <v>1.04</v>
      </c>
      <c r="I22" s="17">
        <v>0.003</v>
      </c>
      <c r="J22" s="9">
        <f t="shared" ref="J22:K22" si="81">0</f>
        <v>0</v>
      </c>
      <c r="K22" s="9">
        <f t="shared" si="81"/>
        <v>0</v>
      </c>
      <c r="L22" s="9">
        <v>14.05</v>
      </c>
      <c r="M22" s="9">
        <f t="shared" si="9"/>
        <v>0.01405</v>
      </c>
      <c r="N22" s="9">
        <f t="shared" si="27"/>
        <v>240</v>
      </c>
      <c r="O22" s="9">
        <f t="shared" si="28"/>
        <v>1040</v>
      </c>
      <c r="P22" s="9">
        <f t="shared" ref="P22:Q22" si="82">N22/1000</f>
        <v>0.24</v>
      </c>
      <c r="Q22" s="9">
        <f t="shared" si="82"/>
        <v>1.04</v>
      </c>
      <c r="S22" s="9">
        <f t="shared" si="11"/>
        <v>-4.07</v>
      </c>
      <c r="T22" s="9">
        <f t="shared" si="12"/>
        <v>-289.6797153</v>
      </c>
      <c r="U22" s="9">
        <f t="shared" si="13"/>
        <v>0.0000000004150613333</v>
      </c>
      <c r="V22" s="9">
        <f t="shared" si="14"/>
        <v>20159069.74</v>
      </c>
      <c r="W22" s="9">
        <f t="shared" si="15"/>
        <v>-69590.89184</v>
      </c>
    </row>
    <row r="23" ht="12.75" customHeight="1">
      <c r="A23" s="16">
        <f t="shared" si="4"/>
        <v>712.2</v>
      </c>
      <c r="B23" s="6">
        <f t="shared" si="5"/>
        <v>-6.986682</v>
      </c>
      <c r="C23" s="6">
        <v>10.8</v>
      </c>
      <c r="D23" s="6">
        <f t="shared" si="6"/>
        <v>0.0108</v>
      </c>
      <c r="E23" s="6">
        <f t="shared" si="23"/>
        <v>220</v>
      </c>
      <c r="F23" s="6">
        <f t="shared" si="24"/>
        <v>1060</v>
      </c>
      <c r="G23" s="6">
        <f t="shared" ref="G23:H23" si="83">E23/1000</f>
        <v>0.22</v>
      </c>
      <c r="H23" s="6">
        <f t="shared" si="83"/>
        <v>1.06</v>
      </c>
      <c r="I23" s="17">
        <v>0.003</v>
      </c>
      <c r="J23" s="9">
        <f t="shared" ref="J23:K23" si="84">0</f>
        <v>0</v>
      </c>
      <c r="K23" s="9">
        <f t="shared" si="84"/>
        <v>0</v>
      </c>
      <c r="L23" s="9">
        <v>14.5</v>
      </c>
      <c r="M23" s="9">
        <f t="shared" si="9"/>
        <v>0.0145</v>
      </c>
      <c r="N23" s="9">
        <f t="shared" si="27"/>
        <v>220</v>
      </c>
      <c r="O23" s="9">
        <f t="shared" si="28"/>
        <v>1060</v>
      </c>
      <c r="P23" s="9">
        <f t="shared" ref="P23:Q23" si="85">N23/1000</f>
        <v>0.22</v>
      </c>
      <c r="Q23" s="9">
        <f t="shared" si="85"/>
        <v>1.06</v>
      </c>
      <c r="S23" s="9">
        <f t="shared" si="11"/>
        <v>-3.7</v>
      </c>
      <c r="T23" s="9">
        <f t="shared" si="12"/>
        <v>-255.1724138</v>
      </c>
      <c r="U23" s="9">
        <f t="shared" si="13"/>
        <v>0.0000000004150613333</v>
      </c>
      <c r="V23" s="9">
        <f t="shared" si="14"/>
        <v>19997473.99</v>
      </c>
      <c r="W23" s="9">
        <f t="shared" si="15"/>
        <v>-78368.47914</v>
      </c>
    </row>
    <row r="24" ht="12.75" customHeight="1">
      <c r="A24" s="16">
        <f t="shared" si="4"/>
        <v>712.2</v>
      </c>
      <c r="B24" s="6">
        <f t="shared" si="5"/>
        <v>-6.986682</v>
      </c>
      <c r="C24" s="6">
        <v>11.55</v>
      </c>
      <c r="D24" s="6">
        <f t="shared" si="6"/>
        <v>0.01155</v>
      </c>
      <c r="E24" s="6">
        <f t="shared" si="23"/>
        <v>200</v>
      </c>
      <c r="F24" s="6">
        <f t="shared" si="24"/>
        <v>1080</v>
      </c>
      <c r="G24" s="6">
        <f t="shared" ref="G24:H24" si="86">E24/1000</f>
        <v>0.2</v>
      </c>
      <c r="H24" s="6">
        <f t="shared" si="86"/>
        <v>1.08</v>
      </c>
      <c r="I24" s="17">
        <v>0.003</v>
      </c>
      <c r="J24" s="9">
        <f t="shared" ref="J24:K24" si="87">0</f>
        <v>0</v>
      </c>
      <c r="K24" s="9">
        <f t="shared" si="87"/>
        <v>0</v>
      </c>
      <c r="L24" s="9">
        <v>14.65</v>
      </c>
      <c r="M24" s="9">
        <f t="shared" si="9"/>
        <v>0.01465</v>
      </c>
      <c r="N24" s="9">
        <f t="shared" si="27"/>
        <v>200</v>
      </c>
      <c r="O24" s="9">
        <f t="shared" si="28"/>
        <v>1080</v>
      </c>
      <c r="P24" s="9">
        <f t="shared" ref="P24:Q24" si="88">N24/1000</f>
        <v>0.2</v>
      </c>
      <c r="Q24" s="9">
        <f t="shared" si="88"/>
        <v>1.08</v>
      </c>
      <c r="S24" s="9">
        <f t="shared" si="11"/>
        <v>-3.1</v>
      </c>
      <c r="T24" s="9">
        <f t="shared" si="12"/>
        <v>-211.6040956</v>
      </c>
      <c r="U24" s="9">
        <f t="shared" si="13"/>
        <v>0.0000000004150613333</v>
      </c>
      <c r="V24" s="9">
        <f t="shared" si="14"/>
        <v>19441988.6</v>
      </c>
      <c r="W24" s="9">
        <f t="shared" si="15"/>
        <v>-91879.07515</v>
      </c>
    </row>
    <row r="25" ht="12.75" customHeight="1">
      <c r="A25" s="16">
        <f t="shared" si="4"/>
        <v>712.2</v>
      </c>
      <c r="B25" s="6">
        <f t="shared" si="5"/>
        <v>-6.986682</v>
      </c>
      <c r="C25" s="6">
        <v>12.1</v>
      </c>
      <c r="D25" s="6">
        <f t="shared" si="6"/>
        <v>0.0121</v>
      </c>
      <c r="E25" s="6">
        <f t="shared" si="23"/>
        <v>180</v>
      </c>
      <c r="F25" s="6">
        <f t="shared" si="24"/>
        <v>1100</v>
      </c>
      <c r="G25" s="6">
        <f t="shared" ref="G25:H25" si="89">E25/1000</f>
        <v>0.18</v>
      </c>
      <c r="H25" s="6">
        <f t="shared" si="89"/>
        <v>1.1</v>
      </c>
      <c r="I25" s="17">
        <v>0.003</v>
      </c>
      <c r="J25" s="9">
        <f t="shared" ref="J25:K25" si="90">0</f>
        <v>0</v>
      </c>
      <c r="K25" s="9">
        <f t="shared" si="90"/>
        <v>0</v>
      </c>
      <c r="L25" s="9">
        <v>15.2</v>
      </c>
      <c r="M25" s="9">
        <f t="shared" si="9"/>
        <v>0.0152</v>
      </c>
      <c r="N25" s="9">
        <f t="shared" si="27"/>
        <v>180</v>
      </c>
      <c r="O25" s="9">
        <f t="shared" si="28"/>
        <v>1100</v>
      </c>
      <c r="P25" s="9">
        <f t="shared" ref="P25:Q25" si="91">N25/1000</f>
        <v>0.18</v>
      </c>
      <c r="Q25" s="9">
        <f t="shared" si="91"/>
        <v>1.1</v>
      </c>
      <c r="S25" s="9">
        <f t="shared" si="11"/>
        <v>-3.1</v>
      </c>
      <c r="T25" s="9">
        <f t="shared" si="12"/>
        <v>-203.9473684</v>
      </c>
      <c r="U25" s="9">
        <f t="shared" si="13"/>
        <v>0.0000000004150613333</v>
      </c>
      <c r="V25" s="9">
        <f t="shared" si="14"/>
        <v>18331017.82</v>
      </c>
      <c r="W25" s="9">
        <f t="shared" si="15"/>
        <v>-89881.11964</v>
      </c>
    </row>
    <row r="26" ht="12.75" customHeight="1">
      <c r="A26" s="16">
        <f t="shared" si="4"/>
        <v>712.2</v>
      </c>
      <c r="B26" s="6">
        <f t="shared" si="5"/>
        <v>-6.986682</v>
      </c>
      <c r="C26" s="6">
        <v>12.65</v>
      </c>
      <c r="D26" s="6">
        <f t="shared" si="6"/>
        <v>0.01265</v>
      </c>
      <c r="E26" s="6">
        <f t="shared" si="23"/>
        <v>160</v>
      </c>
      <c r="F26" s="6">
        <f t="shared" si="24"/>
        <v>1120</v>
      </c>
      <c r="G26" s="6">
        <f t="shared" ref="G26:H26" si="92">E26/1000</f>
        <v>0.16</v>
      </c>
      <c r="H26" s="6">
        <f t="shared" si="92"/>
        <v>1.12</v>
      </c>
      <c r="I26" s="17">
        <v>0.003</v>
      </c>
      <c r="J26" s="9">
        <f t="shared" ref="J26:K26" si="93">0</f>
        <v>0</v>
      </c>
      <c r="K26" s="9">
        <f t="shared" si="93"/>
        <v>0</v>
      </c>
      <c r="L26" s="9">
        <v>15.5</v>
      </c>
      <c r="M26" s="9">
        <f t="shared" si="9"/>
        <v>0.0155</v>
      </c>
      <c r="N26" s="9">
        <f t="shared" si="27"/>
        <v>160</v>
      </c>
      <c r="O26" s="9">
        <f t="shared" si="28"/>
        <v>1120</v>
      </c>
      <c r="P26" s="9">
        <f t="shared" ref="P26:Q26" si="94">N26/1000</f>
        <v>0.16</v>
      </c>
      <c r="Q26" s="9">
        <f t="shared" si="94"/>
        <v>1.12</v>
      </c>
      <c r="S26" s="9">
        <f t="shared" si="11"/>
        <v>-2.85</v>
      </c>
      <c r="T26" s="9">
        <f t="shared" si="12"/>
        <v>-183.8709677</v>
      </c>
      <c r="U26" s="9">
        <f t="shared" si="13"/>
        <v>0.0000000004150613333</v>
      </c>
      <c r="V26" s="9">
        <f t="shared" si="14"/>
        <v>17034885.25</v>
      </c>
      <c r="W26" s="9">
        <f t="shared" si="15"/>
        <v>-92645.86714</v>
      </c>
    </row>
    <row r="27" ht="12.75" customHeight="1">
      <c r="A27" s="16">
        <f t="shared" si="4"/>
        <v>712.2</v>
      </c>
      <c r="B27" s="6">
        <f t="shared" si="5"/>
        <v>-6.986682</v>
      </c>
      <c r="C27" s="6">
        <v>13.45</v>
      </c>
      <c r="D27" s="6">
        <f t="shared" si="6"/>
        <v>0.01345</v>
      </c>
      <c r="E27" s="6">
        <f t="shared" si="23"/>
        <v>140</v>
      </c>
      <c r="F27" s="6">
        <f t="shared" si="24"/>
        <v>1140</v>
      </c>
      <c r="G27" s="6">
        <f t="shared" ref="G27:H27" si="95">E27/1000</f>
        <v>0.14</v>
      </c>
      <c r="H27" s="6">
        <f t="shared" si="95"/>
        <v>1.14</v>
      </c>
      <c r="I27" s="17">
        <v>0.003</v>
      </c>
      <c r="J27" s="9">
        <f t="shared" ref="J27:K27" si="96">0</f>
        <v>0</v>
      </c>
      <c r="K27" s="9">
        <f t="shared" si="96"/>
        <v>0</v>
      </c>
      <c r="L27" s="9">
        <v>15.85</v>
      </c>
      <c r="M27" s="9">
        <f t="shared" si="9"/>
        <v>0.01585</v>
      </c>
      <c r="N27" s="9">
        <f t="shared" si="27"/>
        <v>140</v>
      </c>
      <c r="O27" s="9">
        <f t="shared" si="28"/>
        <v>1140</v>
      </c>
      <c r="P27" s="9">
        <f t="shared" ref="P27:Q27" si="97">N27/1000</f>
        <v>0.14</v>
      </c>
      <c r="Q27" s="9">
        <f t="shared" si="97"/>
        <v>1.14</v>
      </c>
      <c r="S27" s="9">
        <f t="shared" si="11"/>
        <v>-2.4</v>
      </c>
      <c r="T27" s="9">
        <f t="shared" si="12"/>
        <v>-151.4195584</v>
      </c>
      <c r="U27" s="9">
        <f t="shared" si="13"/>
        <v>0.0000000004150613333</v>
      </c>
      <c r="V27" s="9">
        <f t="shared" si="14"/>
        <v>15848166.46</v>
      </c>
      <c r="W27" s="9">
        <f t="shared" si="15"/>
        <v>-104663.9327</v>
      </c>
    </row>
    <row r="28" ht="12.75" customHeight="1">
      <c r="A28" s="16">
        <f t="shared" si="4"/>
        <v>712.2</v>
      </c>
      <c r="B28" s="6">
        <f t="shared" si="5"/>
        <v>-6.986682</v>
      </c>
      <c r="C28" s="6">
        <v>14.25</v>
      </c>
      <c r="D28" s="6">
        <f t="shared" si="6"/>
        <v>0.01425</v>
      </c>
      <c r="E28" s="6">
        <f t="shared" si="23"/>
        <v>120</v>
      </c>
      <c r="F28" s="6">
        <f t="shared" si="24"/>
        <v>1160</v>
      </c>
      <c r="G28" s="6">
        <f t="shared" ref="G28:H28" si="98">E28/1000</f>
        <v>0.12</v>
      </c>
      <c r="H28" s="6">
        <f t="shared" si="98"/>
        <v>1.16</v>
      </c>
      <c r="I28" s="6">
        <v>0.003</v>
      </c>
      <c r="J28" s="9">
        <f t="shared" ref="J28:K28" si="99">0</f>
        <v>0</v>
      </c>
      <c r="K28" s="9">
        <f t="shared" si="99"/>
        <v>0</v>
      </c>
      <c r="L28" s="9">
        <v>16.35</v>
      </c>
      <c r="M28" s="9">
        <f t="shared" si="9"/>
        <v>0.01635</v>
      </c>
      <c r="N28" s="9">
        <f t="shared" si="27"/>
        <v>120</v>
      </c>
      <c r="O28" s="9">
        <f t="shared" si="28"/>
        <v>1160</v>
      </c>
      <c r="P28" s="9">
        <f t="shared" ref="P28:Q28" si="100">N28/1000</f>
        <v>0.12</v>
      </c>
      <c r="Q28" s="9">
        <f t="shared" si="100"/>
        <v>1.16</v>
      </c>
      <c r="S28" s="9">
        <f t="shared" si="11"/>
        <v>-2.1</v>
      </c>
      <c r="T28" s="9">
        <f t="shared" si="12"/>
        <v>-128.440367</v>
      </c>
      <c r="U28" s="9">
        <f t="shared" si="13"/>
        <v>0.0000000004150613333</v>
      </c>
      <c r="V28" s="9">
        <f t="shared" si="14"/>
        <v>14392121.43</v>
      </c>
      <c r="W28" s="9">
        <f t="shared" si="15"/>
        <v>-112052.9454</v>
      </c>
    </row>
    <row r="29" ht="12.75" customHeight="1">
      <c r="A29" s="16">
        <f t="shared" si="4"/>
        <v>712.2</v>
      </c>
      <c r="B29" s="6">
        <f t="shared" si="5"/>
        <v>-6.986682</v>
      </c>
      <c r="C29" s="6">
        <v>15.55</v>
      </c>
      <c r="D29" s="6">
        <f t="shared" si="6"/>
        <v>0.01555</v>
      </c>
      <c r="E29" s="6">
        <f t="shared" si="23"/>
        <v>100</v>
      </c>
      <c r="F29" s="6">
        <f t="shared" si="24"/>
        <v>1180</v>
      </c>
      <c r="G29" s="6">
        <f t="shared" ref="G29:H29" si="101">E29/1000</f>
        <v>0.1</v>
      </c>
      <c r="H29" s="6">
        <f t="shared" si="101"/>
        <v>1.18</v>
      </c>
      <c r="I29" s="6">
        <v>0.003</v>
      </c>
      <c r="J29" s="9">
        <f t="shared" ref="J29:K29" si="102">0</f>
        <v>0</v>
      </c>
      <c r="K29" s="9">
        <f t="shared" si="102"/>
        <v>0</v>
      </c>
      <c r="L29" s="10">
        <v>17.2</v>
      </c>
      <c r="M29" s="9">
        <f t="shared" si="9"/>
        <v>0.0172</v>
      </c>
      <c r="N29" s="9">
        <f t="shared" si="27"/>
        <v>100</v>
      </c>
      <c r="O29" s="9">
        <f t="shared" si="28"/>
        <v>1180</v>
      </c>
      <c r="P29" s="9">
        <f t="shared" ref="P29:Q29" si="103">N29/1000</f>
        <v>0.1</v>
      </c>
      <c r="Q29" s="9">
        <f t="shared" si="103"/>
        <v>1.18</v>
      </c>
      <c r="S29" s="9">
        <f t="shared" si="11"/>
        <v>-1.65</v>
      </c>
      <c r="T29" s="9">
        <f t="shared" si="12"/>
        <v>-95.93023256</v>
      </c>
      <c r="U29" s="9">
        <f t="shared" si="13"/>
        <v>0.0000000004150613333</v>
      </c>
      <c r="V29" s="9">
        <f t="shared" si="14"/>
        <v>13087572.41</v>
      </c>
      <c r="W29" s="9">
        <f t="shared" si="15"/>
        <v>-136428.0276</v>
      </c>
    </row>
    <row r="30" ht="12.75" customHeight="1">
      <c r="A30" s="16">
        <f t="shared" si="4"/>
        <v>712.2</v>
      </c>
      <c r="B30" s="6">
        <f t="shared" si="5"/>
        <v>-6.986682</v>
      </c>
      <c r="C30" s="6">
        <v>15.95</v>
      </c>
      <c r="D30" s="6">
        <f t="shared" si="6"/>
        <v>0.01595</v>
      </c>
      <c r="E30" s="6">
        <f t="shared" si="23"/>
        <v>80</v>
      </c>
      <c r="F30" s="6">
        <f t="shared" si="24"/>
        <v>1200</v>
      </c>
      <c r="G30" s="6">
        <f t="shared" ref="G30:H30" si="104">E30/1000</f>
        <v>0.08</v>
      </c>
      <c r="H30" s="6">
        <f t="shared" si="104"/>
        <v>1.2</v>
      </c>
      <c r="I30" s="6">
        <v>0.003</v>
      </c>
      <c r="J30" s="9">
        <f t="shared" ref="J30:K30" si="105">0</f>
        <v>0</v>
      </c>
      <c r="K30" s="9">
        <f t="shared" si="105"/>
        <v>0</v>
      </c>
      <c r="L30" s="10">
        <v>17.7</v>
      </c>
      <c r="M30" s="9">
        <f t="shared" si="9"/>
        <v>0.0177</v>
      </c>
      <c r="N30" s="9">
        <f t="shared" si="27"/>
        <v>80</v>
      </c>
      <c r="O30" s="9">
        <f t="shared" si="28"/>
        <v>1200</v>
      </c>
      <c r="P30" s="9">
        <f t="shared" ref="P30:Q30" si="106">N30/1000</f>
        <v>0.08</v>
      </c>
      <c r="Q30" s="9">
        <f t="shared" si="106"/>
        <v>1.2</v>
      </c>
      <c r="S30" s="9">
        <f t="shared" si="11"/>
        <v>-1.75</v>
      </c>
      <c r="T30" s="9">
        <f t="shared" si="12"/>
        <v>-98.8700565</v>
      </c>
      <c r="U30" s="9">
        <f t="shared" si="13"/>
        <v>0.0000000004150613333</v>
      </c>
      <c r="V30" s="9">
        <f t="shared" si="14"/>
        <v>10739384.18</v>
      </c>
      <c r="W30" s="9">
        <f t="shared" si="15"/>
        <v>-108621.2</v>
      </c>
    </row>
    <row r="31" ht="12.75" customHeight="1">
      <c r="A31" s="16">
        <f t="shared" si="4"/>
        <v>712.2</v>
      </c>
      <c r="B31" s="6">
        <f t="shared" si="5"/>
        <v>-6.986682</v>
      </c>
      <c r="C31" s="6">
        <v>16.8</v>
      </c>
      <c r="D31" s="6">
        <f t="shared" si="6"/>
        <v>0.0168</v>
      </c>
      <c r="E31" s="6">
        <f t="shared" si="23"/>
        <v>60</v>
      </c>
      <c r="F31" s="6">
        <f t="shared" si="24"/>
        <v>1220</v>
      </c>
      <c r="G31" s="6">
        <f t="shared" ref="G31:H31" si="107">E31/1000</f>
        <v>0.06</v>
      </c>
      <c r="H31" s="6">
        <f t="shared" si="107"/>
        <v>1.22</v>
      </c>
      <c r="I31" s="6">
        <v>0.003</v>
      </c>
      <c r="J31" s="9">
        <f t="shared" ref="J31:K31" si="108">0</f>
        <v>0</v>
      </c>
      <c r="K31" s="9">
        <f t="shared" si="108"/>
        <v>0</v>
      </c>
      <c r="L31" s="9">
        <v>17.95</v>
      </c>
      <c r="M31" s="9">
        <f t="shared" si="9"/>
        <v>0.01795</v>
      </c>
      <c r="N31" s="9">
        <f t="shared" si="27"/>
        <v>60</v>
      </c>
      <c r="O31" s="9">
        <f t="shared" si="28"/>
        <v>1220</v>
      </c>
      <c r="P31" s="9">
        <f t="shared" ref="P31:Q31" si="109">N31/1000</f>
        <v>0.06</v>
      </c>
      <c r="Q31" s="9">
        <f t="shared" si="109"/>
        <v>1.22</v>
      </c>
      <c r="S31" s="9">
        <f t="shared" si="11"/>
        <v>-1.15</v>
      </c>
      <c r="T31" s="9">
        <f t="shared" si="12"/>
        <v>-64.06685237</v>
      </c>
      <c r="U31" s="9">
        <f t="shared" si="13"/>
        <v>0.0000000004150613333</v>
      </c>
      <c r="V31" s="9">
        <f t="shared" si="14"/>
        <v>8483776.843</v>
      </c>
      <c r="W31" s="9">
        <f t="shared" si="15"/>
        <v>-132420.6907</v>
      </c>
    </row>
    <row r="32" ht="12.75" customHeight="1">
      <c r="A32" s="16">
        <f t="shared" si="4"/>
        <v>712.2</v>
      </c>
      <c r="B32" s="6">
        <f t="shared" si="5"/>
        <v>-6.986682</v>
      </c>
      <c r="C32" s="6">
        <v>17.7</v>
      </c>
      <c r="D32" s="6">
        <f t="shared" si="6"/>
        <v>0.0177</v>
      </c>
      <c r="E32" s="6">
        <f t="shared" si="23"/>
        <v>40</v>
      </c>
      <c r="F32" s="6">
        <f t="shared" si="24"/>
        <v>1240</v>
      </c>
      <c r="G32" s="6">
        <f t="shared" ref="G32:H32" si="110">E32/1000</f>
        <v>0.04</v>
      </c>
      <c r="H32" s="6">
        <f t="shared" si="110"/>
        <v>1.24</v>
      </c>
      <c r="I32" s="6">
        <v>0.003</v>
      </c>
      <c r="J32" s="9">
        <f t="shared" ref="J32:K32" si="111">0</f>
        <v>0</v>
      </c>
      <c r="K32" s="9">
        <f t="shared" si="111"/>
        <v>0</v>
      </c>
      <c r="L32" s="10">
        <v>18.5</v>
      </c>
      <c r="M32" s="9">
        <f t="shared" si="9"/>
        <v>0.0185</v>
      </c>
      <c r="N32" s="9">
        <f t="shared" si="27"/>
        <v>40</v>
      </c>
      <c r="O32" s="9">
        <f t="shared" si="28"/>
        <v>1240</v>
      </c>
      <c r="P32" s="9">
        <f t="shared" ref="P32:Q32" si="112">N32/1000</f>
        <v>0.04</v>
      </c>
      <c r="Q32" s="9">
        <f t="shared" si="112"/>
        <v>1.24</v>
      </c>
      <c r="S32" s="9">
        <f t="shared" si="11"/>
        <v>-0.8</v>
      </c>
      <c r="T32" s="9">
        <f t="shared" si="12"/>
        <v>-43.24324324</v>
      </c>
      <c r="U32" s="9">
        <f t="shared" si="13"/>
        <v>0.0000000004150613333</v>
      </c>
      <c r="V32" s="9">
        <f t="shared" si="14"/>
        <v>5958843.259</v>
      </c>
      <c r="W32" s="9">
        <f t="shared" si="15"/>
        <v>-137798.2504</v>
      </c>
    </row>
    <row r="33" ht="12.75" customHeight="1">
      <c r="A33" s="16">
        <f t="shared" si="4"/>
        <v>712.2</v>
      </c>
      <c r="B33" s="6">
        <f t="shared" si="5"/>
        <v>-6.986682</v>
      </c>
      <c r="C33" s="6">
        <v>18.95</v>
      </c>
      <c r="D33" s="6">
        <f t="shared" si="6"/>
        <v>0.01895</v>
      </c>
      <c r="E33" s="6">
        <f t="shared" si="23"/>
        <v>20</v>
      </c>
      <c r="F33" s="6">
        <f t="shared" si="24"/>
        <v>1260</v>
      </c>
      <c r="G33" s="6">
        <f t="shared" ref="G33:H33" si="113">E33/1000</f>
        <v>0.02</v>
      </c>
      <c r="H33" s="6">
        <f t="shared" si="113"/>
        <v>1.26</v>
      </c>
      <c r="I33" s="6">
        <v>0.003</v>
      </c>
      <c r="J33" s="9">
        <f t="shared" ref="J33:K33" si="114">0</f>
        <v>0</v>
      </c>
      <c r="K33" s="9">
        <f t="shared" si="114"/>
        <v>0</v>
      </c>
      <c r="L33" s="10">
        <v>18.9</v>
      </c>
      <c r="M33" s="9">
        <f t="shared" si="9"/>
        <v>0.0189</v>
      </c>
      <c r="N33" s="9">
        <f t="shared" si="27"/>
        <v>20</v>
      </c>
      <c r="O33" s="9">
        <f t="shared" si="28"/>
        <v>1260</v>
      </c>
      <c r="P33" s="9">
        <f t="shared" ref="P33:Q33" si="115">N33/1000</f>
        <v>0.02</v>
      </c>
      <c r="Q33" s="9">
        <f t="shared" si="115"/>
        <v>1.26</v>
      </c>
      <c r="S33" s="9">
        <f t="shared" si="11"/>
        <v>0.05</v>
      </c>
      <c r="T33" s="9">
        <f t="shared" si="12"/>
        <v>2.645502646</v>
      </c>
      <c r="U33" s="9">
        <f t="shared" si="13"/>
        <v>0.0000000004150613333</v>
      </c>
      <c r="V33" s="9">
        <f t="shared" si="14"/>
        <v>3189832.761</v>
      </c>
      <c r="W33" s="9">
        <f t="shared" si="15"/>
        <v>1205756.784</v>
      </c>
    </row>
    <row r="34" ht="12.75" customHeight="1">
      <c r="A34" s="16">
        <f t="shared" si="4"/>
        <v>712.2</v>
      </c>
      <c r="B34" s="6">
        <f t="shared" si="5"/>
        <v>-6.986682</v>
      </c>
      <c r="C34" s="6">
        <v>19.4</v>
      </c>
      <c r="D34" s="6">
        <f t="shared" si="6"/>
        <v>0.0194</v>
      </c>
      <c r="E34" s="6">
        <f t="shared" si="23"/>
        <v>0</v>
      </c>
      <c r="F34" s="6">
        <f t="shared" si="24"/>
        <v>1280</v>
      </c>
      <c r="G34" s="6">
        <f t="shared" ref="G34:H34" si="116">E34/1000</f>
        <v>0</v>
      </c>
      <c r="H34" s="6">
        <f t="shared" si="116"/>
        <v>1.28</v>
      </c>
      <c r="I34" s="6">
        <v>0.003</v>
      </c>
      <c r="J34" s="9">
        <f t="shared" ref="J34:K34" si="117">0</f>
        <v>0</v>
      </c>
      <c r="K34" s="9">
        <f t="shared" si="117"/>
        <v>0</v>
      </c>
      <c r="L34" s="9">
        <v>19.4</v>
      </c>
      <c r="M34" s="9">
        <f t="shared" si="9"/>
        <v>0.0194</v>
      </c>
      <c r="N34" s="9">
        <f t="shared" si="27"/>
        <v>0</v>
      </c>
      <c r="O34" s="9">
        <f t="shared" si="28"/>
        <v>1280</v>
      </c>
      <c r="P34" s="9">
        <f t="shared" ref="P34:Q34" si="118">N34/1000</f>
        <v>0</v>
      </c>
      <c r="Q34" s="9">
        <f t="shared" si="118"/>
        <v>1.28</v>
      </c>
      <c r="S34" s="9">
        <f t="shared" si="11"/>
        <v>0</v>
      </c>
      <c r="T34" s="9">
        <f t="shared" si="12"/>
        <v>0</v>
      </c>
    </row>
    <row r="35" ht="12.75" customHeight="1"/>
    <row r="36" ht="12.75" customHeight="1">
      <c r="C36" s="9">
        <f>SUM(C2:C34)/32</f>
        <v>8.5859375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>
      <c r="A66" s="10"/>
    </row>
    <row r="67" ht="12.75" customHeight="1"/>
    <row r="68" ht="12.75" customHeight="1">
      <c r="A68" s="10"/>
      <c r="D68" s="10" t="s">
        <v>46</v>
      </c>
      <c r="E68" s="10" t="s">
        <v>47</v>
      </c>
      <c r="G68" s="10" t="s">
        <v>48</v>
      </c>
      <c r="I68" s="10" t="s">
        <v>49</v>
      </c>
      <c r="J68" s="10" t="s">
        <v>50</v>
      </c>
    </row>
    <row r="69" ht="12.75" customHeight="1">
      <c r="C69" s="10">
        <f>10^-4</f>
        <v>0.0001</v>
      </c>
      <c r="D69" s="10" t="s">
        <v>51</v>
      </c>
      <c r="E69" s="9">
        <f>(5/2)*10^-2 + (1/8)*10^-1 + (1/1.835)*(10^-4)</f>
        <v>0.03755449591</v>
      </c>
      <c r="G69" s="9">
        <f>(5/2)*10^-2 + (1/1.5)*10^-1 + (1/7)*(10^-3)</f>
        <v>0.09180952381</v>
      </c>
      <c r="I69" s="9">
        <f>D70 + E69</f>
        <v>0.104341721</v>
      </c>
      <c r="J69" s="9">
        <f>D70 + G69</f>
        <v>0.1585967489</v>
      </c>
    </row>
    <row r="70" ht="12.75" customHeight="1">
      <c r="C70" s="9">
        <f>0.01</f>
        <v>0.01</v>
      </c>
      <c r="D70" s="9">
        <f>5*10^-2 + (10/6.4)*10^-2 + (1/7)*10^-3 + (10^-2)/9.81</f>
        <v>0.06678722513</v>
      </c>
    </row>
    <row r="71" ht="12.75" customHeight="1">
      <c r="D71" s="10" t="s">
        <v>52</v>
      </c>
    </row>
    <row r="72" ht="12.75" customHeight="1">
      <c r="D72" s="10" t="s">
        <v>53</v>
      </c>
    </row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3" max="4" width="15.57"/>
    <col customWidth="1" min="14" max="15" width="20.14"/>
    <col customWidth="1" min="18" max="18" width="18.43"/>
    <col customWidth="1" min="19" max="20" width="21.71"/>
    <col hidden="1" min="30" max="31" width="14.43"/>
  </cols>
  <sheetData>
    <row r="1">
      <c r="A1" s="24" t="s">
        <v>54</v>
      </c>
      <c r="B1" s="25"/>
      <c r="C1" s="25"/>
      <c r="D1" s="1" t="s">
        <v>0</v>
      </c>
      <c r="E1" s="2" t="s">
        <v>1</v>
      </c>
      <c r="F1" s="3" t="s">
        <v>55</v>
      </c>
      <c r="G1" s="4" t="s">
        <v>56</v>
      </c>
      <c r="I1" s="26" t="s">
        <v>57</v>
      </c>
      <c r="J1" s="4" t="s">
        <v>58</v>
      </c>
      <c r="K1" s="3" t="s">
        <v>59</v>
      </c>
      <c r="L1" s="27" t="s">
        <v>60</v>
      </c>
      <c r="M1" s="28"/>
      <c r="N1" s="28" t="s">
        <v>61</v>
      </c>
      <c r="O1" s="28"/>
      <c r="P1" s="9" t="s">
        <v>7</v>
      </c>
      <c r="Q1" s="9" t="s">
        <v>1</v>
      </c>
      <c r="R1" s="10" t="s">
        <v>62</v>
      </c>
      <c r="S1" s="12" t="s">
        <v>63</v>
      </c>
      <c r="U1" s="10" t="s">
        <v>57</v>
      </c>
      <c r="V1" s="12" t="s">
        <v>64</v>
      </c>
      <c r="W1" s="10" t="s">
        <v>65</v>
      </c>
      <c r="X1" s="10" t="s">
        <v>66</v>
      </c>
      <c r="Y1" s="12" t="s">
        <v>67</v>
      </c>
      <c r="Z1" s="13" t="s">
        <v>12</v>
      </c>
      <c r="AA1" s="11" t="s">
        <v>13</v>
      </c>
      <c r="AB1" s="14" t="s">
        <v>14</v>
      </c>
      <c r="AC1" s="14" t="s">
        <v>15</v>
      </c>
      <c r="AF1" s="10" t="s">
        <v>25</v>
      </c>
      <c r="AG1" s="10" t="s">
        <v>68</v>
      </c>
      <c r="AH1" s="10" t="s">
        <v>69</v>
      </c>
      <c r="AI1" s="10" t="s">
        <v>70</v>
      </c>
      <c r="AJ1" s="10" t="s">
        <v>71</v>
      </c>
      <c r="AO1" s="9" t="s">
        <v>16</v>
      </c>
      <c r="AP1" s="9" t="s">
        <v>17</v>
      </c>
      <c r="AR1" s="9" t="s">
        <v>18</v>
      </c>
      <c r="AS1" s="9" t="s">
        <v>19</v>
      </c>
      <c r="AT1" s="9" t="s">
        <v>20</v>
      </c>
      <c r="AU1" s="10" t="s">
        <v>21</v>
      </c>
      <c r="AX1" s="10" t="s">
        <v>14</v>
      </c>
      <c r="AY1" s="10" t="s">
        <v>72</v>
      </c>
      <c r="AZ1" s="10" t="s">
        <v>73</v>
      </c>
      <c r="BA1" s="10" t="s">
        <v>74</v>
      </c>
      <c r="BB1" s="10" t="s">
        <v>75</v>
      </c>
    </row>
    <row r="2">
      <c r="D2" s="16">
        <f t="shared" ref="D2:D33" si="2">712.2 + 163</f>
        <v>875.2</v>
      </c>
      <c r="E2" s="6">
        <f t="shared" ref="E2:E33" si="3">(D2/1000)*9.81</f>
        <v>8.585712</v>
      </c>
      <c r="F2" s="6">
        <v>1.45</v>
      </c>
      <c r="G2" s="6">
        <f t="shared" ref="G2:G33" si="4">(-(F2)/1000)</f>
        <v>-0.00145</v>
      </c>
      <c r="I2" s="6">
        <v>640.0</v>
      </c>
      <c r="J2" s="6">
        <f t="shared" ref="J2:J33" si="5">I2/1000</f>
        <v>0.64</v>
      </c>
      <c r="K2" s="3">
        <v>0.0</v>
      </c>
      <c r="L2" s="29">
        <v>0.0032</v>
      </c>
      <c r="M2" s="30"/>
      <c r="N2" s="30"/>
      <c r="O2" s="30"/>
      <c r="P2" s="9">
        <f t="shared" ref="P2:Q2" si="1">0</f>
        <v>0</v>
      </c>
      <c r="Q2" s="9">
        <f t="shared" si="1"/>
        <v>0</v>
      </c>
      <c r="R2" s="9">
        <v>9.5</v>
      </c>
      <c r="S2" s="9">
        <f t="shared" ref="S2:S33" si="7">( - (R2)/1000)</f>
        <v>-0.0095</v>
      </c>
      <c r="U2" s="9">
        <v>640.0</v>
      </c>
      <c r="V2" s="9">
        <f t="shared" ref="V2:V33" si="8">U2/1000</f>
        <v>0.64</v>
      </c>
      <c r="W2" s="9">
        <f>X2/Z2</f>
        <v>-10972900.99</v>
      </c>
      <c r="X2" s="9">
        <f> -(((E2*(1.26-J2))/2)*G2)/AA2</f>
        <v>9298089.786</v>
      </c>
      <c r="Y2" s="9">
        <f t="shared" ref="Y2:Y33" si="9">G2 - S2</f>
        <v>0.00805</v>
      </c>
      <c r="Z2" s="9">
        <f t="shared" ref="Z2:Z32" si="10">Y2/S2</f>
        <v>-0.8473684211</v>
      </c>
      <c r="AA2" s="9">
        <f t="shared" ref="AA2:AA33" si="11"> ((0.019)*((0.0064)^3))/12</f>
        <v>0.0000000004150613333</v>
      </c>
      <c r="AB2" s="9">
        <f t="shared" ref="AB2:AB33" si="12"> -((E2*(1.26 - J2)/2)*G2)/AA2</f>
        <v>9298089.786</v>
      </c>
      <c r="AC2" s="9">
        <f t="shared" ref="AC2:AC33" si="13"> (AB2)/Z2/10^9</f>
        <v>-0.01097290099</v>
      </c>
      <c r="AD2" s="10">
        <f>-697/(1000000)</f>
        <v>-0.000697</v>
      </c>
      <c r="AE2" s="10">
        <f>-862/(1000000)</f>
        <v>-0.000862</v>
      </c>
      <c r="AF2" s="9">
        <f>-1026598478</f>
        <v>-1026598478</v>
      </c>
      <c r="AG2" s="9">
        <f>AE2-AD2</f>
        <v>-0.000165</v>
      </c>
      <c r="AH2" s="6">
        <f>80.02015498</f>
        <v>80.02015498</v>
      </c>
      <c r="AN2" s="9" t="s">
        <v>31</v>
      </c>
      <c r="AO2" s="10">
        <f>-697/(1000000)</f>
        <v>-0.000697</v>
      </c>
      <c r="AP2" s="10">
        <f>-862/(1000000)</f>
        <v>-0.000862</v>
      </c>
      <c r="AR2" s="9">
        <f>-1.12/1000</f>
        <v>-0.00112</v>
      </c>
      <c r="AS2" s="9">
        <f>1.29/1000</f>
        <v>0.00129</v>
      </c>
      <c r="AT2" s="9">
        <v>0.53</v>
      </c>
      <c r="AU2" s="10">
        <f t="shared" ref="AU2:AU9" si="14">0.003
</f>
        <v>0.003</v>
      </c>
      <c r="AW2" s="10" t="s">
        <v>76</v>
      </c>
      <c r="AX2" s="10">
        <f>-(9.81*0.766)*(0.53)*(0.0032)/(2*AA2)</f>
        <v>-15352579.41</v>
      </c>
      <c r="AY2" s="9">
        <f>(AX2)/(AP2-AO2)/(10^9)</f>
        <v>93.04593582</v>
      </c>
    </row>
    <row r="3">
      <c r="D3" s="16">
        <f t="shared" si="2"/>
        <v>875.2</v>
      </c>
      <c r="E3" s="6">
        <f t="shared" si="3"/>
        <v>8.585712</v>
      </c>
      <c r="F3" s="6">
        <v>1.55</v>
      </c>
      <c r="G3" s="6">
        <f t="shared" si="4"/>
        <v>-0.00155</v>
      </c>
      <c r="I3" s="6">
        <f t="shared" ref="I3:I33" si="15">I2+20</f>
        <v>660</v>
      </c>
      <c r="J3" s="6">
        <f t="shared" si="5"/>
        <v>0.66</v>
      </c>
      <c r="K3" s="6">
        <f t="shared" ref="K3:K65" si="16">K2+0.02</f>
        <v>0.02</v>
      </c>
      <c r="L3" s="29">
        <v>0.0032</v>
      </c>
      <c r="M3" s="30"/>
      <c r="N3" s="30"/>
      <c r="O3" s="30"/>
      <c r="P3" s="9">
        <f t="shared" ref="P3:Q3" si="6">0</f>
        <v>0</v>
      </c>
      <c r="Q3" s="9">
        <f t="shared" si="6"/>
        <v>0</v>
      </c>
      <c r="R3" s="9">
        <v>9.6</v>
      </c>
      <c r="S3" s="9">
        <f t="shared" si="7"/>
        <v>-0.0096</v>
      </c>
      <c r="U3" s="9">
        <f t="shared" ref="U3:U33" si="18">U2+20</f>
        <v>660</v>
      </c>
      <c r="V3" s="9">
        <f t="shared" si="8"/>
        <v>0.66</v>
      </c>
      <c r="X3" s="9">
        <f t="shared" ref="X3:X33" si="19"> -((E3*(1.26-J3)/2)*G3)/AA3</f>
        <v>9618713.572</v>
      </c>
      <c r="Y3" s="9">
        <f t="shared" si="9"/>
        <v>0.00805</v>
      </c>
      <c r="Z3" s="9">
        <f t="shared" si="10"/>
        <v>-0.8385416667</v>
      </c>
      <c r="AA3" s="9">
        <f t="shared" si="11"/>
        <v>0.0000000004150613333</v>
      </c>
      <c r="AB3" s="9">
        <f t="shared" si="12"/>
        <v>9618713.572</v>
      </c>
      <c r="AC3" s="9">
        <f t="shared" si="13"/>
        <v>-0.01147076401</v>
      </c>
      <c r="AD3" s="9">
        <f>-1.23/1000</f>
        <v>-0.00123</v>
      </c>
      <c r="AE3" s="9">
        <f>-1.06/1000</f>
        <v>-0.00106</v>
      </c>
      <c r="AF3" s="9">
        <f>-11405897848</f>
        <v>-11405897848</v>
      </c>
      <c r="AG3" s="9">
        <f>AE4-AD4</f>
        <v>-0.00013</v>
      </c>
      <c r="AH3" s="6">
        <f>79.84518</f>
        <v>79.84518</v>
      </c>
      <c r="AN3" s="9" t="s">
        <v>33</v>
      </c>
      <c r="AO3" s="9">
        <f>-1.23/1000</f>
        <v>-0.00123</v>
      </c>
      <c r="AP3" s="9">
        <f>-1.06/1000</f>
        <v>-0.00106</v>
      </c>
      <c r="AR3" s="9">
        <f>-797/1000000</f>
        <v>-0.000797</v>
      </c>
      <c r="AS3" s="9">
        <f>-624/1000000</f>
        <v>-0.000624</v>
      </c>
      <c r="AT3" s="9">
        <v>0.53</v>
      </c>
      <c r="AU3" s="10">
        <f t="shared" si="14"/>
        <v>0.003</v>
      </c>
      <c r="AW3" s="10" t="s">
        <v>77</v>
      </c>
      <c r="AX3" s="10" t="s">
        <v>42</v>
      </c>
    </row>
    <row r="4">
      <c r="D4" s="16">
        <f t="shared" si="2"/>
        <v>875.2</v>
      </c>
      <c r="E4" s="6">
        <f t="shared" si="3"/>
        <v>8.585712</v>
      </c>
      <c r="F4" s="6">
        <v>1.7</v>
      </c>
      <c r="G4" s="6">
        <f t="shared" si="4"/>
        <v>-0.0017</v>
      </c>
      <c r="I4" s="6">
        <f t="shared" si="15"/>
        <v>680</v>
      </c>
      <c r="J4" s="6">
        <f t="shared" si="5"/>
        <v>0.68</v>
      </c>
      <c r="K4" s="6">
        <f t="shared" si="16"/>
        <v>0.04</v>
      </c>
      <c r="L4" s="29">
        <v>0.0032</v>
      </c>
      <c r="M4" s="30"/>
      <c r="N4" s="30"/>
      <c r="O4" s="30"/>
      <c r="P4" s="9">
        <f t="shared" ref="P4:Q4" si="17">0</f>
        <v>0</v>
      </c>
      <c r="Q4" s="9">
        <f t="shared" si="17"/>
        <v>0</v>
      </c>
      <c r="R4" s="9">
        <v>9.3</v>
      </c>
      <c r="S4" s="9">
        <f t="shared" si="7"/>
        <v>-0.0093</v>
      </c>
      <c r="U4" s="9">
        <f t="shared" si="18"/>
        <v>680</v>
      </c>
      <c r="V4" s="9">
        <f t="shared" si="8"/>
        <v>0.68</v>
      </c>
      <c r="X4" s="9">
        <f t="shared" si="19"/>
        <v>10197904.93</v>
      </c>
      <c r="Y4" s="9">
        <f t="shared" si="9"/>
        <v>0.0076</v>
      </c>
      <c r="Z4" s="9">
        <f t="shared" si="10"/>
        <v>-0.8172043011</v>
      </c>
      <c r="AA4" s="9">
        <f t="shared" si="11"/>
        <v>0.0000000004150613333</v>
      </c>
      <c r="AB4" s="9">
        <f t="shared" si="12"/>
        <v>10197904.93</v>
      </c>
      <c r="AC4" s="9">
        <f t="shared" si="13"/>
        <v>-0.01247901524</v>
      </c>
      <c r="AD4" s="9">
        <f>-1.49/1000</f>
        <v>-0.00149</v>
      </c>
      <c r="AE4" s="18">
        <f>-1.62/1000</f>
        <v>-0.00162</v>
      </c>
      <c r="AF4" s="9">
        <f>-9.81*0.33*0.0032*0.766/(2*0.0000000004150613333)</f>
        <v>-9559153.218</v>
      </c>
      <c r="AG4" s="9">
        <f>AE6-AD6</f>
        <v>-0.000103</v>
      </c>
      <c r="AH4" s="6">
        <f>78.5487948</f>
        <v>78.5487948</v>
      </c>
      <c r="AN4" s="9" t="s">
        <v>35</v>
      </c>
      <c r="AO4" s="9" t="s">
        <v>78</v>
      </c>
      <c r="AR4" s="9" t="s">
        <v>79</v>
      </c>
      <c r="AS4" s="9" t="s">
        <v>80</v>
      </c>
      <c r="AT4" s="9">
        <v>0.43</v>
      </c>
      <c r="AU4" s="10">
        <f t="shared" si="14"/>
        <v>0.003</v>
      </c>
      <c r="AW4" s="10" t="s">
        <v>81</v>
      </c>
    </row>
    <row r="5">
      <c r="D5" s="16">
        <f t="shared" si="2"/>
        <v>875.2</v>
      </c>
      <c r="E5" s="6">
        <f t="shared" si="3"/>
        <v>8.585712</v>
      </c>
      <c r="F5" s="6">
        <v>1.8</v>
      </c>
      <c r="G5" s="6">
        <f t="shared" si="4"/>
        <v>-0.0018</v>
      </c>
      <c r="I5" s="6">
        <f t="shared" si="15"/>
        <v>700</v>
      </c>
      <c r="J5" s="6">
        <f t="shared" si="5"/>
        <v>0.7</v>
      </c>
      <c r="K5" s="6">
        <f t="shared" si="16"/>
        <v>0.06</v>
      </c>
      <c r="L5" s="29">
        <v>0.0032</v>
      </c>
      <c r="M5" s="30"/>
      <c r="N5" s="30"/>
      <c r="O5" s="30"/>
      <c r="P5" s="9">
        <f t="shared" ref="P5:Q5" si="20">0</f>
        <v>0</v>
      </c>
      <c r="Q5" s="9">
        <f t="shared" si="20"/>
        <v>0</v>
      </c>
      <c r="R5" s="9">
        <v>9.4</v>
      </c>
      <c r="S5" s="9">
        <f t="shared" si="7"/>
        <v>-0.0094</v>
      </c>
      <c r="U5" s="9">
        <f t="shared" si="18"/>
        <v>700</v>
      </c>
      <c r="V5" s="9">
        <f t="shared" si="8"/>
        <v>0.7</v>
      </c>
      <c r="X5" s="9">
        <f t="shared" si="19"/>
        <v>10425444.39</v>
      </c>
      <c r="Y5" s="9">
        <f t="shared" si="9"/>
        <v>0.0076</v>
      </c>
      <c r="Z5" s="9">
        <f t="shared" si="10"/>
        <v>-0.8085106383</v>
      </c>
      <c r="AA5" s="9">
        <f t="shared" si="11"/>
        <v>0.0000000004150613333</v>
      </c>
      <c r="AB5" s="9">
        <f t="shared" si="12"/>
        <v>10425444.39</v>
      </c>
      <c r="AC5" s="9">
        <f t="shared" si="13"/>
        <v>-0.01289462858</v>
      </c>
      <c r="AD5" s="9">
        <f>-1.91/1000</f>
        <v>-0.00191</v>
      </c>
      <c r="AE5" s="19">
        <f>-1.77/1000
</f>
        <v>-0.00177</v>
      </c>
      <c r="AF5" s="9">
        <f>-9.81*0.23*0.0032*0.766/(2*0.0000000004150613333)</f>
        <v>-6662440.122</v>
      </c>
      <c r="AG5" s="9">
        <f>AE8-AD8</f>
        <v>-0.00007</v>
      </c>
      <c r="AH5" s="6">
        <f>82.23019</f>
        <v>82.23019</v>
      </c>
      <c r="AN5" s="9" t="s">
        <v>36</v>
      </c>
      <c r="AO5" s="9" t="s">
        <v>82</v>
      </c>
      <c r="AP5" s="9" t="s">
        <v>83</v>
      </c>
      <c r="AR5" s="9" t="s">
        <v>84</v>
      </c>
      <c r="AS5" s="9" t="s">
        <v>85</v>
      </c>
      <c r="AT5" s="9">
        <v>0.43</v>
      </c>
      <c r="AU5" s="10">
        <f t="shared" si="14"/>
        <v>0.003</v>
      </c>
      <c r="AY5" s="10" t="s">
        <v>86</v>
      </c>
      <c r="AZ5" s="10" t="s">
        <v>86</v>
      </c>
      <c r="BA5" s="10" t="s">
        <v>87</v>
      </c>
      <c r="BB5" s="10" t="s">
        <v>88</v>
      </c>
    </row>
    <row r="6">
      <c r="D6" s="16">
        <f t="shared" si="2"/>
        <v>875.2</v>
      </c>
      <c r="E6" s="6">
        <f t="shared" si="3"/>
        <v>8.585712</v>
      </c>
      <c r="F6" s="6">
        <v>2.1</v>
      </c>
      <c r="G6" s="6">
        <f t="shared" si="4"/>
        <v>-0.0021</v>
      </c>
      <c r="I6" s="6">
        <f t="shared" si="15"/>
        <v>720</v>
      </c>
      <c r="J6" s="6">
        <f t="shared" si="5"/>
        <v>0.72</v>
      </c>
      <c r="K6" s="6">
        <f t="shared" si="16"/>
        <v>0.08</v>
      </c>
      <c r="L6" s="29">
        <v>0.0032</v>
      </c>
      <c r="M6" s="30"/>
      <c r="N6" s="30"/>
      <c r="O6" s="30"/>
      <c r="P6" s="9">
        <f t="shared" ref="P6:Q6" si="21">0</f>
        <v>0</v>
      </c>
      <c r="Q6" s="9">
        <f t="shared" si="21"/>
        <v>0</v>
      </c>
      <c r="R6" s="9">
        <v>9.55</v>
      </c>
      <c r="S6" s="9">
        <f t="shared" si="7"/>
        <v>-0.00955</v>
      </c>
      <c r="U6" s="9">
        <f t="shared" si="18"/>
        <v>720</v>
      </c>
      <c r="V6" s="9">
        <f t="shared" si="8"/>
        <v>0.72</v>
      </c>
      <c r="X6" s="9">
        <f t="shared" si="19"/>
        <v>11728624.94</v>
      </c>
      <c r="Y6" s="9">
        <f t="shared" si="9"/>
        <v>0.00745</v>
      </c>
      <c r="Z6" s="9">
        <f t="shared" si="10"/>
        <v>-0.780104712</v>
      </c>
      <c r="AA6" s="9">
        <f t="shared" si="11"/>
        <v>0.0000000004150613333</v>
      </c>
      <c r="AB6" s="9">
        <f t="shared" si="12"/>
        <v>11728624.94</v>
      </c>
      <c r="AC6" s="9">
        <f t="shared" si="13"/>
        <v>-0.01503468029</v>
      </c>
      <c r="AD6" s="9">
        <f>-824/1000000
</f>
        <v>-0.000824</v>
      </c>
      <c r="AE6" s="20">
        <f>-927/1000000</f>
        <v>-0.000927</v>
      </c>
      <c r="AH6" s="6"/>
      <c r="AN6" s="9" t="s">
        <v>38</v>
      </c>
      <c r="AO6" s="9" t="s">
        <v>89</v>
      </c>
      <c r="AP6" s="31" t="s">
        <v>90</v>
      </c>
      <c r="AR6" s="9" t="s">
        <v>91</v>
      </c>
      <c r="AS6" s="9" t="s">
        <v>92</v>
      </c>
      <c r="AT6" s="9">
        <v>0.33</v>
      </c>
      <c r="AU6" s="10">
        <f t="shared" si="14"/>
        <v>0.003</v>
      </c>
      <c r="AX6" s="10" t="s">
        <v>42</v>
      </c>
    </row>
    <row r="7">
      <c r="D7" s="16">
        <f t="shared" si="2"/>
        <v>875.2</v>
      </c>
      <c r="E7" s="6">
        <f t="shared" si="3"/>
        <v>8.585712</v>
      </c>
      <c r="F7" s="6">
        <v>2.15</v>
      </c>
      <c r="G7" s="6">
        <f t="shared" si="4"/>
        <v>-0.00215</v>
      </c>
      <c r="I7" s="6">
        <f t="shared" si="15"/>
        <v>740</v>
      </c>
      <c r="J7" s="6">
        <f t="shared" si="5"/>
        <v>0.74</v>
      </c>
      <c r="K7" s="6">
        <f t="shared" si="16"/>
        <v>0.1</v>
      </c>
      <c r="L7" s="29">
        <v>0.0032</v>
      </c>
      <c r="M7" s="30"/>
      <c r="N7" s="30"/>
      <c r="O7" s="30"/>
      <c r="P7" s="9">
        <f t="shared" ref="P7:Q7" si="22">0</f>
        <v>0</v>
      </c>
      <c r="Q7" s="9">
        <f t="shared" si="22"/>
        <v>0</v>
      </c>
      <c r="R7" s="9">
        <v>9.55</v>
      </c>
      <c r="S7" s="9">
        <f t="shared" si="7"/>
        <v>-0.00955</v>
      </c>
      <c r="U7" s="9">
        <f t="shared" si="18"/>
        <v>740</v>
      </c>
      <c r="V7" s="9">
        <f t="shared" si="8"/>
        <v>0.74</v>
      </c>
      <c r="X7" s="9">
        <f t="shared" si="19"/>
        <v>11563141.69</v>
      </c>
      <c r="Y7" s="9">
        <f t="shared" si="9"/>
        <v>0.0074</v>
      </c>
      <c r="Z7" s="9">
        <f t="shared" si="10"/>
        <v>-0.7748691099</v>
      </c>
      <c r="AA7" s="9">
        <f t="shared" si="11"/>
        <v>0.0000000004150613333</v>
      </c>
      <c r="AB7" s="9">
        <f t="shared" si="12"/>
        <v>11563141.69</v>
      </c>
      <c r="AC7" s="9">
        <f t="shared" si="13"/>
        <v>-0.01492270313</v>
      </c>
      <c r="AD7" s="9">
        <f>-1.95/1000</f>
        <v>-0.00195</v>
      </c>
      <c r="AE7" s="9">
        <f>-1.84/1000</f>
        <v>-0.00184</v>
      </c>
      <c r="AN7" s="9" t="s">
        <v>39</v>
      </c>
      <c r="AO7" s="9" t="s">
        <v>93</v>
      </c>
      <c r="AP7" s="9" t="s">
        <v>94</v>
      </c>
      <c r="AR7" s="9" t="s">
        <v>95</v>
      </c>
      <c r="AS7" s="9" t="s">
        <v>84</v>
      </c>
      <c r="AT7" s="9">
        <v>0.33</v>
      </c>
      <c r="AU7" s="10">
        <f t="shared" si="14"/>
        <v>0.003</v>
      </c>
      <c r="AY7" s="10" t="s">
        <v>42</v>
      </c>
      <c r="AZ7" s="10"/>
      <c r="BA7" s="10"/>
      <c r="BB7" s="10"/>
    </row>
    <row r="8">
      <c r="D8" s="16">
        <f t="shared" si="2"/>
        <v>875.2</v>
      </c>
      <c r="E8" s="6">
        <f t="shared" si="3"/>
        <v>8.585712</v>
      </c>
      <c r="F8" s="6">
        <v>2.45</v>
      </c>
      <c r="G8" s="6">
        <f t="shared" si="4"/>
        <v>-0.00245</v>
      </c>
      <c r="I8" s="6">
        <f t="shared" si="15"/>
        <v>760</v>
      </c>
      <c r="J8" s="6">
        <f t="shared" si="5"/>
        <v>0.76</v>
      </c>
      <c r="K8" s="6">
        <f t="shared" si="16"/>
        <v>0.12</v>
      </c>
      <c r="L8" s="29">
        <v>0.0032</v>
      </c>
      <c r="M8" s="30"/>
      <c r="N8" s="30"/>
      <c r="O8" s="30"/>
      <c r="P8" s="9">
        <f t="shared" ref="P8:Q8" si="23">0</f>
        <v>0</v>
      </c>
      <c r="Q8" s="9">
        <f t="shared" si="23"/>
        <v>0</v>
      </c>
      <c r="R8" s="9">
        <v>9.7</v>
      </c>
      <c r="S8" s="9">
        <f t="shared" si="7"/>
        <v>-0.0097</v>
      </c>
      <c r="U8" s="9">
        <f t="shared" si="18"/>
        <v>760</v>
      </c>
      <c r="V8" s="9">
        <f t="shared" si="8"/>
        <v>0.76</v>
      </c>
      <c r="X8" s="9">
        <f t="shared" si="19"/>
        <v>12669810.89</v>
      </c>
      <c r="Y8" s="9">
        <f t="shared" si="9"/>
        <v>0.00725</v>
      </c>
      <c r="Z8" s="9">
        <f t="shared" si="10"/>
        <v>-0.7474226804</v>
      </c>
      <c r="AA8" s="9">
        <f t="shared" si="11"/>
        <v>0.0000000004150613333</v>
      </c>
      <c r="AB8" s="9">
        <f t="shared" si="12"/>
        <v>12669810.89</v>
      </c>
      <c r="AC8" s="9">
        <f t="shared" si="13"/>
        <v>-0.01695133319</v>
      </c>
      <c r="AD8" s="9">
        <f>-1.33/1000</f>
        <v>-0.00133</v>
      </c>
      <c r="AE8" s="9">
        <f>-1.4/1000</f>
        <v>-0.0014</v>
      </c>
      <c r="AN8" s="9" t="s">
        <v>40</v>
      </c>
      <c r="AO8" s="9" t="s">
        <v>96</v>
      </c>
      <c r="AP8" s="9" t="s">
        <v>97</v>
      </c>
      <c r="AR8" s="9" t="s">
        <v>98</v>
      </c>
      <c r="AS8" s="9" t="s">
        <v>99</v>
      </c>
      <c r="AT8" s="9">
        <v>0.23</v>
      </c>
      <c r="AU8" s="10">
        <f t="shared" si="14"/>
        <v>0.003</v>
      </c>
    </row>
    <row r="9">
      <c r="D9" s="16">
        <f t="shared" si="2"/>
        <v>875.2</v>
      </c>
      <c r="E9" s="6">
        <f t="shared" si="3"/>
        <v>8.585712</v>
      </c>
      <c r="F9" s="6">
        <v>2.8</v>
      </c>
      <c r="G9" s="6">
        <f t="shared" si="4"/>
        <v>-0.0028</v>
      </c>
      <c r="I9" s="6">
        <f t="shared" si="15"/>
        <v>780</v>
      </c>
      <c r="J9" s="6">
        <f t="shared" si="5"/>
        <v>0.78</v>
      </c>
      <c r="K9" s="6">
        <f t="shared" si="16"/>
        <v>0.14</v>
      </c>
      <c r="L9" s="29">
        <v>0.0032</v>
      </c>
      <c r="M9" s="30"/>
      <c r="N9" s="30"/>
      <c r="O9" s="30"/>
      <c r="P9" s="9">
        <f t="shared" ref="P9:Q9" si="24">0</f>
        <v>0</v>
      </c>
      <c r="Q9" s="9">
        <f t="shared" si="24"/>
        <v>0</v>
      </c>
      <c r="R9" s="9">
        <v>9.9</v>
      </c>
      <c r="S9" s="9">
        <f t="shared" si="7"/>
        <v>-0.0099</v>
      </c>
      <c r="U9" s="9">
        <f t="shared" si="18"/>
        <v>780</v>
      </c>
      <c r="V9" s="9">
        <f t="shared" si="8"/>
        <v>0.78</v>
      </c>
      <c r="X9" s="9">
        <f t="shared" si="19"/>
        <v>13900592.52</v>
      </c>
      <c r="Y9" s="9">
        <f t="shared" si="9"/>
        <v>0.0071</v>
      </c>
      <c r="Z9" s="9">
        <f t="shared" si="10"/>
        <v>-0.7171717172</v>
      </c>
      <c r="AA9" s="9">
        <f t="shared" si="11"/>
        <v>0.0000000004150613333</v>
      </c>
      <c r="AB9" s="9">
        <f t="shared" si="12"/>
        <v>13900592.52</v>
      </c>
      <c r="AC9" s="9">
        <f t="shared" si="13"/>
        <v>-0.01938251633</v>
      </c>
      <c r="AD9" s="9">
        <f>-2.51/1000</f>
        <v>-0.00251</v>
      </c>
      <c r="AE9" s="9">
        <f>-2.44/1000</f>
        <v>-0.00244</v>
      </c>
      <c r="AH9" s="6"/>
      <c r="AN9" s="9" t="s">
        <v>41</v>
      </c>
      <c r="AO9" s="9" t="s">
        <v>100</v>
      </c>
      <c r="AP9" s="9" t="s">
        <v>101</v>
      </c>
      <c r="AR9" s="9" t="s">
        <v>102</v>
      </c>
      <c r="AS9" s="9" t="s">
        <v>103</v>
      </c>
      <c r="AT9" s="9">
        <v>0.23</v>
      </c>
      <c r="AU9" s="10">
        <f t="shared" si="14"/>
        <v>0.003</v>
      </c>
      <c r="AY9" s="10" t="s">
        <v>42</v>
      </c>
      <c r="AZ9" s="10"/>
      <c r="BA9" s="10"/>
      <c r="BB9" s="10"/>
    </row>
    <row r="10">
      <c r="D10" s="16">
        <f t="shared" si="2"/>
        <v>875.2</v>
      </c>
      <c r="E10" s="6">
        <f t="shared" si="3"/>
        <v>8.585712</v>
      </c>
      <c r="F10" s="6">
        <v>3.22</v>
      </c>
      <c r="G10" s="6">
        <f t="shared" si="4"/>
        <v>-0.00322</v>
      </c>
      <c r="I10" s="6">
        <f t="shared" si="15"/>
        <v>800</v>
      </c>
      <c r="J10" s="6">
        <f t="shared" si="5"/>
        <v>0.8</v>
      </c>
      <c r="K10" s="6">
        <f t="shared" si="16"/>
        <v>0.16</v>
      </c>
      <c r="L10" s="29">
        <v>0.0032</v>
      </c>
      <c r="M10" s="30"/>
      <c r="N10" s="30"/>
      <c r="O10" s="30"/>
      <c r="P10" s="9">
        <f t="shared" ref="P10:Q10" si="25">0</f>
        <v>0</v>
      </c>
      <c r="Q10" s="9">
        <f t="shared" si="25"/>
        <v>0</v>
      </c>
      <c r="R10" s="9">
        <v>10.1</v>
      </c>
      <c r="S10" s="9">
        <f t="shared" si="7"/>
        <v>-0.0101</v>
      </c>
      <c r="U10" s="9">
        <f t="shared" si="18"/>
        <v>800</v>
      </c>
      <c r="V10" s="9">
        <f t="shared" si="8"/>
        <v>0.8</v>
      </c>
      <c r="X10" s="9">
        <f t="shared" si="19"/>
        <v>15319611.34</v>
      </c>
      <c r="Y10" s="9">
        <f t="shared" si="9"/>
        <v>0.00688</v>
      </c>
      <c r="Z10" s="9">
        <f t="shared" si="10"/>
        <v>-0.6811881188</v>
      </c>
      <c r="AA10" s="9">
        <f t="shared" si="11"/>
        <v>0.0000000004150613333</v>
      </c>
      <c r="AB10" s="9">
        <f t="shared" si="12"/>
        <v>15319611.34</v>
      </c>
      <c r="AC10" s="9">
        <f t="shared" si="13"/>
        <v>-0.02248954571</v>
      </c>
      <c r="AO10" s="22"/>
      <c r="AP10" s="22"/>
    </row>
    <row r="11">
      <c r="D11" s="16">
        <f t="shared" si="2"/>
        <v>875.2</v>
      </c>
      <c r="E11" s="6">
        <f t="shared" si="3"/>
        <v>8.585712</v>
      </c>
      <c r="F11" s="6">
        <v>3.65</v>
      </c>
      <c r="G11" s="6">
        <f t="shared" si="4"/>
        <v>-0.00365</v>
      </c>
      <c r="I11" s="6">
        <f t="shared" si="15"/>
        <v>820</v>
      </c>
      <c r="J11" s="6">
        <f t="shared" si="5"/>
        <v>0.82</v>
      </c>
      <c r="K11" s="6">
        <f t="shared" si="16"/>
        <v>0.18</v>
      </c>
      <c r="L11" s="29">
        <v>0.0032</v>
      </c>
      <c r="M11" s="30"/>
      <c r="N11" s="30"/>
      <c r="O11" s="30"/>
      <c r="P11" s="9">
        <f t="shared" ref="P11:Q11" si="26">0</f>
        <v>0</v>
      </c>
      <c r="Q11" s="9">
        <f t="shared" si="26"/>
        <v>0</v>
      </c>
      <c r="R11" s="9">
        <v>10.8</v>
      </c>
      <c r="S11" s="9">
        <f t="shared" si="7"/>
        <v>-0.0108</v>
      </c>
      <c r="U11" s="9">
        <f t="shared" si="18"/>
        <v>820</v>
      </c>
      <c r="V11" s="9">
        <f t="shared" si="8"/>
        <v>0.82</v>
      </c>
      <c r="X11" s="9">
        <f t="shared" si="19"/>
        <v>16610380.64</v>
      </c>
      <c r="Y11" s="9">
        <f t="shared" si="9"/>
        <v>0.00715</v>
      </c>
      <c r="Z11" s="9">
        <f t="shared" si="10"/>
        <v>-0.662037037</v>
      </c>
      <c r="AA11" s="9">
        <f t="shared" si="11"/>
        <v>0.0000000004150613333</v>
      </c>
      <c r="AB11" s="9">
        <f t="shared" si="12"/>
        <v>16610380.64</v>
      </c>
      <c r="AC11" s="9">
        <f t="shared" si="13"/>
        <v>-0.02508980572</v>
      </c>
      <c r="AW11" s="10" t="s">
        <v>104</v>
      </c>
      <c r="AY11" s="10" t="s">
        <v>42</v>
      </c>
      <c r="AZ11" s="10"/>
      <c r="BA11" s="10"/>
      <c r="BB11" s="10"/>
    </row>
    <row r="12">
      <c r="D12" s="16">
        <f t="shared" si="2"/>
        <v>875.2</v>
      </c>
      <c r="E12" s="6">
        <f t="shared" si="3"/>
        <v>8.585712</v>
      </c>
      <c r="F12" s="6">
        <v>4.1</v>
      </c>
      <c r="G12" s="6">
        <f t="shared" si="4"/>
        <v>-0.0041</v>
      </c>
      <c r="I12" s="6">
        <f t="shared" si="15"/>
        <v>840</v>
      </c>
      <c r="J12" s="6">
        <f t="shared" si="5"/>
        <v>0.84</v>
      </c>
      <c r="K12" s="6">
        <f t="shared" si="16"/>
        <v>0.2</v>
      </c>
      <c r="L12" s="29">
        <v>0.0032</v>
      </c>
      <c r="M12" s="30"/>
      <c r="N12" s="30"/>
      <c r="O12" s="30"/>
      <c r="P12" s="9">
        <f t="shared" ref="P12:Q12" si="27">0</f>
        <v>0</v>
      </c>
      <c r="Q12" s="9">
        <f t="shared" si="27"/>
        <v>0</v>
      </c>
      <c r="R12" s="9">
        <v>10.6</v>
      </c>
      <c r="S12" s="9">
        <f t="shared" si="7"/>
        <v>-0.0106</v>
      </c>
      <c r="U12" s="9">
        <f t="shared" si="18"/>
        <v>840</v>
      </c>
      <c r="V12" s="9">
        <f t="shared" si="8"/>
        <v>0.84</v>
      </c>
      <c r="X12" s="9">
        <f t="shared" si="19"/>
        <v>17810134.16</v>
      </c>
      <c r="Y12" s="9">
        <f t="shared" si="9"/>
        <v>0.0065</v>
      </c>
      <c r="Z12" s="9">
        <f t="shared" si="10"/>
        <v>-0.6132075472</v>
      </c>
      <c r="AA12" s="9">
        <f t="shared" si="11"/>
        <v>0.0000000004150613333</v>
      </c>
      <c r="AB12" s="9">
        <f t="shared" si="12"/>
        <v>17810134.16</v>
      </c>
      <c r="AC12" s="9">
        <f t="shared" si="13"/>
        <v>-0.02904421879</v>
      </c>
    </row>
    <row r="13">
      <c r="D13" s="16">
        <f t="shared" si="2"/>
        <v>875.2</v>
      </c>
      <c r="E13" s="6">
        <f t="shared" si="3"/>
        <v>8.585712</v>
      </c>
      <c r="F13" s="6">
        <v>4.4</v>
      </c>
      <c r="G13" s="6">
        <f t="shared" si="4"/>
        <v>-0.0044</v>
      </c>
      <c r="I13" s="6">
        <f t="shared" si="15"/>
        <v>860</v>
      </c>
      <c r="J13" s="6">
        <f t="shared" si="5"/>
        <v>0.86</v>
      </c>
      <c r="K13" s="6">
        <f t="shared" si="16"/>
        <v>0.22</v>
      </c>
      <c r="L13" s="29">
        <v>0.0032</v>
      </c>
      <c r="M13" s="30"/>
      <c r="N13" s="30"/>
      <c r="O13" s="30"/>
      <c r="P13" s="9">
        <f t="shared" ref="P13:Q13" si="28">0</f>
        <v>0</v>
      </c>
      <c r="Q13" s="9">
        <f t="shared" si="28"/>
        <v>0</v>
      </c>
      <c r="R13" s="9">
        <v>10.8</v>
      </c>
      <c r="S13" s="9">
        <f t="shared" si="7"/>
        <v>-0.0108</v>
      </c>
      <c r="U13" s="9">
        <f t="shared" si="18"/>
        <v>860</v>
      </c>
      <c r="V13" s="9">
        <f t="shared" si="8"/>
        <v>0.86</v>
      </c>
      <c r="X13" s="9">
        <f t="shared" si="19"/>
        <v>18203156.87</v>
      </c>
      <c r="Y13" s="9">
        <f t="shared" si="9"/>
        <v>0.0064</v>
      </c>
      <c r="Z13" s="9">
        <f t="shared" si="10"/>
        <v>-0.5925925926</v>
      </c>
      <c r="AA13" s="9">
        <f t="shared" si="11"/>
        <v>0.0000000004150613333</v>
      </c>
      <c r="AB13" s="9">
        <f t="shared" si="12"/>
        <v>18203156.87</v>
      </c>
      <c r="AC13" s="9">
        <f t="shared" si="13"/>
        <v>-0.03071782721</v>
      </c>
      <c r="AJ13" s="9" t="s">
        <v>16</v>
      </c>
      <c r="AK13" s="9" t="s">
        <v>17</v>
      </c>
      <c r="AM13" s="9" t="s">
        <v>20</v>
      </c>
      <c r="AN13" s="10" t="s">
        <v>21</v>
      </c>
      <c r="AP13" s="10" t="s">
        <v>22</v>
      </c>
      <c r="AS13" s="10" t="s">
        <v>25</v>
      </c>
      <c r="AT13" s="15" t="s">
        <v>26</v>
      </c>
      <c r="AX13" s="32"/>
      <c r="AZ13" s="15"/>
    </row>
    <row r="14">
      <c r="D14" s="16">
        <f t="shared" si="2"/>
        <v>875.2</v>
      </c>
      <c r="E14" s="6">
        <f t="shared" si="3"/>
        <v>8.585712</v>
      </c>
      <c r="F14" s="6">
        <v>4.75</v>
      </c>
      <c r="G14" s="6">
        <f t="shared" si="4"/>
        <v>-0.00475</v>
      </c>
      <c r="I14" s="6">
        <f t="shared" si="15"/>
        <v>880</v>
      </c>
      <c r="J14" s="6">
        <f t="shared" si="5"/>
        <v>0.88</v>
      </c>
      <c r="K14" s="6">
        <f t="shared" si="16"/>
        <v>0.24</v>
      </c>
      <c r="L14" s="29">
        <v>0.0032</v>
      </c>
      <c r="M14" s="30"/>
      <c r="N14" s="30"/>
      <c r="O14" s="30"/>
      <c r="P14" s="9">
        <f t="shared" ref="P14:Q14" si="29">0</f>
        <v>0</v>
      </c>
      <c r="Q14" s="9">
        <f t="shared" si="29"/>
        <v>0</v>
      </c>
      <c r="R14" s="9">
        <v>11.15</v>
      </c>
      <c r="S14" s="9">
        <f t="shared" si="7"/>
        <v>-0.01115</v>
      </c>
      <c r="U14" s="9">
        <f t="shared" si="18"/>
        <v>880</v>
      </c>
      <c r="V14" s="9">
        <f t="shared" si="8"/>
        <v>0.88</v>
      </c>
      <c r="X14" s="9">
        <f t="shared" si="19"/>
        <v>18668578.49</v>
      </c>
      <c r="Y14" s="9">
        <f t="shared" si="9"/>
        <v>0.0064</v>
      </c>
      <c r="Z14" s="9">
        <f t="shared" si="10"/>
        <v>-0.5739910314</v>
      </c>
      <c r="AA14" s="9">
        <f t="shared" si="11"/>
        <v>0.0000000004150613333</v>
      </c>
      <c r="AB14" s="9">
        <f t="shared" si="12"/>
        <v>18668578.49</v>
      </c>
      <c r="AC14" s="9">
        <f t="shared" si="13"/>
        <v>-0.03252416409</v>
      </c>
      <c r="AI14" s="9" t="s">
        <v>31</v>
      </c>
      <c r="AJ14" s="10">
        <f>-697/(1000000)</f>
        <v>-0.000697</v>
      </c>
      <c r="AK14" s="10">
        <f>-862/(1000000)</f>
        <v>-0.000862</v>
      </c>
      <c r="AM14" s="9">
        <v>0.53</v>
      </c>
      <c r="AN14" s="10">
        <f t="shared" ref="AN14:AN21" si="31">0.0032
</f>
        <v>0.0032</v>
      </c>
      <c r="AP14" s="9">
        <f t="shared" ref="AP14:AP21" si="32">(AK14-AJ14)/AJ14</f>
        <v>0.2367288379</v>
      </c>
      <c r="AQ14" s="10" t="s">
        <v>32</v>
      </c>
      <c r="AS14" s="9">
        <f>-(9.81*0.53*0.766)*0.0032/(2*0.0000000004150613333)</f>
        <v>-15352579.41</v>
      </c>
      <c r="AT14" s="6">
        <f t="shared" ref="AT14:AT21" si="33">(AS14/(AP14*(10^9)))*700</f>
        <v>-45.39711209</v>
      </c>
      <c r="AX14" s="5"/>
      <c r="AZ14" s="6"/>
      <c r="BA14" s="10"/>
      <c r="BB14" s="10"/>
    </row>
    <row r="15">
      <c r="D15" s="16">
        <f t="shared" si="2"/>
        <v>875.2</v>
      </c>
      <c r="E15" s="6">
        <f t="shared" si="3"/>
        <v>8.585712</v>
      </c>
      <c r="F15" s="6">
        <v>5.25</v>
      </c>
      <c r="G15" s="6">
        <f t="shared" si="4"/>
        <v>-0.00525</v>
      </c>
      <c r="I15" s="6">
        <f t="shared" si="15"/>
        <v>900</v>
      </c>
      <c r="J15" s="6">
        <f t="shared" si="5"/>
        <v>0.9</v>
      </c>
      <c r="K15" s="6">
        <f t="shared" si="16"/>
        <v>0.26</v>
      </c>
      <c r="L15" s="29">
        <v>0.0032</v>
      </c>
      <c r="M15" s="30"/>
      <c r="N15" s="30"/>
      <c r="O15" s="30"/>
      <c r="P15" s="9">
        <f t="shared" ref="P15:Q15" si="30">0</f>
        <v>0</v>
      </c>
      <c r="Q15" s="9">
        <f t="shared" si="30"/>
        <v>0</v>
      </c>
      <c r="R15" s="9">
        <v>11.45</v>
      </c>
      <c r="S15" s="9">
        <f t="shared" si="7"/>
        <v>-0.01145</v>
      </c>
      <c r="U15" s="9">
        <f t="shared" si="18"/>
        <v>900</v>
      </c>
      <c r="V15" s="9">
        <f t="shared" si="8"/>
        <v>0.9</v>
      </c>
      <c r="X15" s="9">
        <f t="shared" si="19"/>
        <v>19547708.23</v>
      </c>
      <c r="Y15" s="9">
        <f t="shared" si="9"/>
        <v>0.0062</v>
      </c>
      <c r="Z15" s="9">
        <f t="shared" si="10"/>
        <v>-0.5414847162</v>
      </c>
      <c r="AA15" s="9">
        <f t="shared" si="11"/>
        <v>0.0000000004150613333</v>
      </c>
      <c r="AB15" s="9">
        <f t="shared" si="12"/>
        <v>19547708.23</v>
      </c>
      <c r="AC15" s="9">
        <f t="shared" si="13"/>
        <v>-0.0361002031</v>
      </c>
      <c r="AI15" s="9" t="s">
        <v>33</v>
      </c>
      <c r="AJ15" s="9">
        <f>-1.23/1000</f>
        <v>-0.00123</v>
      </c>
      <c r="AK15" s="9">
        <f>-1.06/1000</f>
        <v>-0.00106</v>
      </c>
      <c r="AM15" s="9">
        <v>0.53</v>
      </c>
      <c r="AN15" s="10">
        <f t="shared" si="31"/>
        <v>0.0032</v>
      </c>
      <c r="AP15" s="9">
        <f t="shared" si="32"/>
        <v>-0.1382113821</v>
      </c>
      <c r="AQ15" s="10" t="s">
        <v>34</v>
      </c>
      <c r="AS15" s="9">
        <f>-9.81*0.53*-0.0032*0.766/(2*0.0000000004150613333)</f>
        <v>15352579.41</v>
      </c>
      <c r="AT15" s="6">
        <f t="shared" si="33"/>
        <v>-77.75629925</v>
      </c>
      <c r="AX15" s="5"/>
      <c r="AZ15" s="6"/>
    </row>
    <row r="16">
      <c r="D16" s="16">
        <f t="shared" si="2"/>
        <v>875.2</v>
      </c>
      <c r="E16" s="6">
        <f t="shared" si="3"/>
        <v>8.585712</v>
      </c>
      <c r="F16" s="6">
        <v>5.8</v>
      </c>
      <c r="G16" s="6">
        <f t="shared" si="4"/>
        <v>-0.0058</v>
      </c>
      <c r="I16" s="6">
        <f t="shared" si="15"/>
        <v>920</v>
      </c>
      <c r="J16" s="6">
        <f t="shared" si="5"/>
        <v>0.92</v>
      </c>
      <c r="K16" s="6">
        <f t="shared" si="16"/>
        <v>0.28</v>
      </c>
      <c r="L16" s="29">
        <v>0.0032</v>
      </c>
      <c r="M16" s="30"/>
      <c r="N16" s="30"/>
      <c r="O16" s="30"/>
      <c r="P16" s="9">
        <v>0.0</v>
      </c>
      <c r="Q16" s="9">
        <f>0</f>
        <v>0</v>
      </c>
      <c r="R16" s="9">
        <v>11.8</v>
      </c>
      <c r="S16" s="9">
        <f t="shared" si="7"/>
        <v>-0.0118</v>
      </c>
      <c r="U16" s="9">
        <f t="shared" si="18"/>
        <v>920</v>
      </c>
      <c r="V16" s="9">
        <f t="shared" si="8"/>
        <v>0.92</v>
      </c>
      <c r="X16" s="9">
        <f t="shared" si="19"/>
        <v>20395809.85</v>
      </c>
      <c r="Y16" s="9">
        <f t="shared" si="9"/>
        <v>0.006</v>
      </c>
      <c r="Z16" s="9">
        <f t="shared" si="10"/>
        <v>-0.5084745763</v>
      </c>
      <c r="AA16" s="9">
        <f t="shared" si="11"/>
        <v>0.0000000004150613333</v>
      </c>
      <c r="AB16" s="9">
        <f t="shared" si="12"/>
        <v>20395809.85</v>
      </c>
      <c r="AC16" s="9">
        <f t="shared" si="13"/>
        <v>-0.04011175938</v>
      </c>
      <c r="AI16" s="9" t="s">
        <v>35</v>
      </c>
      <c r="AJ16" s="9">
        <f>-1.49/1000</f>
        <v>-0.00149</v>
      </c>
      <c r="AK16" s="18">
        <f>-1.62/1000</f>
        <v>-0.00162</v>
      </c>
      <c r="AM16" s="9">
        <v>0.43</v>
      </c>
      <c r="AN16" s="10">
        <f t="shared" si="31"/>
        <v>0.0032</v>
      </c>
      <c r="AP16" s="9">
        <f t="shared" si="32"/>
        <v>0.08724832215</v>
      </c>
      <c r="AQ16" s="10" t="s">
        <v>32</v>
      </c>
      <c r="AS16" s="9">
        <f>-9.81*0.43*0.0032*0.766/(2*0.0000000004150613333)</f>
        <v>-12455866.31</v>
      </c>
      <c r="AT16" s="6">
        <f t="shared" si="33"/>
        <v>-99.93437359</v>
      </c>
      <c r="AX16" s="5"/>
      <c r="AZ16" s="6"/>
    </row>
    <row r="17">
      <c r="D17" s="16">
        <f t="shared" si="2"/>
        <v>875.2</v>
      </c>
      <c r="E17" s="6">
        <f t="shared" si="3"/>
        <v>8.585712</v>
      </c>
      <c r="F17" s="6">
        <v>6.4</v>
      </c>
      <c r="G17" s="6">
        <f t="shared" si="4"/>
        <v>-0.0064</v>
      </c>
      <c r="I17" s="6">
        <f t="shared" si="15"/>
        <v>940</v>
      </c>
      <c r="J17" s="6">
        <f t="shared" si="5"/>
        <v>0.94</v>
      </c>
      <c r="K17" s="6">
        <f t="shared" si="16"/>
        <v>0.3</v>
      </c>
      <c r="L17" s="29">
        <v>0.0032</v>
      </c>
      <c r="M17" s="30"/>
      <c r="N17" s="30"/>
      <c r="O17" s="30"/>
      <c r="P17" s="9">
        <f t="shared" ref="P17:Q17" si="34">0</f>
        <v>0</v>
      </c>
      <c r="Q17" s="9">
        <f t="shared" si="34"/>
        <v>0</v>
      </c>
      <c r="R17" s="9">
        <v>12.5</v>
      </c>
      <c r="S17" s="9">
        <f t="shared" si="7"/>
        <v>-0.0125</v>
      </c>
      <c r="U17" s="9">
        <f t="shared" si="18"/>
        <v>940</v>
      </c>
      <c r="V17" s="9">
        <f t="shared" si="8"/>
        <v>0.94</v>
      </c>
      <c r="X17" s="9">
        <f t="shared" si="19"/>
        <v>21181855.26</v>
      </c>
      <c r="Y17" s="9">
        <f t="shared" si="9"/>
        <v>0.0061</v>
      </c>
      <c r="Z17" s="9">
        <f t="shared" si="10"/>
        <v>-0.488</v>
      </c>
      <c r="AA17" s="9">
        <f t="shared" si="11"/>
        <v>0.0000000004150613333</v>
      </c>
      <c r="AB17" s="9">
        <f t="shared" si="12"/>
        <v>21181855.26</v>
      </c>
      <c r="AC17" s="9">
        <f t="shared" si="13"/>
        <v>-0.04340544111</v>
      </c>
      <c r="AI17" s="9" t="s">
        <v>36</v>
      </c>
      <c r="AJ17" s="9">
        <f>-1.91/1000</f>
        <v>-0.00191</v>
      </c>
      <c r="AK17" s="19">
        <f>-1.77/1000
</f>
        <v>-0.00177</v>
      </c>
      <c r="AM17" s="9">
        <v>0.43</v>
      </c>
      <c r="AN17" s="10">
        <f t="shared" si="31"/>
        <v>0.0032</v>
      </c>
      <c r="AP17" s="9">
        <f t="shared" si="32"/>
        <v>-0.07329842932</v>
      </c>
      <c r="AQ17" s="10" t="s">
        <v>37</v>
      </c>
      <c r="AS17" s="9">
        <f>-9.81*0.43*-0.0032*0.766/(2*0.0000000004150613333)</f>
        <v>12455866.31</v>
      </c>
      <c r="AT17" s="6">
        <f t="shared" si="33"/>
        <v>-118.9535233</v>
      </c>
      <c r="AX17" s="5"/>
      <c r="AZ17" s="6"/>
    </row>
    <row r="18">
      <c r="D18" s="16">
        <f t="shared" si="2"/>
        <v>875.2</v>
      </c>
      <c r="E18" s="6">
        <f t="shared" si="3"/>
        <v>8.585712</v>
      </c>
      <c r="F18" s="6">
        <v>6.95</v>
      </c>
      <c r="G18" s="6">
        <f t="shared" si="4"/>
        <v>-0.00695</v>
      </c>
      <c r="I18" s="6">
        <f t="shared" si="15"/>
        <v>960</v>
      </c>
      <c r="J18" s="6">
        <f t="shared" si="5"/>
        <v>0.96</v>
      </c>
      <c r="K18" s="6">
        <f t="shared" si="16"/>
        <v>0.32</v>
      </c>
      <c r="L18" s="29">
        <v>0.0032</v>
      </c>
      <c r="M18" s="30"/>
      <c r="N18" s="30"/>
      <c r="O18" s="30"/>
      <c r="P18" s="9">
        <f t="shared" ref="P18:Q18" si="35">0</f>
        <v>0</v>
      </c>
      <c r="Q18" s="9">
        <f t="shared" si="35"/>
        <v>0</v>
      </c>
      <c r="R18" s="9">
        <v>12.3</v>
      </c>
      <c r="S18" s="9">
        <f t="shared" si="7"/>
        <v>-0.0123</v>
      </c>
      <c r="U18" s="9">
        <f t="shared" si="18"/>
        <v>960</v>
      </c>
      <c r="V18" s="9">
        <f t="shared" si="8"/>
        <v>0.96</v>
      </c>
      <c r="X18" s="9">
        <f t="shared" si="19"/>
        <v>21564535.27</v>
      </c>
      <c r="Y18" s="9">
        <f t="shared" si="9"/>
        <v>0.00535</v>
      </c>
      <c r="Z18" s="9">
        <f t="shared" si="10"/>
        <v>-0.4349593496</v>
      </c>
      <c r="AA18" s="9">
        <f t="shared" si="11"/>
        <v>0.0000000004150613333</v>
      </c>
      <c r="AB18" s="9">
        <f t="shared" si="12"/>
        <v>21564535.27</v>
      </c>
      <c r="AC18" s="9">
        <f t="shared" si="13"/>
        <v>-0.04957827734</v>
      </c>
      <c r="AI18" s="9" t="s">
        <v>38</v>
      </c>
      <c r="AJ18" s="9">
        <f>-824/1000000
</f>
        <v>-0.000824</v>
      </c>
      <c r="AK18" s="20">
        <f>-927/1000000</f>
        <v>-0.000927</v>
      </c>
      <c r="AM18" s="9">
        <v>0.33</v>
      </c>
      <c r="AN18" s="10">
        <f t="shared" si="31"/>
        <v>0.0032</v>
      </c>
      <c r="AP18" s="9">
        <f t="shared" si="32"/>
        <v>0.125</v>
      </c>
      <c r="AQ18" s="10" t="s">
        <v>32</v>
      </c>
      <c r="AS18" s="9">
        <f>-9.81*0.33*0.0032*0.766/(2*0.0000000004150613333)</f>
        <v>-9559153.218</v>
      </c>
      <c r="AT18" s="6">
        <f t="shared" si="33"/>
        <v>-53.53125802</v>
      </c>
      <c r="AX18" s="5"/>
      <c r="AZ18" s="6"/>
    </row>
    <row r="19">
      <c r="D19" s="16">
        <f t="shared" si="2"/>
        <v>875.2</v>
      </c>
      <c r="E19" s="6">
        <f t="shared" si="3"/>
        <v>8.585712</v>
      </c>
      <c r="F19" s="6">
        <v>7.6</v>
      </c>
      <c r="G19" s="6">
        <f t="shared" si="4"/>
        <v>-0.0076</v>
      </c>
      <c r="I19" s="6">
        <f t="shared" si="15"/>
        <v>980</v>
      </c>
      <c r="J19" s="6">
        <f t="shared" si="5"/>
        <v>0.98</v>
      </c>
      <c r="K19" s="6">
        <f t="shared" si="16"/>
        <v>0.34</v>
      </c>
      <c r="L19" s="29">
        <v>0.0032</v>
      </c>
      <c r="M19" s="30"/>
      <c r="N19" s="30"/>
      <c r="O19" s="30"/>
      <c r="P19" s="9">
        <f t="shared" ref="P19:Q19" si="36">0</f>
        <v>0</v>
      </c>
      <c r="Q19" s="9">
        <f t="shared" si="36"/>
        <v>0</v>
      </c>
      <c r="R19" s="9">
        <v>12.63</v>
      </c>
      <c r="S19" s="9">
        <f t="shared" si="7"/>
        <v>-0.01263</v>
      </c>
      <c r="U19" s="9">
        <f t="shared" si="18"/>
        <v>980</v>
      </c>
      <c r="V19" s="9">
        <f t="shared" si="8"/>
        <v>0.98</v>
      </c>
      <c r="X19" s="9">
        <f t="shared" si="19"/>
        <v>22009271.48</v>
      </c>
      <c r="Y19" s="9">
        <f t="shared" si="9"/>
        <v>0.00503</v>
      </c>
      <c r="Z19" s="9">
        <f t="shared" si="10"/>
        <v>-0.3982581156</v>
      </c>
      <c r="AA19" s="9">
        <f t="shared" si="11"/>
        <v>0.0000000004150613333</v>
      </c>
      <c r="AB19" s="9">
        <f t="shared" si="12"/>
        <v>22009271.48</v>
      </c>
      <c r="AC19" s="9">
        <f t="shared" si="13"/>
        <v>-0.05526383675</v>
      </c>
      <c r="AI19" s="9" t="s">
        <v>39</v>
      </c>
      <c r="AJ19" s="9">
        <f>-1.95/1000</f>
        <v>-0.00195</v>
      </c>
      <c r="AK19" s="9">
        <f>-1.84/1000</f>
        <v>-0.00184</v>
      </c>
      <c r="AM19" s="9">
        <v>0.33</v>
      </c>
      <c r="AN19" s="10">
        <f t="shared" si="31"/>
        <v>0.0032</v>
      </c>
      <c r="AP19" s="9">
        <f t="shared" si="32"/>
        <v>-0.05641025641</v>
      </c>
      <c r="AQ19" s="10" t="s">
        <v>37</v>
      </c>
      <c r="AS19" s="9">
        <f>-9.81*0.33*-0.0032*0.766/(2*0.0000000004150613333)</f>
        <v>9559153.218</v>
      </c>
      <c r="AT19" s="6">
        <f t="shared" si="33"/>
        <v>-118.6204013</v>
      </c>
      <c r="AX19" s="5"/>
      <c r="AZ19" s="6"/>
      <c r="BA19" s="10"/>
      <c r="BB19" s="10"/>
    </row>
    <row r="20">
      <c r="D20" s="16">
        <f t="shared" si="2"/>
        <v>875.2</v>
      </c>
      <c r="E20" s="6">
        <f t="shared" si="3"/>
        <v>8.585712</v>
      </c>
      <c r="F20" s="6">
        <v>8.2</v>
      </c>
      <c r="G20" s="6">
        <f t="shared" si="4"/>
        <v>-0.0082</v>
      </c>
      <c r="I20" s="6">
        <f t="shared" si="15"/>
        <v>1000</v>
      </c>
      <c r="J20" s="6">
        <f t="shared" si="5"/>
        <v>1</v>
      </c>
      <c r="K20" s="6">
        <f t="shared" si="16"/>
        <v>0.36</v>
      </c>
      <c r="L20" s="29">
        <v>0.0032</v>
      </c>
      <c r="M20" s="30"/>
      <c r="N20" s="30"/>
      <c r="O20" s="30"/>
      <c r="P20" s="9">
        <f t="shared" ref="P20:Q20" si="37">0</f>
        <v>0</v>
      </c>
      <c r="Q20" s="9">
        <f t="shared" si="37"/>
        <v>0</v>
      </c>
      <c r="R20" s="9">
        <v>12.97</v>
      </c>
      <c r="S20" s="9">
        <f t="shared" si="7"/>
        <v>-0.01297</v>
      </c>
      <c r="U20" s="9">
        <f t="shared" si="18"/>
        <v>1000</v>
      </c>
      <c r="V20" s="9">
        <f t="shared" si="8"/>
        <v>1</v>
      </c>
      <c r="X20" s="9">
        <f t="shared" si="19"/>
        <v>22050642.3</v>
      </c>
      <c r="Y20" s="9">
        <f t="shared" si="9"/>
        <v>0.00477</v>
      </c>
      <c r="Z20" s="9">
        <f t="shared" si="10"/>
        <v>-0.367771781</v>
      </c>
      <c r="AA20" s="9">
        <f t="shared" si="11"/>
        <v>0.0000000004150613333</v>
      </c>
      <c r="AB20" s="9">
        <f t="shared" si="12"/>
        <v>22050642.3</v>
      </c>
      <c r="AC20" s="9">
        <f t="shared" si="13"/>
        <v>-0.05995740683</v>
      </c>
      <c r="AI20" s="9" t="s">
        <v>40</v>
      </c>
      <c r="AJ20" s="9">
        <f>-1.33/1000</f>
        <v>-0.00133</v>
      </c>
      <c r="AK20" s="9">
        <f>-1.4/1000</f>
        <v>-0.0014</v>
      </c>
      <c r="AM20" s="9">
        <v>0.23</v>
      </c>
      <c r="AN20" s="10">
        <f t="shared" si="31"/>
        <v>0.0032</v>
      </c>
      <c r="AP20" s="9">
        <f t="shared" si="32"/>
        <v>0.05263157895</v>
      </c>
      <c r="AQ20" s="10" t="s">
        <v>32</v>
      </c>
      <c r="AS20" s="9">
        <f>-9.81*0.23*0.0032*0.766/(2*0.0000000004150613333)</f>
        <v>-6662440.122</v>
      </c>
      <c r="AT20" s="6">
        <f t="shared" si="33"/>
        <v>-88.61045362</v>
      </c>
      <c r="AX20" s="5"/>
      <c r="AZ20" s="6"/>
    </row>
    <row r="21">
      <c r="D21" s="16">
        <f t="shared" si="2"/>
        <v>875.2</v>
      </c>
      <c r="E21" s="6">
        <f t="shared" si="3"/>
        <v>8.585712</v>
      </c>
      <c r="F21" s="6">
        <v>9.3</v>
      </c>
      <c r="G21" s="6">
        <f t="shared" si="4"/>
        <v>-0.0093</v>
      </c>
      <c r="I21" s="6">
        <f t="shared" si="15"/>
        <v>1020</v>
      </c>
      <c r="J21" s="6">
        <f t="shared" si="5"/>
        <v>1.02</v>
      </c>
      <c r="K21" s="6">
        <f t="shared" si="16"/>
        <v>0.38</v>
      </c>
      <c r="L21" s="29">
        <v>0.0032</v>
      </c>
      <c r="M21" s="30"/>
      <c r="N21" s="30"/>
      <c r="O21" s="30"/>
      <c r="P21" s="9">
        <f t="shared" ref="P21:Q21" si="38">0</f>
        <v>0</v>
      </c>
      <c r="Q21" s="9">
        <f t="shared" si="38"/>
        <v>0</v>
      </c>
      <c r="R21" s="9">
        <v>13.8</v>
      </c>
      <c r="S21" s="9">
        <f t="shared" si="7"/>
        <v>-0.0138</v>
      </c>
      <c r="U21" s="9">
        <f t="shared" si="18"/>
        <v>1020</v>
      </c>
      <c r="V21" s="9">
        <f t="shared" si="8"/>
        <v>1.02</v>
      </c>
      <c r="X21" s="9">
        <f t="shared" si="19"/>
        <v>23084912.57</v>
      </c>
      <c r="Y21" s="9">
        <f t="shared" si="9"/>
        <v>0.0045</v>
      </c>
      <c r="Z21" s="9">
        <f t="shared" si="10"/>
        <v>-0.3260869565</v>
      </c>
      <c r="AA21" s="9">
        <f t="shared" si="11"/>
        <v>0.0000000004150613333</v>
      </c>
      <c r="AB21" s="9">
        <f t="shared" si="12"/>
        <v>23084912.57</v>
      </c>
      <c r="AC21" s="9">
        <f t="shared" si="13"/>
        <v>-0.07079373189</v>
      </c>
      <c r="AI21" s="9" t="s">
        <v>41</v>
      </c>
      <c r="AJ21" s="9">
        <f>-2.51/1000</f>
        <v>-0.00251</v>
      </c>
      <c r="AK21" s="9">
        <f>-2.44/1000</f>
        <v>-0.00244</v>
      </c>
      <c r="AM21" s="9">
        <v>0.23</v>
      </c>
      <c r="AN21" s="10">
        <f t="shared" si="31"/>
        <v>0.0032</v>
      </c>
      <c r="AP21" s="9">
        <f t="shared" si="32"/>
        <v>-0.02788844622</v>
      </c>
      <c r="AQ21" s="10" t="s">
        <v>37</v>
      </c>
      <c r="AS21" s="9">
        <f>-9.81*0.23*-0.0032*0.766/(2*0.0000000004150613333)</f>
        <v>6662440.122</v>
      </c>
      <c r="AT21" s="6">
        <f t="shared" si="33"/>
        <v>-167.2272471</v>
      </c>
      <c r="AX21" s="33"/>
      <c r="AZ21" s="21"/>
    </row>
    <row r="22">
      <c r="D22" s="16">
        <f t="shared" si="2"/>
        <v>875.2</v>
      </c>
      <c r="E22" s="6">
        <f t="shared" si="3"/>
        <v>8.585712</v>
      </c>
      <c r="F22" s="6">
        <v>9.98</v>
      </c>
      <c r="G22" s="6">
        <f t="shared" si="4"/>
        <v>-0.00998</v>
      </c>
      <c r="I22" s="6">
        <f t="shared" si="15"/>
        <v>1040</v>
      </c>
      <c r="J22" s="6">
        <f t="shared" si="5"/>
        <v>1.04</v>
      </c>
      <c r="K22" s="6">
        <f t="shared" si="16"/>
        <v>0.4</v>
      </c>
      <c r="L22" s="29">
        <v>0.0032</v>
      </c>
      <c r="M22" s="30"/>
      <c r="N22" s="30"/>
      <c r="O22" s="30"/>
      <c r="P22" s="9">
        <f t="shared" ref="P22:Q22" si="39">0</f>
        <v>0</v>
      </c>
      <c r="Q22" s="9">
        <f t="shared" si="39"/>
        <v>0</v>
      </c>
      <c r="R22" s="9">
        <v>14.05</v>
      </c>
      <c r="S22" s="9">
        <f t="shared" si="7"/>
        <v>-0.01405</v>
      </c>
      <c r="U22" s="9">
        <f t="shared" si="18"/>
        <v>1040</v>
      </c>
      <c r="V22" s="9">
        <f t="shared" si="8"/>
        <v>1.04</v>
      </c>
      <c r="X22" s="9">
        <f t="shared" si="19"/>
        <v>22708438.19</v>
      </c>
      <c r="Y22" s="9">
        <f t="shared" si="9"/>
        <v>0.00407</v>
      </c>
      <c r="Z22" s="9">
        <f t="shared" si="10"/>
        <v>-0.2896797153</v>
      </c>
      <c r="AA22" s="9">
        <f t="shared" si="11"/>
        <v>0.0000000004150613333</v>
      </c>
      <c r="AB22" s="9">
        <f t="shared" si="12"/>
        <v>22708438.19</v>
      </c>
      <c r="AC22" s="9">
        <f t="shared" si="13"/>
        <v>-0.07839153725</v>
      </c>
    </row>
    <row r="23">
      <c r="D23" s="16">
        <f t="shared" si="2"/>
        <v>875.2</v>
      </c>
      <c r="E23" s="6">
        <f t="shared" si="3"/>
        <v>8.585712</v>
      </c>
      <c r="F23" s="6">
        <v>10.8</v>
      </c>
      <c r="G23" s="6">
        <f t="shared" si="4"/>
        <v>-0.0108</v>
      </c>
      <c r="I23" s="6">
        <f t="shared" si="15"/>
        <v>1060</v>
      </c>
      <c r="J23" s="6">
        <f t="shared" si="5"/>
        <v>1.06</v>
      </c>
      <c r="K23" s="6">
        <f t="shared" si="16"/>
        <v>0.42</v>
      </c>
      <c r="L23" s="29">
        <v>0.0032</v>
      </c>
      <c r="M23" s="30"/>
      <c r="N23" s="30"/>
      <c r="O23" s="30"/>
      <c r="P23" s="9">
        <f t="shared" ref="P23:Q23" si="40">0</f>
        <v>0</v>
      </c>
      <c r="Q23" s="9">
        <f t="shared" si="40"/>
        <v>0</v>
      </c>
      <c r="R23" s="9">
        <v>14.5</v>
      </c>
      <c r="S23" s="9">
        <f t="shared" si="7"/>
        <v>-0.0145</v>
      </c>
      <c r="U23" s="9">
        <f t="shared" si="18"/>
        <v>1060</v>
      </c>
      <c r="V23" s="9">
        <f t="shared" si="8"/>
        <v>1.06</v>
      </c>
      <c r="X23" s="9">
        <f t="shared" si="19"/>
        <v>22340237.97</v>
      </c>
      <c r="Y23" s="9">
        <f t="shared" si="9"/>
        <v>0.0037</v>
      </c>
      <c r="Z23" s="9">
        <f t="shared" si="10"/>
        <v>-0.2551724138</v>
      </c>
      <c r="AA23" s="9">
        <f t="shared" si="11"/>
        <v>0.0000000004150613333</v>
      </c>
      <c r="AB23" s="9">
        <f t="shared" si="12"/>
        <v>22340237.97</v>
      </c>
      <c r="AC23" s="9">
        <f t="shared" si="13"/>
        <v>-0.08754958124</v>
      </c>
    </row>
    <row r="24">
      <c r="D24" s="16">
        <f t="shared" si="2"/>
        <v>875.2</v>
      </c>
      <c r="E24" s="6">
        <f t="shared" si="3"/>
        <v>8.585712</v>
      </c>
      <c r="F24" s="6">
        <v>11.55</v>
      </c>
      <c r="G24" s="6">
        <f t="shared" si="4"/>
        <v>-0.01155</v>
      </c>
      <c r="I24" s="6">
        <f t="shared" si="15"/>
        <v>1080</v>
      </c>
      <c r="J24" s="6">
        <f t="shared" si="5"/>
        <v>1.08</v>
      </c>
      <c r="K24" s="6">
        <f t="shared" si="16"/>
        <v>0.44</v>
      </c>
      <c r="L24" s="29">
        <v>0.0032</v>
      </c>
      <c r="M24" s="30"/>
      <c r="N24" s="30"/>
      <c r="O24" s="30"/>
      <c r="P24" s="9">
        <f t="shared" ref="P24:Q24" si="41">0</f>
        <v>0</v>
      </c>
      <c r="Q24" s="9">
        <f t="shared" si="41"/>
        <v>0</v>
      </c>
      <c r="R24" s="9">
        <v>14.65</v>
      </c>
      <c r="S24" s="9">
        <f t="shared" si="7"/>
        <v>-0.01465</v>
      </c>
      <c r="U24" s="9">
        <f t="shared" si="18"/>
        <v>1080</v>
      </c>
      <c r="V24" s="9">
        <f t="shared" si="8"/>
        <v>1.08</v>
      </c>
      <c r="X24" s="9">
        <f t="shared" si="19"/>
        <v>21502479.05</v>
      </c>
      <c r="Y24" s="9">
        <f t="shared" si="9"/>
        <v>0.0031</v>
      </c>
      <c r="Z24" s="9">
        <f t="shared" si="10"/>
        <v>-0.2116040956</v>
      </c>
      <c r="AA24" s="9">
        <f t="shared" si="11"/>
        <v>0.0000000004150613333</v>
      </c>
      <c r="AB24" s="9">
        <f t="shared" si="12"/>
        <v>21502479.05</v>
      </c>
      <c r="AC24" s="9">
        <f t="shared" si="13"/>
        <v>-0.1016165542</v>
      </c>
    </row>
    <row r="25">
      <c r="D25" s="16">
        <f t="shared" si="2"/>
        <v>875.2</v>
      </c>
      <c r="E25" s="6">
        <f t="shared" si="3"/>
        <v>8.585712</v>
      </c>
      <c r="F25" s="6">
        <v>12.1</v>
      </c>
      <c r="G25" s="6">
        <f t="shared" si="4"/>
        <v>-0.0121</v>
      </c>
      <c r="I25" s="6">
        <f t="shared" si="15"/>
        <v>1100</v>
      </c>
      <c r="J25" s="6">
        <f t="shared" si="5"/>
        <v>1.1</v>
      </c>
      <c r="K25" s="6">
        <f t="shared" si="16"/>
        <v>0.46</v>
      </c>
      <c r="L25" s="29">
        <v>0.0032</v>
      </c>
      <c r="M25" s="30"/>
      <c r="N25" s="30"/>
      <c r="O25" s="30"/>
      <c r="P25" s="9">
        <f t="shared" ref="P25:Q25" si="42">0</f>
        <v>0</v>
      </c>
      <c r="Q25" s="9">
        <f t="shared" si="42"/>
        <v>0</v>
      </c>
      <c r="R25" s="9">
        <v>15.2</v>
      </c>
      <c r="S25" s="9">
        <f t="shared" si="7"/>
        <v>-0.0152</v>
      </c>
      <c r="U25" s="9">
        <f t="shared" si="18"/>
        <v>1100</v>
      </c>
      <c r="V25" s="9">
        <f t="shared" si="8"/>
        <v>1.1</v>
      </c>
      <c r="X25" s="9">
        <f t="shared" si="19"/>
        <v>20023472.55</v>
      </c>
      <c r="Y25" s="9">
        <f t="shared" si="9"/>
        <v>0.0031</v>
      </c>
      <c r="Z25" s="9">
        <f t="shared" si="10"/>
        <v>-0.2039473684</v>
      </c>
      <c r="AA25" s="9">
        <f t="shared" si="11"/>
        <v>0.0000000004150613333</v>
      </c>
      <c r="AB25" s="9">
        <f t="shared" si="12"/>
        <v>20023472.55</v>
      </c>
      <c r="AC25" s="9">
        <f t="shared" si="13"/>
        <v>-0.09817960736</v>
      </c>
    </row>
    <row r="26">
      <c r="D26" s="16">
        <f t="shared" si="2"/>
        <v>875.2</v>
      </c>
      <c r="E26" s="6">
        <f t="shared" si="3"/>
        <v>8.585712</v>
      </c>
      <c r="F26" s="6">
        <v>12.65</v>
      </c>
      <c r="G26" s="6">
        <f t="shared" si="4"/>
        <v>-0.01265</v>
      </c>
      <c r="I26" s="6">
        <f t="shared" si="15"/>
        <v>1120</v>
      </c>
      <c r="J26" s="6">
        <f t="shared" si="5"/>
        <v>1.12</v>
      </c>
      <c r="K26" s="6">
        <f t="shared" si="16"/>
        <v>0.48</v>
      </c>
      <c r="L26" s="29">
        <v>0.0032</v>
      </c>
      <c r="M26" s="30"/>
      <c r="N26" s="30"/>
      <c r="O26" s="30"/>
      <c r="P26" s="9">
        <f t="shared" ref="P26:Q26" si="43">0</f>
        <v>0</v>
      </c>
      <c r="Q26" s="9">
        <f t="shared" si="43"/>
        <v>0</v>
      </c>
      <c r="R26" s="9">
        <v>15.5</v>
      </c>
      <c r="S26" s="9">
        <f t="shared" si="7"/>
        <v>-0.0155</v>
      </c>
      <c r="U26" s="9">
        <f t="shared" si="18"/>
        <v>1120</v>
      </c>
      <c r="V26" s="9">
        <f t="shared" si="8"/>
        <v>1.12</v>
      </c>
      <c r="X26" s="9">
        <f t="shared" si="19"/>
        <v>18316926.6</v>
      </c>
      <c r="Y26" s="9">
        <f t="shared" si="9"/>
        <v>0.00285</v>
      </c>
      <c r="Z26" s="9">
        <f t="shared" si="10"/>
        <v>-0.1838709677</v>
      </c>
      <c r="AA26" s="9">
        <f t="shared" si="11"/>
        <v>0.0000000004150613333</v>
      </c>
      <c r="AB26" s="9">
        <f t="shared" si="12"/>
        <v>18316926.6</v>
      </c>
      <c r="AC26" s="9">
        <f t="shared" si="13"/>
        <v>-0.09961837272</v>
      </c>
    </row>
    <row r="27">
      <c r="D27" s="16">
        <f t="shared" si="2"/>
        <v>875.2</v>
      </c>
      <c r="E27" s="6">
        <f t="shared" si="3"/>
        <v>8.585712</v>
      </c>
      <c r="F27" s="6">
        <v>13.45</v>
      </c>
      <c r="G27" s="6">
        <f t="shared" si="4"/>
        <v>-0.01345</v>
      </c>
      <c r="I27" s="6">
        <f t="shared" si="15"/>
        <v>1140</v>
      </c>
      <c r="J27" s="6">
        <f t="shared" si="5"/>
        <v>1.14</v>
      </c>
      <c r="K27" s="6">
        <f t="shared" si="16"/>
        <v>0.5</v>
      </c>
      <c r="L27" s="29">
        <v>0.0032</v>
      </c>
      <c r="M27" s="30"/>
      <c r="N27" s="30"/>
      <c r="O27" s="30"/>
      <c r="P27" s="9">
        <f t="shared" ref="P27:Q27" si="44">0</f>
        <v>0</v>
      </c>
      <c r="Q27" s="9">
        <f t="shared" si="44"/>
        <v>0</v>
      </c>
      <c r="R27" s="9">
        <v>15.85</v>
      </c>
      <c r="S27" s="9">
        <f t="shared" si="7"/>
        <v>-0.01585</v>
      </c>
      <c r="U27" s="9">
        <f t="shared" si="18"/>
        <v>1140</v>
      </c>
      <c r="V27" s="9">
        <f t="shared" si="8"/>
        <v>1.14</v>
      </c>
      <c r="X27" s="9">
        <f t="shared" si="19"/>
        <v>16693122.26</v>
      </c>
      <c r="Y27" s="9">
        <f t="shared" si="9"/>
        <v>0.0024</v>
      </c>
      <c r="Z27" s="9">
        <f t="shared" si="10"/>
        <v>-0.1514195584</v>
      </c>
      <c r="AA27" s="9">
        <f t="shared" si="11"/>
        <v>0.0000000004150613333</v>
      </c>
      <c r="AB27" s="9">
        <f t="shared" si="12"/>
        <v>16693122.26</v>
      </c>
      <c r="AC27" s="9">
        <f t="shared" si="13"/>
        <v>-0.1102441616</v>
      </c>
    </row>
    <row r="28">
      <c r="D28" s="16">
        <f t="shared" si="2"/>
        <v>875.2</v>
      </c>
      <c r="E28" s="6">
        <f t="shared" si="3"/>
        <v>8.585712</v>
      </c>
      <c r="F28" s="6">
        <v>14.25</v>
      </c>
      <c r="G28" s="6">
        <f t="shared" si="4"/>
        <v>-0.01425</v>
      </c>
      <c r="I28" s="6">
        <f t="shared" si="15"/>
        <v>1160</v>
      </c>
      <c r="J28" s="6">
        <f t="shared" si="5"/>
        <v>1.16</v>
      </c>
      <c r="K28" s="6">
        <f t="shared" si="16"/>
        <v>0.52</v>
      </c>
      <c r="L28" s="29">
        <v>0.0032</v>
      </c>
      <c r="P28" s="9">
        <f t="shared" ref="P28:Q28" si="45">0</f>
        <v>0</v>
      </c>
      <c r="Q28" s="9">
        <f t="shared" si="45"/>
        <v>0</v>
      </c>
      <c r="R28" s="9">
        <v>16.35</v>
      </c>
      <c r="S28" s="9">
        <f t="shared" si="7"/>
        <v>-0.01635</v>
      </c>
      <c r="U28" s="9">
        <f t="shared" si="18"/>
        <v>1160</v>
      </c>
      <c r="V28" s="9">
        <f t="shared" si="8"/>
        <v>1.16</v>
      </c>
      <c r="X28" s="9">
        <f t="shared" si="19"/>
        <v>14738351.44</v>
      </c>
      <c r="Y28" s="9">
        <f t="shared" si="9"/>
        <v>0.0021</v>
      </c>
      <c r="Z28" s="9">
        <f t="shared" si="10"/>
        <v>-0.128440367</v>
      </c>
      <c r="AA28" s="9">
        <f t="shared" si="11"/>
        <v>0.0000000004150613333</v>
      </c>
      <c r="AB28" s="9">
        <f t="shared" si="12"/>
        <v>14738351.44</v>
      </c>
      <c r="AC28" s="9">
        <f t="shared" si="13"/>
        <v>-0.1147485934</v>
      </c>
    </row>
    <row r="29">
      <c r="D29" s="16">
        <f t="shared" si="2"/>
        <v>875.2</v>
      </c>
      <c r="E29" s="6">
        <f t="shared" si="3"/>
        <v>8.585712</v>
      </c>
      <c r="F29" s="6">
        <v>15.55</v>
      </c>
      <c r="G29" s="6">
        <f t="shared" si="4"/>
        <v>-0.01555</v>
      </c>
      <c r="I29" s="6">
        <f t="shared" si="15"/>
        <v>1180</v>
      </c>
      <c r="J29" s="6">
        <f t="shared" si="5"/>
        <v>1.18</v>
      </c>
      <c r="K29" s="6">
        <f t="shared" si="16"/>
        <v>0.54</v>
      </c>
      <c r="L29" s="29">
        <v>0.0032</v>
      </c>
      <c r="P29" s="9">
        <f t="shared" ref="P29:Q29" si="46">0</f>
        <v>0</v>
      </c>
      <c r="Q29" s="9">
        <f t="shared" si="46"/>
        <v>0</v>
      </c>
      <c r="R29" s="10">
        <v>17.2</v>
      </c>
      <c r="S29" s="9">
        <f t="shared" si="7"/>
        <v>-0.0172</v>
      </c>
      <c r="U29" s="9">
        <f t="shared" si="18"/>
        <v>1180</v>
      </c>
      <c r="V29" s="9">
        <f t="shared" si="8"/>
        <v>1.18</v>
      </c>
      <c r="X29" s="9">
        <f t="shared" si="19"/>
        <v>12866322.24</v>
      </c>
      <c r="Y29" s="9">
        <f t="shared" si="9"/>
        <v>0.00165</v>
      </c>
      <c r="Z29" s="9">
        <f t="shared" si="10"/>
        <v>-0.09593023256</v>
      </c>
      <c r="AA29" s="9">
        <f t="shared" si="11"/>
        <v>0.0000000004150613333</v>
      </c>
      <c r="AB29" s="9">
        <f t="shared" si="12"/>
        <v>12866322.24</v>
      </c>
      <c r="AC29" s="9">
        <f t="shared" si="13"/>
        <v>-0.1341216621</v>
      </c>
    </row>
    <row r="30">
      <c r="D30" s="16">
        <f t="shared" si="2"/>
        <v>875.2</v>
      </c>
      <c r="E30" s="6">
        <f t="shared" si="3"/>
        <v>8.585712</v>
      </c>
      <c r="F30" s="6">
        <v>15.95</v>
      </c>
      <c r="G30" s="6">
        <f t="shared" si="4"/>
        <v>-0.01595</v>
      </c>
      <c r="I30" s="6">
        <f t="shared" si="15"/>
        <v>1200</v>
      </c>
      <c r="J30" s="6">
        <f t="shared" si="5"/>
        <v>1.2</v>
      </c>
      <c r="K30" s="6">
        <f t="shared" si="16"/>
        <v>0.56</v>
      </c>
      <c r="L30" s="29">
        <v>0.0032</v>
      </c>
      <c r="P30" s="9">
        <f t="shared" ref="P30:Q30" si="47">0</f>
        <v>0</v>
      </c>
      <c r="Q30" s="9">
        <f t="shared" si="47"/>
        <v>0</v>
      </c>
      <c r="R30" s="10">
        <v>17.7</v>
      </c>
      <c r="S30" s="9">
        <f t="shared" si="7"/>
        <v>-0.0177</v>
      </c>
      <c r="U30" s="9">
        <f t="shared" si="18"/>
        <v>1200</v>
      </c>
      <c r="V30" s="9">
        <f t="shared" si="8"/>
        <v>1.2</v>
      </c>
      <c r="X30" s="9">
        <f t="shared" si="19"/>
        <v>9897966.546</v>
      </c>
      <c r="Y30" s="9">
        <f t="shared" si="9"/>
        <v>0.00175</v>
      </c>
      <c r="Z30" s="9">
        <f t="shared" si="10"/>
        <v>-0.0988700565</v>
      </c>
      <c r="AA30" s="9">
        <f t="shared" si="11"/>
        <v>0.0000000004150613333</v>
      </c>
      <c r="AB30" s="9">
        <f t="shared" si="12"/>
        <v>9897966.546</v>
      </c>
      <c r="AC30" s="9">
        <f t="shared" si="13"/>
        <v>-0.1001108616</v>
      </c>
    </row>
    <row r="31">
      <c r="D31" s="16">
        <f t="shared" si="2"/>
        <v>875.2</v>
      </c>
      <c r="E31" s="6">
        <f t="shared" si="3"/>
        <v>8.585712</v>
      </c>
      <c r="F31" s="6">
        <v>16.8</v>
      </c>
      <c r="G31" s="6">
        <f t="shared" si="4"/>
        <v>-0.0168</v>
      </c>
      <c r="I31" s="6">
        <f t="shared" si="15"/>
        <v>1220</v>
      </c>
      <c r="J31" s="6">
        <f t="shared" si="5"/>
        <v>1.22</v>
      </c>
      <c r="K31" s="6">
        <f t="shared" si="16"/>
        <v>0.58</v>
      </c>
      <c r="L31" s="29">
        <v>0.0032</v>
      </c>
      <c r="P31" s="9">
        <f t="shared" ref="P31:Q31" si="48">0</f>
        <v>0</v>
      </c>
      <c r="Q31" s="9">
        <f t="shared" si="48"/>
        <v>0</v>
      </c>
      <c r="R31" s="9">
        <v>17.95</v>
      </c>
      <c r="S31" s="9">
        <f t="shared" si="7"/>
        <v>-0.01795</v>
      </c>
      <c r="U31" s="9">
        <f t="shared" si="18"/>
        <v>1220</v>
      </c>
      <c r="V31" s="9">
        <f t="shared" si="8"/>
        <v>1.22</v>
      </c>
      <c r="X31" s="9">
        <f t="shared" si="19"/>
        <v>6950296.258</v>
      </c>
      <c r="Y31" s="9">
        <f t="shared" si="9"/>
        <v>0.00115</v>
      </c>
      <c r="Z31" s="9">
        <f t="shared" si="10"/>
        <v>-0.06406685237</v>
      </c>
      <c r="AA31" s="9">
        <f t="shared" si="11"/>
        <v>0.0000000004150613333</v>
      </c>
      <c r="AB31" s="9">
        <f t="shared" si="12"/>
        <v>6950296.258</v>
      </c>
      <c r="AC31" s="9">
        <f t="shared" si="13"/>
        <v>-0.108485059</v>
      </c>
    </row>
    <row r="32">
      <c r="D32" s="16">
        <f t="shared" si="2"/>
        <v>875.2</v>
      </c>
      <c r="E32" s="6">
        <f t="shared" si="3"/>
        <v>8.585712</v>
      </c>
      <c r="F32" s="6">
        <v>17.7</v>
      </c>
      <c r="G32" s="6">
        <f t="shared" si="4"/>
        <v>-0.0177</v>
      </c>
      <c r="I32" s="6">
        <f t="shared" si="15"/>
        <v>1240</v>
      </c>
      <c r="J32" s="6">
        <f t="shared" si="5"/>
        <v>1.24</v>
      </c>
      <c r="K32" s="6">
        <f t="shared" si="16"/>
        <v>0.6</v>
      </c>
      <c r="L32" s="29">
        <v>0.0032</v>
      </c>
      <c r="P32" s="9">
        <f t="shared" ref="P32:Q32" si="49">0</f>
        <v>0</v>
      </c>
      <c r="Q32" s="9">
        <f t="shared" si="49"/>
        <v>0</v>
      </c>
      <c r="R32" s="10">
        <v>18.5</v>
      </c>
      <c r="S32" s="9">
        <f t="shared" si="7"/>
        <v>-0.0185</v>
      </c>
      <c r="U32" s="9">
        <f t="shared" si="18"/>
        <v>1240</v>
      </c>
      <c r="V32" s="9">
        <f t="shared" si="8"/>
        <v>1.24</v>
      </c>
      <c r="X32" s="9">
        <f t="shared" si="19"/>
        <v>3661316.779</v>
      </c>
      <c r="Y32" s="9">
        <f t="shared" si="9"/>
        <v>0.0008</v>
      </c>
      <c r="Z32" s="9">
        <f t="shared" si="10"/>
        <v>-0.04324324324</v>
      </c>
      <c r="AA32" s="9">
        <f t="shared" si="11"/>
        <v>0.0000000004150613333</v>
      </c>
      <c r="AB32" s="9">
        <f t="shared" si="12"/>
        <v>3661316.779</v>
      </c>
      <c r="AC32" s="9">
        <f t="shared" si="13"/>
        <v>-0.08466795051</v>
      </c>
    </row>
    <row r="33">
      <c r="D33" s="16">
        <f t="shared" si="2"/>
        <v>875.2</v>
      </c>
      <c r="E33" s="6">
        <f t="shared" si="3"/>
        <v>8.585712</v>
      </c>
      <c r="F33" s="6">
        <v>18.95</v>
      </c>
      <c r="G33" s="6">
        <f t="shared" si="4"/>
        <v>-0.01895</v>
      </c>
      <c r="I33" s="6">
        <f t="shared" si="15"/>
        <v>1260</v>
      </c>
      <c r="J33" s="6">
        <f t="shared" si="5"/>
        <v>1.26</v>
      </c>
      <c r="K33" s="6">
        <f t="shared" si="16"/>
        <v>0.62</v>
      </c>
      <c r="L33" s="29">
        <v>0.0032</v>
      </c>
      <c r="P33" s="9">
        <f t="shared" ref="P33:Q33" si="50">0</f>
        <v>0</v>
      </c>
      <c r="Q33" s="9">
        <f t="shared" si="50"/>
        <v>0</v>
      </c>
      <c r="R33" s="10">
        <v>18.95</v>
      </c>
      <c r="S33" s="9">
        <f t="shared" si="7"/>
        <v>-0.01895</v>
      </c>
      <c r="U33" s="9">
        <f t="shared" si="18"/>
        <v>1260</v>
      </c>
      <c r="V33" s="9">
        <f t="shared" si="8"/>
        <v>1.26</v>
      </c>
      <c r="X33" s="9">
        <f t="shared" si="19"/>
        <v>0</v>
      </c>
      <c r="Y33" s="9">
        <f t="shared" si="9"/>
        <v>0</v>
      </c>
      <c r="AA33" s="9">
        <f t="shared" si="11"/>
        <v>0.0000000004150613333</v>
      </c>
      <c r="AB33" s="9">
        <f t="shared" si="12"/>
        <v>0</v>
      </c>
      <c r="AC33" s="9" t="str">
        <f t="shared" si="13"/>
        <v>#DIV/0!</v>
      </c>
    </row>
    <row r="34">
      <c r="E34" s="6"/>
      <c r="K34" s="6">
        <f t="shared" si="16"/>
        <v>0.64</v>
      </c>
    </row>
    <row r="35">
      <c r="E35" s="6"/>
      <c r="K35" s="6">
        <f t="shared" si="16"/>
        <v>0.66</v>
      </c>
    </row>
    <row r="36">
      <c r="K36" s="6">
        <f t="shared" si="16"/>
        <v>0.68</v>
      </c>
    </row>
    <row r="37">
      <c r="A37" s="10" t="s">
        <v>105</v>
      </c>
      <c r="B37" s="10" t="s">
        <v>106</v>
      </c>
      <c r="C37" s="10" t="s">
        <v>107</v>
      </c>
      <c r="D37" s="10" t="s">
        <v>108</v>
      </c>
      <c r="E37" s="10" t="s">
        <v>109</v>
      </c>
      <c r="G37" s="10" t="s">
        <v>13</v>
      </c>
      <c r="I37" s="10" t="s">
        <v>110</v>
      </c>
      <c r="J37" s="10" t="s">
        <v>111</v>
      </c>
      <c r="K37" s="6">
        <f t="shared" si="16"/>
        <v>0.7</v>
      </c>
    </row>
    <row r="38">
      <c r="A38" s="10">
        <v>0.0064</v>
      </c>
      <c r="B38" s="10">
        <v>0.035</v>
      </c>
      <c r="C38" s="9">
        <f t="shared" ref="C38:C68" si="51">((48*E2)*(12*1.26*(J2^2) - 4*(J2^3) - 9*(1.26^2)*J2 + (1.26^3)))/(AA2*Z2)</f>
        <v>2343048845573</v>
      </c>
      <c r="D38" s="10">
        <f t="shared" ref="D38:D69" si="52">1000*10^9</f>
        <v>1000000000000</v>
      </c>
      <c r="E38" s="9">
        <f t="shared" ref="E38:E69" si="53">((48*E2)*(12*1.26*(J2^2) - 4*(J2^3) - 9*(1.26^2)*J2 + (1.26^3)))/(G38*D38)</f>
        <v>-1.077802469</v>
      </c>
      <c r="G38" s="9">
        <f t="shared" ref="G38:G69" si="54">B38*(A38^3)/12</f>
        <v>0.0000000007645866667</v>
      </c>
      <c r="I38" s="9">
        <f t="shared" ref="I38:I69" si="55">E2*(K2)/2</f>
        <v>0</v>
      </c>
      <c r="K38" s="6">
        <f t="shared" si="16"/>
        <v>0.72</v>
      </c>
    </row>
    <row r="39">
      <c r="A39" s="10">
        <v>0.0064</v>
      </c>
      <c r="B39" s="10">
        <v>0.035</v>
      </c>
      <c r="C39" s="9">
        <f t="shared" si="51"/>
        <v>2360674352854</v>
      </c>
      <c r="D39" s="10">
        <f t="shared" si="52"/>
        <v>1000000000000</v>
      </c>
      <c r="E39" s="9">
        <f t="shared" si="53"/>
        <v>-1.074598638</v>
      </c>
      <c r="G39" s="9">
        <f t="shared" si="54"/>
        <v>0.0000000007645866667</v>
      </c>
      <c r="I39" s="9">
        <f t="shared" si="55"/>
        <v>0.08585712</v>
      </c>
      <c r="K39" s="6">
        <f t="shared" si="16"/>
        <v>0.74</v>
      </c>
    </row>
    <row r="40">
      <c r="A40" s="10">
        <v>0.0064</v>
      </c>
      <c r="B40" s="10">
        <v>0.035</v>
      </c>
      <c r="C40" s="9">
        <f t="shared" si="51"/>
        <v>2408091719985</v>
      </c>
      <c r="D40" s="10">
        <f t="shared" si="52"/>
        <v>1000000000000</v>
      </c>
      <c r="E40" s="9">
        <f t="shared" si="53"/>
        <v>-1.068290152</v>
      </c>
      <c r="G40" s="9">
        <f t="shared" si="54"/>
        <v>0.0000000007645866667</v>
      </c>
      <c r="I40" s="9">
        <f t="shared" si="55"/>
        <v>0.17171424</v>
      </c>
      <c r="K40" s="6">
        <f t="shared" si="16"/>
        <v>0.76</v>
      </c>
    </row>
    <row r="41">
      <c r="A41" s="10">
        <v>0.0064</v>
      </c>
      <c r="B41" s="10">
        <v>0.035</v>
      </c>
      <c r="C41" s="9">
        <f t="shared" si="51"/>
        <v>2412774129349</v>
      </c>
      <c r="D41" s="10">
        <f t="shared" si="52"/>
        <v>1000000000000</v>
      </c>
      <c r="E41" s="9">
        <f t="shared" si="53"/>
        <v>-1.058980499</v>
      </c>
      <c r="G41" s="9">
        <f t="shared" si="54"/>
        <v>0.0000000007645866667</v>
      </c>
      <c r="I41" s="9">
        <f t="shared" si="55"/>
        <v>0.25757136</v>
      </c>
      <c r="K41" s="6">
        <f t="shared" si="16"/>
        <v>0.78</v>
      </c>
    </row>
    <row r="42">
      <c r="A42" s="10">
        <v>0.0064</v>
      </c>
      <c r="B42" s="10">
        <v>0.035</v>
      </c>
      <c r="C42" s="9">
        <f t="shared" si="51"/>
        <v>2471804534096</v>
      </c>
      <c r="D42" s="10">
        <f t="shared" si="52"/>
        <v>1000000000000</v>
      </c>
      <c r="E42" s="9">
        <f t="shared" si="53"/>
        <v>-1.046773169</v>
      </c>
      <c r="G42" s="9">
        <f t="shared" si="54"/>
        <v>0.0000000007645866667</v>
      </c>
      <c r="I42" s="9">
        <f t="shared" si="55"/>
        <v>0.34342848</v>
      </c>
      <c r="K42" s="6">
        <f t="shared" si="16"/>
        <v>0.8</v>
      </c>
    </row>
    <row r="43">
      <c r="A43" s="10">
        <v>0.0064</v>
      </c>
      <c r="B43" s="10">
        <v>0.035</v>
      </c>
      <c r="C43" s="9">
        <f t="shared" si="51"/>
        <v>2452842631061</v>
      </c>
      <c r="D43" s="10">
        <f t="shared" si="52"/>
        <v>1000000000000</v>
      </c>
      <c r="E43" s="9">
        <f t="shared" si="53"/>
        <v>-1.03177165</v>
      </c>
      <c r="G43" s="9">
        <f t="shared" si="54"/>
        <v>0.0000000007645866667</v>
      </c>
      <c r="I43" s="9">
        <f t="shared" si="55"/>
        <v>0.4292856</v>
      </c>
      <c r="K43" s="6">
        <f t="shared" si="16"/>
        <v>0.82</v>
      </c>
    </row>
    <row r="44">
      <c r="A44" s="10">
        <v>0.0064</v>
      </c>
      <c r="B44" s="10">
        <v>0.035</v>
      </c>
      <c r="C44" s="9">
        <f t="shared" si="51"/>
        <v>2499310100259</v>
      </c>
      <c r="D44" s="10">
        <f t="shared" si="52"/>
        <v>1000000000000</v>
      </c>
      <c r="E44" s="9">
        <f t="shared" si="53"/>
        <v>-1.014079429</v>
      </c>
      <c r="G44" s="9">
        <f t="shared" si="54"/>
        <v>0.0000000007645866667</v>
      </c>
      <c r="I44" s="9">
        <f t="shared" si="55"/>
        <v>0.51514272</v>
      </c>
      <c r="K44" s="6">
        <f t="shared" si="16"/>
        <v>0.84</v>
      </c>
    </row>
    <row r="45">
      <c r="A45" s="10">
        <v>0.0064</v>
      </c>
      <c r="B45" s="10">
        <v>0.035</v>
      </c>
      <c r="C45" s="9">
        <f t="shared" si="51"/>
        <v>2552644172931</v>
      </c>
      <c r="D45" s="10">
        <f t="shared" si="52"/>
        <v>1000000000000</v>
      </c>
      <c r="E45" s="9">
        <f t="shared" si="53"/>
        <v>-0.9937999969</v>
      </c>
      <c r="G45" s="9">
        <f t="shared" si="54"/>
        <v>0.0000000007645866667</v>
      </c>
      <c r="I45" s="9">
        <f t="shared" si="55"/>
        <v>0.60099984</v>
      </c>
      <c r="K45" s="6">
        <f t="shared" si="16"/>
        <v>0.86</v>
      </c>
    </row>
    <row r="46">
      <c r="A46" s="10">
        <v>0.0064</v>
      </c>
      <c r="B46" s="10">
        <v>0.035</v>
      </c>
      <c r="C46" s="9">
        <f t="shared" si="51"/>
        <v>2625929644404</v>
      </c>
      <c r="D46" s="10">
        <f t="shared" si="52"/>
        <v>1000000000000</v>
      </c>
      <c r="E46" s="9">
        <f t="shared" si="53"/>
        <v>-0.9710368405</v>
      </c>
      <c r="G46" s="9">
        <f t="shared" si="54"/>
        <v>0.0000000007645866667</v>
      </c>
      <c r="I46" s="9">
        <f t="shared" si="55"/>
        <v>0.68685696</v>
      </c>
      <c r="K46" s="6">
        <f t="shared" si="16"/>
        <v>0.88</v>
      </c>
    </row>
    <row r="47">
      <c r="A47" s="10">
        <v>0.0064</v>
      </c>
      <c r="B47" s="10">
        <v>0.035</v>
      </c>
      <c r="C47" s="9">
        <f t="shared" si="51"/>
        <v>2631930243868</v>
      </c>
      <c r="D47" s="10">
        <f t="shared" si="52"/>
        <v>1000000000000</v>
      </c>
      <c r="E47" s="9">
        <f t="shared" si="53"/>
        <v>-0.9458934488</v>
      </c>
      <c r="G47" s="9">
        <f t="shared" si="54"/>
        <v>0.0000000007645866667</v>
      </c>
      <c r="I47" s="9">
        <f t="shared" si="55"/>
        <v>0.77271408</v>
      </c>
      <c r="K47" s="6">
        <f t="shared" si="16"/>
        <v>0.9</v>
      </c>
    </row>
    <row r="48">
      <c r="A48" s="10">
        <v>0.0064</v>
      </c>
      <c r="B48" s="10">
        <v>0.035</v>
      </c>
      <c r="C48" s="9">
        <f t="shared" si="51"/>
        <v>2759138445932</v>
      </c>
      <c r="D48" s="10">
        <f t="shared" si="52"/>
        <v>1000000000000</v>
      </c>
      <c r="E48" s="9">
        <f t="shared" si="53"/>
        <v>-0.9184733102</v>
      </c>
      <c r="G48" s="9">
        <f t="shared" si="54"/>
        <v>0.0000000007645866667</v>
      </c>
      <c r="I48" s="9">
        <f t="shared" si="55"/>
        <v>0.8585712</v>
      </c>
      <c r="K48" s="6">
        <f t="shared" si="16"/>
        <v>0.92</v>
      </c>
    </row>
    <row r="49">
      <c r="A49" s="10">
        <v>0.0064</v>
      </c>
      <c r="B49" s="10">
        <v>0.035</v>
      </c>
      <c r="C49" s="9">
        <f t="shared" si="51"/>
        <v>2763129993435</v>
      </c>
      <c r="D49" s="10">
        <f t="shared" si="52"/>
        <v>1000000000000</v>
      </c>
      <c r="E49" s="9">
        <f t="shared" si="53"/>
        <v>-0.8888799132</v>
      </c>
      <c r="G49" s="9">
        <f t="shared" si="54"/>
        <v>0.0000000007645866667</v>
      </c>
      <c r="I49" s="9">
        <f t="shared" si="55"/>
        <v>0.94442832</v>
      </c>
      <c r="K49" s="6">
        <f t="shared" si="16"/>
        <v>0.94</v>
      </c>
    </row>
    <row r="50">
      <c r="A50" s="10">
        <v>0.0064</v>
      </c>
      <c r="B50" s="10">
        <v>0.035</v>
      </c>
      <c r="C50" s="9">
        <f t="shared" si="51"/>
        <v>2751059500802</v>
      </c>
      <c r="D50" s="10">
        <f t="shared" si="52"/>
        <v>1000000000000</v>
      </c>
      <c r="E50" s="9">
        <f t="shared" si="53"/>
        <v>-0.8572167464</v>
      </c>
      <c r="G50" s="9">
        <f t="shared" si="54"/>
        <v>0.0000000007645866667</v>
      </c>
      <c r="I50" s="9">
        <f t="shared" si="55"/>
        <v>1.03028544</v>
      </c>
      <c r="K50" s="6">
        <f t="shared" si="16"/>
        <v>0.96</v>
      </c>
    </row>
    <row r="51">
      <c r="A51" s="10">
        <v>0.0064</v>
      </c>
      <c r="B51" s="10">
        <v>0.035</v>
      </c>
      <c r="C51" s="9">
        <f t="shared" si="51"/>
        <v>2801804836892</v>
      </c>
      <c r="D51" s="10">
        <f t="shared" si="52"/>
        <v>1000000000000</v>
      </c>
      <c r="E51" s="9">
        <f t="shared" si="53"/>
        <v>-0.8235872983</v>
      </c>
      <c r="G51" s="9">
        <f t="shared" si="54"/>
        <v>0.0000000007645866667</v>
      </c>
      <c r="I51" s="9">
        <f t="shared" si="55"/>
        <v>1.11614256</v>
      </c>
      <c r="K51" s="6">
        <f t="shared" si="16"/>
        <v>0.98</v>
      </c>
    </row>
    <row r="52">
      <c r="A52" s="10">
        <v>0.0064</v>
      </c>
      <c r="B52" s="10">
        <v>0.035</v>
      </c>
      <c r="C52" s="9">
        <f t="shared" si="51"/>
        <v>2855116303900</v>
      </c>
      <c r="D52" s="10">
        <f t="shared" si="52"/>
        <v>1000000000000</v>
      </c>
      <c r="E52" s="9">
        <f t="shared" si="53"/>
        <v>-0.7880950573</v>
      </c>
      <c r="G52" s="9">
        <f t="shared" si="54"/>
        <v>0.0000000007645866667</v>
      </c>
      <c r="I52" s="9">
        <f t="shared" si="55"/>
        <v>1.20199968</v>
      </c>
      <c r="K52" s="6">
        <f t="shared" si="16"/>
        <v>1</v>
      </c>
    </row>
    <row r="53">
      <c r="A53" s="10">
        <v>0.0064</v>
      </c>
      <c r="B53" s="10">
        <v>0.035</v>
      </c>
      <c r="C53" s="9">
        <f t="shared" si="51"/>
        <v>2834288493799</v>
      </c>
      <c r="D53" s="10">
        <f t="shared" si="52"/>
        <v>1000000000000</v>
      </c>
      <c r="E53" s="9">
        <f t="shared" si="53"/>
        <v>-0.7508435118</v>
      </c>
      <c r="G53" s="9">
        <f t="shared" si="54"/>
        <v>0.0000000007645866667</v>
      </c>
      <c r="I53" s="9">
        <f t="shared" si="55"/>
        <v>1.2878568</v>
      </c>
      <c r="K53" s="6">
        <f t="shared" si="16"/>
        <v>1.02</v>
      </c>
    </row>
    <row r="54">
      <c r="A54" s="10">
        <v>0.0064</v>
      </c>
      <c r="B54" s="10">
        <v>0.035</v>
      </c>
      <c r="C54" s="9">
        <f t="shared" si="51"/>
        <v>3015135394111</v>
      </c>
      <c r="D54" s="10">
        <f t="shared" si="52"/>
        <v>1000000000000</v>
      </c>
      <c r="E54" s="9">
        <f t="shared" si="53"/>
        <v>-0.7119361505</v>
      </c>
      <c r="G54" s="9">
        <f t="shared" si="54"/>
        <v>0.0000000007645866667</v>
      </c>
      <c r="I54" s="9">
        <f t="shared" si="55"/>
        <v>1.37371392</v>
      </c>
      <c r="K54" s="6">
        <f t="shared" si="16"/>
        <v>1.04</v>
      </c>
    </row>
    <row r="55">
      <c r="A55" s="10">
        <v>0.0064</v>
      </c>
      <c r="B55" s="10">
        <v>0.035</v>
      </c>
      <c r="C55" s="9">
        <f t="shared" si="51"/>
        <v>3105850894280</v>
      </c>
      <c r="D55" s="10">
        <f t="shared" si="52"/>
        <v>1000000000000</v>
      </c>
      <c r="E55" s="9">
        <f t="shared" si="53"/>
        <v>-0.6714764619</v>
      </c>
      <c r="G55" s="9">
        <f t="shared" si="54"/>
        <v>0.0000000007645866667</v>
      </c>
      <c r="I55" s="9">
        <f t="shared" si="55"/>
        <v>1.45957104</v>
      </c>
      <c r="K55" s="6">
        <f t="shared" si="16"/>
        <v>1.06</v>
      </c>
    </row>
    <row r="56">
      <c r="A56" s="10">
        <v>0.0064</v>
      </c>
      <c r="B56" s="10">
        <v>0.035</v>
      </c>
      <c r="C56" s="9">
        <f t="shared" si="51"/>
        <v>3153396929985</v>
      </c>
      <c r="D56" s="10">
        <f t="shared" si="52"/>
        <v>1000000000000</v>
      </c>
      <c r="E56" s="9">
        <f t="shared" si="53"/>
        <v>-0.6295679343</v>
      </c>
      <c r="G56" s="9">
        <f t="shared" si="54"/>
        <v>0.0000000007645866667</v>
      </c>
      <c r="I56" s="9">
        <f t="shared" si="55"/>
        <v>1.54542816</v>
      </c>
      <c r="K56" s="6">
        <f t="shared" si="16"/>
        <v>1.08</v>
      </c>
    </row>
    <row r="57">
      <c r="A57" s="10">
        <v>0.0064</v>
      </c>
      <c r="B57" s="10">
        <v>0.035</v>
      </c>
      <c r="C57" s="9">
        <f t="shared" si="51"/>
        <v>3312160107418</v>
      </c>
      <c r="D57" s="10">
        <f t="shared" si="52"/>
        <v>1000000000000</v>
      </c>
      <c r="E57" s="9">
        <f t="shared" si="53"/>
        <v>-0.5863140563</v>
      </c>
      <c r="G57" s="9">
        <f t="shared" si="54"/>
        <v>0.0000000007645866667</v>
      </c>
      <c r="I57" s="9">
        <f t="shared" si="55"/>
        <v>1.63128528</v>
      </c>
      <c r="K57" s="6">
        <f t="shared" si="16"/>
        <v>1.1</v>
      </c>
    </row>
    <row r="58">
      <c r="A58" s="10">
        <v>0.0064</v>
      </c>
      <c r="B58" s="10">
        <v>0.035</v>
      </c>
      <c r="C58" s="9">
        <f t="shared" si="51"/>
        <v>3445482439894</v>
      </c>
      <c r="D58" s="10">
        <f t="shared" si="52"/>
        <v>1000000000000</v>
      </c>
      <c r="E58" s="9">
        <f t="shared" si="53"/>
        <v>-0.5418183164</v>
      </c>
      <c r="G58" s="9">
        <f t="shared" si="54"/>
        <v>0.0000000007645866667</v>
      </c>
      <c r="I58" s="9">
        <f t="shared" si="55"/>
        <v>1.7171424</v>
      </c>
      <c r="K58" s="6">
        <f t="shared" si="16"/>
        <v>1.12</v>
      </c>
    </row>
    <row r="59">
      <c r="A59" s="10">
        <v>0.0064</v>
      </c>
      <c r="B59" s="10">
        <v>0.035</v>
      </c>
      <c r="C59" s="9">
        <f t="shared" si="51"/>
        <v>3581984111595</v>
      </c>
      <c r="D59" s="10">
        <f t="shared" si="52"/>
        <v>1000000000000</v>
      </c>
      <c r="E59" s="9">
        <f t="shared" si="53"/>
        <v>-0.496184203</v>
      </c>
      <c r="G59" s="9">
        <f t="shared" si="54"/>
        <v>0.0000000007645866667</v>
      </c>
      <c r="I59" s="9">
        <f t="shared" si="55"/>
        <v>1.80299952</v>
      </c>
      <c r="K59" s="6">
        <f t="shared" si="16"/>
        <v>1.14</v>
      </c>
    </row>
    <row r="60">
      <c r="A60" s="10">
        <v>0.0064</v>
      </c>
      <c r="B60" s="10">
        <v>0.035</v>
      </c>
      <c r="C60" s="9">
        <f t="shared" si="51"/>
        <v>3913224469513</v>
      </c>
      <c r="D60" s="10">
        <f t="shared" si="52"/>
        <v>1000000000000</v>
      </c>
      <c r="E60" s="9">
        <f t="shared" si="53"/>
        <v>-0.4495152048</v>
      </c>
      <c r="G60" s="9">
        <f t="shared" si="54"/>
        <v>0.0000000007645866667</v>
      </c>
      <c r="I60" s="9">
        <f t="shared" si="55"/>
        <v>1.88885664</v>
      </c>
      <c r="K60" s="6">
        <f t="shared" si="16"/>
        <v>1.16</v>
      </c>
    </row>
    <row r="61">
      <c r="A61" s="10">
        <v>0.0064</v>
      </c>
      <c r="B61" s="10">
        <v>0.035</v>
      </c>
      <c r="C61" s="9">
        <f t="shared" si="51"/>
        <v>3630198284710</v>
      </c>
      <c r="D61" s="10">
        <f t="shared" si="52"/>
        <v>1000000000000</v>
      </c>
      <c r="E61" s="9">
        <f t="shared" si="53"/>
        <v>-0.4019148101</v>
      </c>
      <c r="G61" s="9">
        <f t="shared" si="54"/>
        <v>0.0000000007645866667</v>
      </c>
      <c r="I61" s="9">
        <f t="shared" si="55"/>
        <v>1.97471376</v>
      </c>
      <c r="K61" s="6">
        <f t="shared" si="16"/>
        <v>1.18</v>
      </c>
    </row>
    <row r="62">
      <c r="A62" s="10">
        <v>0.0064</v>
      </c>
      <c r="B62" s="10">
        <v>0.035</v>
      </c>
      <c r="C62" s="9">
        <f t="shared" si="51"/>
        <v>3541392987904</v>
      </c>
      <c r="D62" s="10">
        <f t="shared" si="52"/>
        <v>1000000000000</v>
      </c>
      <c r="E62" s="9">
        <f t="shared" si="53"/>
        <v>-0.3534865075</v>
      </c>
      <c r="G62" s="9">
        <f t="shared" si="54"/>
        <v>0.0000000007645866667</v>
      </c>
      <c r="I62" s="9">
        <f t="shared" si="55"/>
        <v>2.06057088</v>
      </c>
      <c r="K62" s="6">
        <f t="shared" si="16"/>
        <v>1.2</v>
      </c>
    </row>
    <row r="63">
      <c r="A63" s="10">
        <v>0.0064</v>
      </c>
      <c r="B63" s="10">
        <v>0.035</v>
      </c>
      <c r="C63" s="9">
        <f t="shared" si="51"/>
        <v>3702394022671</v>
      </c>
      <c r="D63" s="10">
        <f t="shared" si="52"/>
        <v>1000000000000</v>
      </c>
      <c r="E63" s="9">
        <f t="shared" si="53"/>
        <v>-0.3043337854</v>
      </c>
      <c r="G63" s="9">
        <f t="shared" si="54"/>
        <v>0.0000000007645866667</v>
      </c>
      <c r="I63" s="9">
        <f t="shared" si="55"/>
        <v>2.146428</v>
      </c>
      <c r="K63" s="6">
        <f t="shared" si="16"/>
        <v>1.22</v>
      </c>
    </row>
    <row r="64">
      <c r="A64" s="10">
        <v>0.0064</v>
      </c>
      <c r="B64" s="10">
        <v>0.035</v>
      </c>
      <c r="C64" s="9">
        <f t="shared" si="51"/>
        <v>3650928213621</v>
      </c>
      <c r="D64" s="10">
        <f t="shared" si="52"/>
        <v>1000000000000</v>
      </c>
      <c r="E64" s="9">
        <f t="shared" si="53"/>
        <v>-0.2545601323</v>
      </c>
      <c r="G64" s="9">
        <f t="shared" si="54"/>
        <v>0.0000000007645866667</v>
      </c>
      <c r="I64" s="9">
        <f t="shared" si="55"/>
        <v>2.23228512</v>
      </c>
      <c r="K64" s="6">
        <f t="shared" si="16"/>
        <v>1.24</v>
      </c>
    </row>
    <row r="65">
      <c r="A65" s="10">
        <v>0.0064</v>
      </c>
      <c r="B65" s="10">
        <v>0.035</v>
      </c>
      <c r="C65" s="9">
        <f t="shared" si="51"/>
        <v>3922486767603</v>
      </c>
      <c r="D65" s="10">
        <f t="shared" si="52"/>
        <v>1000000000000</v>
      </c>
      <c r="E65" s="9">
        <f t="shared" si="53"/>
        <v>-0.2042690368</v>
      </c>
      <c r="G65" s="9">
        <f t="shared" si="54"/>
        <v>0.0000000007645866667</v>
      </c>
      <c r="I65" s="9">
        <f t="shared" si="55"/>
        <v>2.31814224</v>
      </c>
      <c r="K65" s="6">
        <f t="shared" si="16"/>
        <v>1.26</v>
      </c>
    </row>
    <row r="66">
      <c r="A66" s="10">
        <v>0.0064</v>
      </c>
      <c r="B66" s="10">
        <v>0.035</v>
      </c>
      <c r="C66" s="9">
        <f t="shared" si="51"/>
        <v>2861139553568</v>
      </c>
      <c r="D66" s="10">
        <f t="shared" si="52"/>
        <v>1000000000000</v>
      </c>
      <c r="E66" s="9">
        <f t="shared" si="53"/>
        <v>-0.1535639873</v>
      </c>
      <c r="G66" s="9">
        <f t="shared" si="54"/>
        <v>0.0000000007645866667</v>
      </c>
      <c r="I66" s="9">
        <f t="shared" si="55"/>
        <v>2.40399936</v>
      </c>
      <c r="K66" s="6"/>
    </row>
    <row r="67">
      <c r="A67" s="10">
        <v>0.0064</v>
      </c>
      <c r="B67" s="10">
        <v>0.035</v>
      </c>
      <c r="C67" s="9">
        <f t="shared" si="51"/>
        <v>2948561911806</v>
      </c>
      <c r="D67" s="10">
        <f t="shared" si="52"/>
        <v>1000000000000</v>
      </c>
      <c r="E67" s="9">
        <f t="shared" si="53"/>
        <v>-0.1025484724</v>
      </c>
      <c r="G67" s="9">
        <f t="shared" si="54"/>
        <v>0.0000000007645866667</v>
      </c>
      <c r="I67" s="9">
        <f t="shared" si="55"/>
        <v>2.48985648</v>
      </c>
    </row>
    <row r="68">
      <c r="A68" s="10">
        <v>0.0064</v>
      </c>
      <c r="B68" s="10">
        <v>0.035</v>
      </c>
      <c r="C68" s="9">
        <f t="shared" si="51"/>
        <v>2186419232415</v>
      </c>
      <c r="D68" s="10">
        <f t="shared" si="52"/>
        <v>1000000000000</v>
      </c>
      <c r="E68" s="9">
        <f t="shared" si="53"/>
        <v>-0.05132598044</v>
      </c>
      <c r="G68" s="9">
        <f t="shared" si="54"/>
        <v>0.0000000007645866667</v>
      </c>
      <c r="I68" s="9">
        <f t="shared" si="55"/>
        <v>2.5757136</v>
      </c>
    </row>
    <row r="69">
      <c r="A69" s="10">
        <v>0.0064</v>
      </c>
      <c r="B69" s="10">
        <v>0.035</v>
      </c>
      <c r="D69" s="10">
        <f t="shared" si="52"/>
        <v>1000000000000</v>
      </c>
      <c r="E69" s="9">
        <f t="shared" si="53"/>
        <v>0</v>
      </c>
      <c r="G69" s="9">
        <f t="shared" si="54"/>
        <v>0.0000000007645866667</v>
      </c>
      <c r="I69" s="9">
        <f t="shared" si="55"/>
        <v>2.66157072</v>
      </c>
    </row>
    <row r="70">
      <c r="I70" s="9">
        <f t="shared" ref="I70:I102" si="56">E2*(1.26 - K33)/2</f>
        <v>2.74742784</v>
      </c>
    </row>
    <row r="71">
      <c r="I71" s="9">
        <f t="shared" si="56"/>
        <v>2.66157072</v>
      </c>
    </row>
    <row r="72">
      <c r="I72" s="9">
        <f t="shared" si="56"/>
        <v>2.5757136</v>
      </c>
    </row>
    <row r="73">
      <c r="I73" s="9">
        <f t="shared" si="56"/>
        <v>2.48985648</v>
      </c>
    </row>
    <row r="74">
      <c r="I74" s="9">
        <f t="shared" si="56"/>
        <v>2.40399936</v>
      </c>
    </row>
    <row r="75">
      <c r="I75" s="9">
        <f t="shared" si="56"/>
        <v>2.31814224</v>
      </c>
    </row>
    <row r="76">
      <c r="I76" s="9">
        <f t="shared" si="56"/>
        <v>2.23228512</v>
      </c>
    </row>
    <row r="77">
      <c r="I77" s="9">
        <f t="shared" si="56"/>
        <v>2.146428</v>
      </c>
    </row>
    <row r="78">
      <c r="I78" s="9">
        <f t="shared" si="56"/>
        <v>2.06057088</v>
      </c>
    </row>
    <row r="79">
      <c r="I79" s="9">
        <f t="shared" si="56"/>
        <v>1.97471376</v>
      </c>
    </row>
    <row r="80">
      <c r="I80" s="9">
        <f t="shared" si="56"/>
        <v>1.88885664</v>
      </c>
    </row>
    <row r="81">
      <c r="I81" s="9">
        <f t="shared" si="56"/>
        <v>1.80299952</v>
      </c>
    </row>
    <row r="82">
      <c r="I82" s="9">
        <f t="shared" si="56"/>
        <v>1.7171424</v>
      </c>
    </row>
    <row r="83">
      <c r="I83" s="9">
        <f t="shared" si="56"/>
        <v>1.63128528</v>
      </c>
    </row>
    <row r="84">
      <c r="I84" s="9">
        <f t="shared" si="56"/>
        <v>1.54542816</v>
      </c>
    </row>
    <row r="85">
      <c r="I85" s="9">
        <f t="shared" si="56"/>
        <v>1.45957104</v>
      </c>
    </row>
    <row r="86">
      <c r="I86" s="9">
        <f t="shared" si="56"/>
        <v>1.37371392</v>
      </c>
    </row>
    <row r="87">
      <c r="I87" s="9">
        <f t="shared" si="56"/>
        <v>1.2878568</v>
      </c>
    </row>
    <row r="88">
      <c r="I88" s="9">
        <f t="shared" si="56"/>
        <v>1.20199968</v>
      </c>
    </row>
    <row r="89">
      <c r="I89" s="9">
        <f t="shared" si="56"/>
        <v>1.11614256</v>
      </c>
    </row>
    <row r="90">
      <c r="I90" s="9">
        <f t="shared" si="56"/>
        <v>1.03028544</v>
      </c>
    </row>
    <row r="91">
      <c r="I91" s="9">
        <f t="shared" si="56"/>
        <v>0.94442832</v>
      </c>
    </row>
    <row r="92">
      <c r="I92" s="9">
        <f t="shared" si="56"/>
        <v>0.8585712</v>
      </c>
    </row>
    <row r="93">
      <c r="I93" s="9">
        <f t="shared" si="56"/>
        <v>0.77271408</v>
      </c>
    </row>
    <row r="94">
      <c r="I94" s="9">
        <f t="shared" si="56"/>
        <v>0.68685696</v>
      </c>
    </row>
    <row r="95">
      <c r="I95" s="9">
        <f t="shared" si="56"/>
        <v>0.60099984</v>
      </c>
    </row>
    <row r="96">
      <c r="I96" s="9">
        <f t="shared" si="56"/>
        <v>0.51514272</v>
      </c>
    </row>
    <row r="97">
      <c r="I97" s="9">
        <f t="shared" si="56"/>
        <v>0.4292856</v>
      </c>
    </row>
    <row r="98">
      <c r="I98" s="9">
        <f t="shared" si="56"/>
        <v>0.34342848</v>
      </c>
    </row>
    <row r="99">
      <c r="I99" s="9">
        <f t="shared" si="56"/>
        <v>0.25757136</v>
      </c>
    </row>
    <row r="100">
      <c r="I100" s="9">
        <f t="shared" si="56"/>
        <v>0.17171424</v>
      </c>
    </row>
    <row r="101">
      <c r="I101" s="9">
        <f t="shared" si="56"/>
        <v>0.08585712</v>
      </c>
    </row>
    <row r="102">
      <c r="I102" s="9">
        <f t="shared" si="56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8.86"/>
  </cols>
  <sheetData>
    <row r="1">
      <c r="B1" s="10" t="s">
        <v>112</v>
      </c>
      <c r="K1" s="10" t="s">
        <v>113</v>
      </c>
      <c r="L1" s="10" t="s">
        <v>114</v>
      </c>
      <c r="M1" s="34" t="s">
        <v>115</v>
      </c>
      <c r="N1" s="10" t="s">
        <v>116</v>
      </c>
      <c r="O1" s="34">
        <v>0.766</v>
      </c>
      <c r="P1" s="34">
        <v>1.969</v>
      </c>
      <c r="Q1" s="34">
        <v>2.769</v>
      </c>
      <c r="R1" s="10" t="s">
        <v>105</v>
      </c>
      <c r="S1" s="10" t="s">
        <v>117</v>
      </c>
      <c r="T1" s="10" t="s">
        <v>118</v>
      </c>
      <c r="U1" s="10" t="s">
        <v>119</v>
      </c>
      <c r="V1" s="10" t="s">
        <v>120</v>
      </c>
      <c r="W1" s="10" t="s">
        <v>121</v>
      </c>
      <c r="X1" s="10" t="s">
        <v>122</v>
      </c>
      <c r="Y1" s="10" t="s">
        <v>123</v>
      </c>
      <c r="Z1" s="10" t="s">
        <v>124</v>
      </c>
      <c r="AA1" s="10" t="s">
        <v>125</v>
      </c>
    </row>
    <row r="2">
      <c r="A2" s="35"/>
      <c r="B2" s="34">
        <v>0.0</v>
      </c>
      <c r="C2" s="34">
        <v>0.766</v>
      </c>
      <c r="D2" s="34"/>
      <c r="E2" s="34">
        <v>1.969</v>
      </c>
      <c r="F2" s="34">
        <v>2.769</v>
      </c>
      <c r="G2" s="35"/>
      <c r="H2" s="35"/>
      <c r="I2" s="35"/>
      <c r="J2" s="35"/>
      <c r="K2" s="9">
        <f t="shared" ref="K2:K14" si="2"> ((0.019)*((0.0064)^3))/12</f>
        <v>0.0000000004150613333</v>
      </c>
      <c r="L2" s="10">
        <v>9.81</v>
      </c>
      <c r="M2" s="30">
        <f>-697/(10000000)</f>
        <v>-0.0000697</v>
      </c>
      <c r="N2" s="10">
        <v>0.53</v>
      </c>
      <c r="O2" s="30">
        <f>-862/(10000000)</f>
        <v>-0.0000862</v>
      </c>
      <c r="P2" s="30">
        <f>-1.12/1000</f>
        <v>-0.00112</v>
      </c>
      <c r="Q2" s="30">
        <f>1.29/1000</f>
        <v>0.00129</v>
      </c>
      <c r="R2" s="10">
        <f t="shared" ref="R2:R5" si="3">0.0032</f>
        <v>0.0032</v>
      </c>
      <c r="S2" s="9">
        <f t="shared" ref="S2:S5" si="4">O2-M2</f>
        <v>-0.0000165</v>
      </c>
      <c r="T2" s="9">
        <f>M2+P2</f>
        <v>-0.0011897</v>
      </c>
      <c r="U2" s="9">
        <f t="shared" ref="U2:U5" si="5">M2-Q2</f>
        <v>-0.0013597</v>
      </c>
      <c r="V2" s="9">
        <f t="shared" ref="V2:V5" si="6">-(L2*0.766*N2*R2)/(2*K2)</f>
        <v>-15352579.41</v>
      </c>
      <c r="W2" s="9">
        <f t="shared" ref="W2:W5" si="7">-(L2*(1.969)*N2*R2)/(2*K2)</f>
        <v>-39463745.25</v>
      </c>
      <c r="X2" s="9">
        <f t="shared" ref="X2:X5" si="8">-(L2*2.769*N2*R2)/(2*K2)</f>
        <v>-55497770.74</v>
      </c>
      <c r="Y2" s="9">
        <f t="shared" ref="Y2:AA2" si="1">V2/(S2)/(10^9)</f>
        <v>930.4593582</v>
      </c>
      <c r="Z2" s="9">
        <f t="shared" si="1"/>
        <v>33.17117361</v>
      </c>
      <c r="AA2" s="9">
        <f t="shared" si="1"/>
        <v>40.81618794</v>
      </c>
    </row>
    <row r="3">
      <c r="A3" s="35" t="s">
        <v>31</v>
      </c>
      <c r="B3" s="30">
        <f>-697/(10000000)</f>
        <v>-0.0000697</v>
      </c>
      <c r="C3" s="30">
        <f>-862/(10000000)</f>
        <v>-0.0000862</v>
      </c>
      <c r="D3" s="30"/>
      <c r="E3" s="30">
        <f>-1.12/1000</f>
        <v>-0.00112</v>
      </c>
      <c r="F3" s="30">
        <f>1.29/1000</f>
        <v>0.00129</v>
      </c>
      <c r="G3" s="30">
        <v>0.53</v>
      </c>
      <c r="H3" s="30"/>
      <c r="I3" s="30"/>
      <c r="J3" s="30"/>
      <c r="K3" s="9">
        <f t="shared" si="2"/>
        <v>0.0000000004150613333</v>
      </c>
      <c r="L3" s="10">
        <v>9.81</v>
      </c>
      <c r="M3" s="30">
        <f>-1.23/10000</f>
        <v>-0.000123</v>
      </c>
      <c r="N3" s="10">
        <v>0.43</v>
      </c>
      <c r="O3" s="30">
        <f>-1.06/10000</f>
        <v>-0.000106</v>
      </c>
      <c r="P3" s="35">
        <f>-797/(10^6)</f>
        <v>-0.000797</v>
      </c>
      <c r="Q3" s="35">
        <f>-624/(10^6)</f>
        <v>-0.000624</v>
      </c>
      <c r="R3" s="10">
        <f t="shared" si="3"/>
        <v>0.0032</v>
      </c>
      <c r="S3" s="9">
        <f t="shared" si="4"/>
        <v>0.000017</v>
      </c>
      <c r="T3" s="9">
        <f t="shared" ref="T3:T5" si="10">M3-P3</f>
        <v>0.000674</v>
      </c>
      <c r="U3" s="9">
        <f t="shared" si="5"/>
        <v>0.000501</v>
      </c>
      <c r="V3" s="9">
        <f t="shared" si="6"/>
        <v>-12455866.31</v>
      </c>
      <c r="W3" s="9">
        <f t="shared" si="7"/>
        <v>-32017755.58</v>
      </c>
      <c r="X3" s="9">
        <f t="shared" si="8"/>
        <v>-45026493.24</v>
      </c>
      <c r="Y3" s="9">
        <f t="shared" ref="Y3:AA3" si="9">V3/(S3)/(10^9)</f>
        <v>-732.6980185</v>
      </c>
      <c r="Z3" s="9">
        <f t="shared" si="9"/>
        <v>-47.50408839</v>
      </c>
      <c r="AA3" s="9">
        <f t="shared" si="9"/>
        <v>-89.87324</v>
      </c>
    </row>
    <row r="4">
      <c r="A4" s="35" t="s">
        <v>33</v>
      </c>
      <c r="B4" s="30">
        <f>-1.23/1000</f>
        <v>-0.00123</v>
      </c>
      <c r="C4" s="30">
        <f>-1.06/1000</f>
        <v>-0.00106</v>
      </c>
      <c r="D4" s="30"/>
      <c r="E4" s="35">
        <f>-797/(10^6)</f>
        <v>-0.000797</v>
      </c>
      <c r="F4" s="35">
        <f>-624/(10^6)</f>
        <v>-0.000624</v>
      </c>
      <c r="G4" s="36">
        <v>0.43</v>
      </c>
      <c r="H4" s="30"/>
      <c r="I4" s="30"/>
      <c r="J4" s="30"/>
      <c r="K4" s="9">
        <f t="shared" si="2"/>
        <v>0.0000000004150613333</v>
      </c>
      <c r="L4" s="10">
        <v>9.81</v>
      </c>
      <c r="M4" s="35">
        <f>-1.49/(1000000)</f>
        <v>-0.00000149</v>
      </c>
      <c r="N4" s="10">
        <v>0.33</v>
      </c>
      <c r="O4" s="37">
        <f>-1.63/10000</f>
        <v>-0.000163</v>
      </c>
      <c r="P4" s="35">
        <f>-1.83/1000</f>
        <v>-0.00183</v>
      </c>
      <c r="Q4" s="35">
        <f>-1.96/1000</f>
        <v>-0.00196</v>
      </c>
      <c r="R4" s="10">
        <f t="shared" si="3"/>
        <v>0.0032</v>
      </c>
      <c r="S4" s="9">
        <f t="shared" si="4"/>
        <v>-0.00016151</v>
      </c>
      <c r="T4" s="9">
        <f t="shared" si="10"/>
        <v>0.00182851</v>
      </c>
      <c r="U4" s="9">
        <f t="shared" si="5"/>
        <v>0.00195851</v>
      </c>
      <c r="V4" s="9">
        <f t="shared" si="6"/>
        <v>-9559153.218</v>
      </c>
      <c r="W4" s="9">
        <f t="shared" si="7"/>
        <v>-24571765.91</v>
      </c>
      <c r="X4" s="9">
        <f t="shared" si="8"/>
        <v>-34555215.74</v>
      </c>
      <c r="Y4" s="9">
        <f t="shared" ref="Y4:AA4" si="11">V4/(S4)/(10^9)</f>
        <v>59.18613843</v>
      </c>
      <c r="Z4" s="9">
        <f t="shared" si="11"/>
        <v>-13.43813592</v>
      </c>
      <c r="AA4" s="9">
        <f t="shared" si="11"/>
        <v>-17.64362487</v>
      </c>
    </row>
    <row r="5">
      <c r="A5" s="35" t="s">
        <v>35</v>
      </c>
      <c r="B5" s="35">
        <f>-1.49/(1000)</f>
        <v>-0.00149</v>
      </c>
      <c r="C5" s="37">
        <f>-1.63/1000</f>
        <v>-0.00163</v>
      </c>
      <c r="D5" s="37"/>
      <c r="E5" s="35">
        <f>-1.83/1000</f>
        <v>-0.00183</v>
      </c>
      <c r="F5" s="35">
        <f>-1.96/1000</f>
        <v>-0.00196</v>
      </c>
      <c r="G5" s="36">
        <v>0.33</v>
      </c>
      <c r="H5" s="30"/>
      <c r="I5" s="30"/>
      <c r="J5" s="30"/>
      <c r="K5" s="9">
        <f t="shared" si="2"/>
        <v>0.0000000004150613333</v>
      </c>
      <c r="L5" s="10">
        <v>9.81</v>
      </c>
      <c r="M5" s="35">
        <f>-1.91/1000</f>
        <v>-0.00191</v>
      </c>
      <c r="N5" s="10">
        <v>0.23</v>
      </c>
      <c r="O5" s="38">
        <f>-1.77/1000</f>
        <v>-0.00177</v>
      </c>
      <c r="P5" s="35">
        <f>-1.56/1000</f>
        <v>-0.00156</v>
      </c>
      <c r="Q5" s="35">
        <f>-1.41/1000</f>
        <v>-0.00141</v>
      </c>
      <c r="R5" s="10">
        <f t="shared" si="3"/>
        <v>0.0032</v>
      </c>
      <c r="S5" s="9">
        <f t="shared" si="4"/>
        <v>0.00014</v>
      </c>
      <c r="T5" s="9">
        <f t="shared" si="10"/>
        <v>-0.00035</v>
      </c>
      <c r="U5" s="9">
        <f t="shared" si="5"/>
        <v>-0.0005</v>
      </c>
      <c r="V5" s="9">
        <f t="shared" si="6"/>
        <v>-6662440.121</v>
      </c>
      <c r="W5" s="9">
        <f t="shared" si="7"/>
        <v>-17125776.24</v>
      </c>
      <c r="X5" s="9">
        <f t="shared" si="8"/>
        <v>-24083938.25</v>
      </c>
      <c r="Y5" s="9">
        <f t="shared" ref="Y5:AA5" si="12">V5/(S5)/(10^9)</f>
        <v>-47.58885801</v>
      </c>
      <c r="Z5" s="9">
        <f t="shared" si="12"/>
        <v>48.93078925</v>
      </c>
      <c r="AA5" s="9">
        <f t="shared" si="12"/>
        <v>48.16787649</v>
      </c>
    </row>
    <row r="6">
      <c r="A6" s="35" t="s">
        <v>36</v>
      </c>
      <c r="B6" s="35">
        <f>-1.91/1000</f>
        <v>-0.00191</v>
      </c>
      <c r="C6" s="38">
        <f>-1.77/1000</f>
        <v>-0.00177</v>
      </c>
      <c r="D6" s="38"/>
      <c r="E6" s="35">
        <f>-1.56/1000</f>
        <v>-0.00156</v>
      </c>
      <c r="F6" s="35">
        <f>-1.41/1000</f>
        <v>-0.00141</v>
      </c>
      <c r="G6" s="36">
        <v>0.23</v>
      </c>
      <c r="H6" s="30"/>
      <c r="I6" s="30"/>
      <c r="J6" s="30"/>
      <c r="K6" s="9">
        <f t="shared" si="2"/>
        <v>0.0000000004150613333</v>
      </c>
    </row>
    <row r="7">
      <c r="A7" s="34"/>
      <c r="B7" s="35"/>
      <c r="C7" s="39"/>
      <c r="D7" s="39"/>
      <c r="E7" s="35"/>
      <c r="F7" s="35"/>
      <c r="G7" s="30"/>
      <c r="H7" s="30"/>
      <c r="I7" s="30"/>
      <c r="J7" s="30"/>
      <c r="K7" s="9">
        <f t="shared" si="2"/>
        <v>0.0000000004150613333</v>
      </c>
    </row>
    <row r="8">
      <c r="A8" s="35"/>
      <c r="B8" s="35"/>
      <c r="C8" s="35"/>
      <c r="D8" s="35"/>
      <c r="E8" s="35"/>
      <c r="F8" s="35"/>
      <c r="G8" s="30"/>
      <c r="H8" s="30"/>
      <c r="I8" s="30"/>
      <c r="J8" s="30"/>
      <c r="K8" s="9">
        <f t="shared" si="2"/>
        <v>0.0000000004150613333</v>
      </c>
    </row>
    <row r="9">
      <c r="A9" s="35"/>
      <c r="B9" s="35"/>
      <c r="C9" s="35"/>
      <c r="D9" s="35"/>
      <c r="E9" s="35"/>
      <c r="F9" s="35"/>
      <c r="G9" s="30"/>
      <c r="H9" s="30"/>
      <c r="I9" s="30"/>
      <c r="J9" s="30"/>
      <c r="K9" s="9">
        <f t="shared" si="2"/>
        <v>0.0000000004150613333</v>
      </c>
    </row>
    <row r="10">
      <c r="A10" s="35"/>
      <c r="B10" s="35"/>
      <c r="C10" s="35"/>
      <c r="D10" s="35"/>
      <c r="E10" s="35"/>
      <c r="F10" s="35"/>
      <c r="G10" s="30"/>
      <c r="H10" s="30"/>
      <c r="I10" s="30"/>
      <c r="J10" s="30"/>
      <c r="K10" s="9">
        <f t="shared" si="2"/>
        <v>0.0000000004150613333</v>
      </c>
    </row>
    <row r="11">
      <c r="K11" s="9">
        <f t="shared" si="2"/>
        <v>0.0000000004150613333</v>
      </c>
    </row>
    <row r="12">
      <c r="K12" s="9">
        <f t="shared" si="2"/>
        <v>0.0000000004150613333</v>
      </c>
    </row>
    <row r="13">
      <c r="B13" s="10" t="s">
        <v>126</v>
      </c>
      <c r="K13" s="9">
        <f t="shared" si="2"/>
        <v>0.0000000004150613333</v>
      </c>
    </row>
    <row r="14">
      <c r="A14" s="35" t="s">
        <v>38</v>
      </c>
      <c r="B14" s="35" t="s">
        <v>89</v>
      </c>
      <c r="C14" s="40" t="s">
        <v>90</v>
      </c>
      <c r="D14" s="40"/>
      <c r="E14" s="35" t="s">
        <v>91</v>
      </c>
      <c r="F14" s="35" t="s">
        <v>92</v>
      </c>
      <c r="G14" s="30">
        <v>0.53</v>
      </c>
      <c r="H14" s="30"/>
      <c r="I14" s="30"/>
      <c r="J14" s="30"/>
      <c r="K14" s="9">
        <f t="shared" si="2"/>
        <v>0.0000000004150613333</v>
      </c>
    </row>
    <row r="15">
      <c r="A15" s="35" t="s">
        <v>39</v>
      </c>
      <c r="B15" s="35" t="s">
        <v>93</v>
      </c>
      <c r="C15" s="35" t="s">
        <v>94</v>
      </c>
      <c r="D15" s="35"/>
      <c r="E15" s="35" t="s">
        <v>95</v>
      </c>
      <c r="F15" s="35" t="s">
        <v>84</v>
      </c>
      <c r="G15" s="36">
        <v>0.43</v>
      </c>
      <c r="H15" s="30"/>
      <c r="I15" s="30"/>
      <c r="J15" s="30"/>
    </row>
    <row r="16">
      <c r="A16" s="35" t="s">
        <v>40</v>
      </c>
      <c r="B16" s="35" t="s">
        <v>96</v>
      </c>
      <c r="C16" s="35" t="s">
        <v>97</v>
      </c>
      <c r="D16" s="35"/>
      <c r="E16" s="35" t="s">
        <v>98</v>
      </c>
      <c r="F16" s="35" t="s">
        <v>99</v>
      </c>
      <c r="G16" s="36">
        <v>0.33</v>
      </c>
      <c r="H16" s="30"/>
      <c r="I16" s="30"/>
      <c r="J16" s="30"/>
    </row>
    <row r="17">
      <c r="A17" s="35" t="s">
        <v>41</v>
      </c>
      <c r="B17" s="35" t="s">
        <v>100</v>
      </c>
      <c r="C17" s="35" t="s">
        <v>101</v>
      </c>
      <c r="D17" s="35"/>
      <c r="E17" s="35" t="s">
        <v>102</v>
      </c>
      <c r="F17" s="35" t="s">
        <v>103</v>
      </c>
      <c r="G17" s="36">
        <v>0.23</v>
      </c>
      <c r="H17" s="30"/>
      <c r="I17" s="30"/>
      <c r="J17" s="30"/>
    </row>
    <row r="24">
      <c r="A24" s="10" t="s">
        <v>127</v>
      </c>
      <c r="B24" s="10" t="s">
        <v>128</v>
      </c>
      <c r="C24" s="10" t="s">
        <v>129</v>
      </c>
      <c r="D24" s="10" t="s">
        <v>130</v>
      </c>
      <c r="E24" s="10" t="s">
        <v>131</v>
      </c>
      <c r="F24" s="10" t="s">
        <v>42</v>
      </c>
      <c r="G24" s="10" t="s">
        <v>132</v>
      </c>
      <c r="H24" s="10" t="s">
        <v>133</v>
      </c>
      <c r="I24" s="10" t="s">
        <v>134</v>
      </c>
      <c r="J24" s="10" t="s">
        <v>135</v>
      </c>
      <c r="K24" s="10" t="s">
        <v>136</v>
      </c>
      <c r="L24" s="10" t="s">
        <v>137</v>
      </c>
    </row>
    <row r="25">
      <c r="A25" s="10">
        <v>0.53</v>
      </c>
      <c r="B25" s="10">
        <v>0.0032</v>
      </c>
      <c r="C25" s="41">
        <v>-1.57E-4</v>
      </c>
      <c r="D25" s="41">
        <v>-4.09E-4</v>
      </c>
      <c r="E25" s="41">
        <v>-5.72E-4</v>
      </c>
      <c r="G25" s="42">
        <f>-0.766*9.81*0.53*0.0032/(K2*2)</f>
        <v>-15352579.41</v>
      </c>
      <c r="H25" s="42">
        <f>-1.969*9.81*0.53*0.0032/(K2*2)</f>
        <v>-39463745.25</v>
      </c>
      <c r="I25" s="42">
        <f>-2.769*9.81*0.53*0.0032/(K2*2)</f>
        <v>-55497770.74</v>
      </c>
      <c r="J25" s="10">
        <f t="shared" ref="J25:L25" si="13">G25/C25/(10^9)</f>
        <v>97.78713</v>
      </c>
      <c r="K25" s="10">
        <f t="shared" si="13"/>
        <v>96.48837468</v>
      </c>
      <c r="L25" s="10">
        <f t="shared" si="13"/>
        <v>97.02407472</v>
      </c>
    </row>
    <row r="26">
      <c r="A26" s="10">
        <v>0.43</v>
      </c>
      <c r="B26" s="10">
        <v>0.0032</v>
      </c>
      <c r="C26" s="41">
        <v>-1.2E-4</v>
      </c>
      <c r="D26" s="41">
        <v>-3.22E-4</v>
      </c>
      <c r="E26" s="41">
        <f>-0.00045</f>
        <v>-0.00045</v>
      </c>
      <c r="G26" s="42">
        <f>-0.766*9.81*0.43*0.0032/(K2*2)</f>
        <v>-12455866.31</v>
      </c>
      <c r="H26" s="42">
        <f>-1.969*9.81*0.43*0.0032/(K3*2)</f>
        <v>-32017755.58</v>
      </c>
      <c r="I26" s="42">
        <f>-2.769*9.81*0.43*0.0032/(K3*2)</f>
        <v>-45026493.24</v>
      </c>
      <c r="J26" s="10">
        <f t="shared" ref="J26:L26" si="14">G26/C26/(10^9)</f>
        <v>103.7988859</v>
      </c>
      <c r="K26" s="10">
        <f t="shared" si="14"/>
        <v>99.43402353</v>
      </c>
      <c r="L26" s="10">
        <f t="shared" si="14"/>
        <v>100.0588739</v>
      </c>
    </row>
    <row r="27">
      <c r="A27" s="10">
        <v>0.33</v>
      </c>
      <c r="B27" s="10">
        <v>0.0032</v>
      </c>
      <c r="C27" s="41">
        <v>-9.3E-5</v>
      </c>
      <c r="D27" s="41">
        <v>-2.39E-4</v>
      </c>
      <c r="E27" s="41">
        <f>-0.000372</f>
        <v>-0.000372</v>
      </c>
      <c r="G27" s="42">
        <f>-0.766*9.81*0.33*0.0032/(K4*2)</f>
        <v>-9559153.218</v>
      </c>
      <c r="H27" s="42">
        <f>-1.969*9.81*0.33*0.0032/(K4*2)</f>
        <v>-24571765.91</v>
      </c>
      <c r="I27" s="42">
        <f>-2.769*9.81*0.33*0.0032/(K4*2)</f>
        <v>-34555215.74</v>
      </c>
      <c r="J27" s="10">
        <f t="shared" ref="J27:L27" si="15">G27/C27/(10^9)</f>
        <v>102.7865937</v>
      </c>
      <c r="K27" s="10">
        <f t="shared" si="15"/>
        <v>102.810736</v>
      </c>
      <c r="L27" s="10">
        <f t="shared" si="15"/>
        <v>92.8903649</v>
      </c>
    </row>
    <row r="28">
      <c r="A28" s="10">
        <v>0.23</v>
      </c>
      <c r="B28" s="10">
        <v>0.0032</v>
      </c>
      <c r="C28" s="41">
        <v>-6.8E-5</v>
      </c>
      <c r="D28" s="41">
        <v>-1.73E-4</v>
      </c>
      <c r="E28" s="41">
        <f>D28*1.4</f>
        <v>-0.0002422</v>
      </c>
      <c r="G28" s="42">
        <f>-0.766*9.81*0.23*0.0032/(K5*2)</f>
        <v>-6662440.121</v>
      </c>
      <c r="H28" s="42">
        <f>-1.969*9.81*0.23*0.0032/(K5*2)</f>
        <v>-17125776.24</v>
      </c>
      <c r="I28" s="42">
        <f>-2.769*9.81*0.23*0.0032/(K5*2)</f>
        <v>-24083938.25</v>
      </c>
      <c r="J28" s="10">
        <f t="shared" ref="J28:L28" si="16">G28/C28/(10^9)</f>
        <v>97.97706061</v>
      </c>
      <c r="K28" s="10">
        <f t="shared" si="16"/>
        <v>98.99292624</v>
      </c>
      <c r="L28" s="10">
        <f t="shared" si="16"/>
        <v>99.43822562</v>
      </c>
    </row>
    <row r="30">
      <c r="A30" s="10">
        <v>0.53</v>
      </c>
      <c r="B30" s="10">
        <v>-0.0032</v>
      </c>
      <c r="C30" s="41">
        <v>1.64E-4</v>
      </c>
      <c r="D30" s="41">
        <v>3.98E-4</v>
      </c>
      <c r="E30" s="41">
        <f>0.00052</f>
        <v>0.00052</v>
      </c>
      <c r="G30" s="42">
        <f>-0.766*9.81*0.53*-0.0032/(K7*2)</f>
        <v>15352579.41</v>
      </c>
      <c r="H30" s="42">
        <f>-1.969*9.81*0.53*-0.0032/(K7*2)</f>
        <v>39463745.25</v>
      </c>
      <c r="I30" s="42">
        <f>-2.769*9.81*0.53*-0.0032/(K7*2)</f>
        <v>55497770.74</v>
      </c>
      <c r="J30" s="10">
        <f t="shared" ref="J30:L30" si="17">G30/C30/(10^9)</f>
        <v>93.61328909</v>
      </c>
      <c r="K30" s="10">
        <f t="shared" si="17"/>
        <v>99.15513881</v>
      </c>
      <c r="L30" s="10">
        <f t="shared" si="17"/>
        <v>106.7264822</v>
      </c>
    </row>
    <row r="31">
      <c r="A31" s="10">
        <v>0.43</v>
      </c>
      <c r="B31" s="10">
        <v>-0.0032</v>
      </c>
      <c r="C31" s="41">
        <v>1.34E-4</v>
      </c>
      <c r="D31" s="41">
        <v>3.12E-4</v>
      </c>
      <c r="E31" s="41">
        <v>4.57E-4</v>
      </c>
      <c r="G31" s="42">
        <f>-0.766*9.81*0.43*-0.0032/(K7*2)</f>
        <v>12455866.31</v>
      </c>
      <c r="H31" s="42">
        <f>-1.969*9.81*0.43*-0.0032/(K8*2)</f>
        <v>32017755.58</v>
      </c>
      <c r="I31" s="42">
        <f>-2.769*9.81*0.43*-0.0032/(K8*2)</f>
        <v>45026493.24</v>
      </c>
      <c r="J31" s="10">
        <f t="shared" ref="J31:L31" si="18">G31/C31/(10^9)</f>
        <v>92.95422622</v>
      </c>
      <c r="K31" s="10">
        <f t="shared" si="18"/>
        <v>102.6210115</v>
      </c>
      <c r="L31" s="10">
        <f t="shared" si="18"/>
        <v>98.52624342</v>
      </c>
    </row>
    <row r="32">
      <c r="A32" s="10">
        <v>0.33</v>
      </c>
      <c r="B32" s="10">
        <v>-0.0032</v>
      </c>
      <c r="C32" s="41">
        <v>9.6E-5</v>
      </c>
      <c r="D32" s="41">
        <v>2.33E-4</v>
      </c>
      <c r="E32" s="41">
        <f>0.000356</f>
        <v>0.000356</v>
      </c>
      <c r="G32" s="42">
        <f>-0.766*9.81*0.33*-0.0032/(K9*2)</f>
        <v>9559153.218</v>
      </c>
      <c r="H32" s="42">
        <f>-1.969*9.81*0.33*-0.0032/(K9*2)</f>
        <v>24571765.91</v>
      </c>
      <c r="I32" s="42">
        <f>-2.769*9.81*0.33*-0.0032/(K9*2)</f>
        <v>34555215.74</v>
      </c>
      <c r="J32" s="10">
        <f t="shared" ref="J32:L32" si="19">G32/C32/(10^9)</f>
        <v>99.57451268</v>
      </c>
      <c r="K32" s="10">
        <f t="shared" si="19"/>
        <v>105.4582228</v>
      </c>
      <c r="L32" s="10">
        <f t="shared" si="19"/>
        <v>97.06521276</v>
      </c>
    </row>
    <row r="33">
      <c r="A33" s="10">
        <v>0.23</v>
      </c>
      <c r="B33" s="10">
        <v>-0.0032</v>
      </c>
      <c r="C33" s="41">
        <v>6.4E-5</v>
      </c>
      <c r="D33" s="41">
        <v>1.54E-4</v>
      </c>
      <c r="E33" s="41">
        <f>0.000241</f>
        <v>0.000241</v>
      </c>
      <c r="G33" s="42">
        <f>-0.766*9.81*0.23*-0.0032/(K10*2)</f>
        <v>6662440.121</v>
      </c>
      <c r="H33" s="42">
        <f>-1.969*9.81*0.23*-0.0032/(K10*2)</f>
        <v>17125776.24</v>
      </c>
      <c r="I33" s="42">
        <f>-2.769*9.81*0.23*-0.0032/(K10*2)</f>
        <v>24083938.25</v>
      </c>
      <c r="J33" s="10">
        <f t="shared" ref="J33:L33" si="20">G33/C33/(10^9)</f>
        <v>104.1006269</v>
      </c>
      <c r="K33" s="10">
        <f t="shared" si="20"/>
        <v>111.2063392</v>
      </c>
      <c r="L33" s="10">
        <f t="shared" si="20"/>
        <v>99.93335371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6" t="s">
        <v>138</v>
      </c>
      <c r="D1" s="4" t="s">
        <v>3</v>
      </c>
      <c r="E1" s="5" t="s">
        <v>4</v>
      </c>
      <c r="F1" s="7" t="s">
        <v>5</v>
      </c>
      <c r="H1" s="9" t="s">
        <v>138</v>
      </c>
      <c r="I1" s="11" t="s">
        <v>9</v>
      </c>
      <c r="K1" s="10" t="s">
        <v>139</v>
      </c>
      <c r="L1" s="10" t="s">
        <v>13</v>
      </c>
      <c r="M1" s="10" t="s">
        <v>140</v>
      </c>
      <c r="N1" s="10" t="s">
        <v>11</v>
      </c>
      <c r="O1" s="10" t="s">
        <v>141</v>
      </c>
      <c r="P1" s="10" t="s">
        <v>142</v>
      </c>
    </row>
    <row r="2">
      <c r="A2" s="16">
        <f t="shared" ref="A2:A34" si="1">712.2</f>
        <v>712.2</v>
      </c>
      <c r="B2" s="6">
        <f t="shared" ref="B2:B34" si="2">(A2/1000)*9.81</f>
        <v>6.986682</v>
      </c>
      <c r="C2" s="6">
        <v>1.45</v>
      </c>
      <c r="D2" s="6">
        <f t="shared" ref="D2:D34" si="3">C2/1000</f>
        <v>0.00145</v>
      </c>
      <c r="E2" s="6">
        <v>640.0</v>
      </c>
      <c r="F2" s="6">
        <f t="shared" ref="F2:F34" si="4">E2/1000</f>
        <v>0.64</v>
      </c>
      <c r="H2" s="9">
        <v>9.5</v>
      </c>
      <c r="I2" s="9">
        <f t="shared" ref="I2:I34" si="5">H2/1000</f>
        <v>0.0095</v>
      </c>
      <c r="K2" s="9">
        <f t="shared" ref="K2:K39" si="6">92.57131465*(10^9)</f>
        <v>92571314650</v>
      </c>
      <c r="L2" s="9">
        <f t="shared" ref="L2:L34" si="7"> ((0.019)*((0.0064)^3))/12</f>
        <v>0.0000000004150613333</v>
      </c>
      <c r="M2" s="9">
        <f t="shared" ref="M2:M34" si="8">((48*B2)/(K2*L2))*(4*(F2^3) - 3*1.28*(F2^2))</f>
        <v>-4.576078053</v>
      </c>
      <c r="N2" s="9">
        <f t="shared" ref="N2:N34" si="9">(D2-I2)*1000</f>
        <v>-8.05</v>
      </c>
      <c r="O2" s="10">
        <f t="shared" ref="O2:O34" si="10">(B2/(K2*L2))*(((F2^3)/12)-((1.28^2)/16)*F2)*1000</f>
        <v>-7.944579952</v>
      </c>
      <c r="P2" s="9">
        <f t="shared" ref="P2:P34" si="11">N2-O2</f>
        <v>-0.1054200477</v>
      </c>
    </row>
    <row r="3">
      <c r="A3" s="16">
        <f t="shared" si="1"/>
        <v>712.2</v>
      </c>
      <c r="B3" s="6">
        <f t="shared" si="2"/>
        <v>6.986682</v>
      </c>
      <c r="C3" s="6">
        <v>1.55</v>
      </c>
      <c r="D3" s="6">
        <f t="shared" si="3"/>
        <v>0.00155</v>
      </c>
      <c r="E3" s="6">
        <f t="shared" ref="E3:E34" si="12">E2-20</f>
        <v>620</v>
      </c>
      <c r="F3" s="6">
        <f t="shared" si="4"/>
        <v>0.62</v>
      </c>
      <c r="H3" s="9">
        <v>9.6</v>
      </c>
      <c r="I3" s="9">
        <f t="shared" si="5"/>
        <v>0.0096</v>
      </c>
      <c r="K3" s="9">
        <f t="shared" si="6"/>
        <v>92571314650</v>
      </c>
      <c r="L3" s="9">
        <f t="shared" si="7"/>
        <v>0.0000000004150613333</v>
      </c>
      <c r="M3" s="9">
        <f t="shared" si="8"/>
        <v>-4.562950875</v>
      </c>
      <c r="N3" s="9">
        <f t="shared" si="9"/>
        <v>-8.05</v>
      </c>
      <c r="O3" s="10">
        <f t="shared" si="10"/>
        <v>-7.933063609</v>
      </c>
      <c r="P3" s="9">
        <f t="shared" si="11"/>
        <v>-0.1169363913</v>
      </c>
    </row>
    <row r="4">
      <c r="A4" s="16">
        <f t="shared" si="1"/>
        <v>712.2</v>
      </c>
      <c r="B4" s="6">
        <f t="shared" si="2"/>
        <v>6.986682</v>
      </c>
      <c r="C4" s="6">
        <v>1.7</v>
      </c>
      <c r="D4" s="6">
        <f t="shared" si="3"/>
        <v>0.0017</v>
      </c>
      <c r="E4" s="6">
        <f t="shared" si="12"/>
        <v>600</v>
      </c>
      <c r="F4" s="6">
        <f t="shared" si="4"/>
        <v>0.6</v>
      </c>
      <c r="H4" s="9">
        <v>9.3</v>
      </c>
      <c r="I4" s="9">
        <f t="shared" si="5"/>
        <v>0.0093</v>
      </c>
      <c r="K4" s="9">
        <f t="shared" si="6"/>
        <v>92571314650</v>
      </c>
      <c r="L4" s="9">
        <f t="shared" si="7"/>
        <v>0.0000000004150613333</v>
      </c>
      <c r="M4" s="9">
        <f t="shared" si="8"/>
        <v>-4.524686551</v>
      </c>
      <c r="N4" s="9">
        <f t="shared" si="9"/>
        <v>-7.6</v>
      </c>
      <c r="O4" s="10">
        <f t="shared" si="10"/>
        <v>-7.898999476</v>
      </c>
      <c r="P4" s="9">
        <f t="shared" si="11"/>
        <v>0.2989994765</v>
      </c>
    </row>
    <row r="5">
      <c r="A5" s="16">
        <f t="shared" si="1"/>
        <v>712.2</v>
      </c>
      <c r="B5" s="6">
        <f t="shared" si="2"/>
        <v>6.986682</v>
      </c>
      <c r="C5" s="6">
        <v>1.8</v>
      </c>
      <c r="D5" s="6">
        <f t="shared" si="3"/>
        <v>0.0018</v>
      </c>
      <c r="E5" s="6">
        <f t="shared" si="12"/>
        <v>580</v>
      </c>
      <c r="F5" s="6">
        <f t="shared" si="4"/>
        <v>0.58</v>
      </c>
      <c r="H5" s="9">
        <v>9.4</v>
      </c>
      <c r="I5" s="9">
        <f t="shared" si="5"/>
        <v>0.0094</v>
      </c>
      <c r="K5" s="9">
        <f t="shared" si="6"/>
        <v>92571314650</v>
      </c>
      <c r="L5" s="9">
        <f t="shared" si="7"/>
        <v>0.0000000004150613333</v>
      </c>
      <c r="M5" s="9">
        <f t="shared" si="8"/>
        <v>-4.462960889</v>
      </c>
      <c r="N5" s="9">
        <f t="shared" si="9"/>
        <v>-7.6</v>
      </c>
      <c r="O5" s="10">
        <f t="shared" si="10"/>
        <v>-7.843114904</v>
      </c>
      <c r="P5" s="9">
        <f t="shared" si="11"/>
        <v>0.2431149038</v>
      </c>
    </row>
    <row r="6">
      <c r="A6" s="16">
        <f t="shared" si="1"/>
        <v>712.2</v>
      </c>
      <c r="B6" s="6">
        <f t="shared" si="2"/>
        <v>6.986682</v>
      </c>
      <c r="C6" s="6">
        <v>2.1</v>
      </c>
      <c r="D6" s="6">
        <f t="shared" si="3"/>
        <v>0.0021</v>
      </c>
      <c r="E6" s="6">
        <f t="shared" si="12"/>
        <v>560</v>
      </c>
      <c r="F6" s="6">
        <f t="shared" si="4"/>
        <v>0.56</v>
      </c>
      <c r="H6" s="9">
        <v>9.55</v>
      </c>
      <c r="I6" s="9">
        <f t="shared" si="5"/>
        <v>0.00955</v>
      </c>
      <c r="K6" s="9">
        <f t="shared" si="6"/>
        <v>92571314650</v>
      </c>
      <c r="L6" s="9">
        <f t="shared" si="7"/>
        <v>0.0000000004150613333</v>
      </c>
      <c r="M6" s="9">
        <f t="shared" si="8"/>
        <v>-4.379449699</v>
      </c>
      <c r="N6" s="9">
        <f t="shared" si="9"/>
        <v>-7.45</v>
      </c>
      <c r="O6" s="10">
        <f t="shared" si="10"/>
        <v>-7.766137239</v>
      </c>
      <c r="P6" s="9">
        <f t="shared" si="11"/>
        <v>0.3161372385</v>
      </c>
    </row>
    <row r="7">
      <c r="A7" s="16">
        <f t="shared" si="1"/>
        <v>712.2</v>
      </c>
      <c r="B7" s="6">
        <f t="shared" si="2"/>
        <v>6.986682</v>
      </c>
      <c r="C7" s="6">
        <v>2.15</v>
      </c>
      <c r="D7" s="6">
        <f t="shared" si="3"/>
        <v>0.00215</v>
      </c>
      <c r="E7" s="6">
        <f t="shared" si="12"/>
        <v>540</v>
      </c>
      <c r="F7" s="6">
        <f t="shared" si="4"/>
        <v>0.54</v>
      </c>
      <c r="H7" s="9">
        <v>9.55</v>
      </c>
      <c r="I7" s="9">
        <f t="shared" si="5"/>
        <v>0.00955</v>
      </c>
      <c r="K7" s="9">
        <f t="shared" si="6"/>
        <v>92571314650</v>
      </c>
      <c r="L7" s="9">
        <f t="shared" si="7"/>
        <v>0.0000000004150613333</v>
      </c>
      <c r="M7" s="9">
        <f t="shared" si="8"/>
        <v>-4.275828791</v>
      </c>
      <c r="N7" s="9">
        <f t="shared" si="9"/>
        <v>-7.4</v>
      </c>
      <c r="O7" s="10">
        <f t="shared" si="10"/>
        <v>-7.668793829</v>
      </c>
      <c r="P7" s="9">
        <f t="shared" si="11"/>
        <v>0.2687938288</v>
      </c>
    </row>
    <row r="8">
      <c r="A8" s="16">
        <f t="shared" si="1"/>
        <v>712.2</v>
      </c>
      <c r="B8" s="6">
        <f t="shared" si="2"/>
        <v>6.986682</v>
      </c>
      <c r="C8" s="6">
        <v>2.45</v>
      </c>
      <c r="D8" s="6">
        <f t="shared" si="3"/>
        <v>0.00245</v>
      </c>
      <c r="E8" s="6">
        <f t="shared" si="12"/>
        <v>520</v>
      </c>
      <c r="F8" s="6">
        <f t="shared" si="4"/>
        <v>0.52</v>
      </c>
      <c r="H8" s="9">
        <v>9.7</v>
      </c>
      <c r="I8" s="9">
        <f t="shared" si="5"/>
        <v>0.0097</v>
      </c>
      <c r="K8" s="9">
        <f t="shared" si="6"/>
        <v>92571314650</v>
      </c>
      <c r="L8" s="9">
        <f t="shared" si="7"/>
        <v>0.0000000004150613333</v>
      </c>
      <c r="M8" s="9">
        <f t="shared" si="8"/>
        <v>-4.153773974</v>
      </c>
      <c r="N8" s="9">
        <f t="shared" si="9"/>
        <v>-7.25</v>
      </c>
      <c r="O8" s="10">
        <f t="shared" si="10"/>
        <v>-7.551812023</v>
      </c>
      <c r="P8" s="9">
        <f t="shared" si="11"/>
        <v>0.3018120225</v>
      </c>
    </row>
    <row r="9">
      <c r="A9" s="16">
        <f t="shared" si="1"/>
        <v>712.2</v>
      </c>
      <c r="B9" s="6">
        <f t="shared" si="2"/>
        <v>6.986682</v>
      </c>
      <c r="C9" s="6">
        <v>2.8</v>
      </c>
      <c r="D9" s="6">
        <f t="shared" si="3"/>
        <v>0.0028</v>
      </c>
      <c r="E9" s="6">
        <f t="shared" si="12"/>
        <v>500</v>
      </c>
      <c r="F9" s="6">
        <f t="shared" si="4"/>
        <v>0.5</v>
      </c>
      <c r="H9" s="9">
        <v>9.9</v>
      </c>
      <c r="I9" s="9">
        <f t="shared" si="5"/>
        <v>0.0099</v>
      </c>
      <c r="K9" s="9">
        <f t="shared" si="6"/>
        <v>92571314650</v>
      </c>
      <c r="L9" s="9">
        <f t="shared" si="7"/>
        <v>0.0000000004150613333</v>
      </c>
      <c r="M9" s="9">
        <f t="shared" si="8"/>
        <v>-4.01496106</v>
      </c>
      <c r="N9" s="9">
        <f t="shared" si="9"/>
        <v>-7.1</v>
      </c>
      <c r="O9" s="10">
        <f t="shared" si="10"/>
        <v>-7.415919168</v>
      </c>
      <c r="P9" s="9">
        <f t="shared" si="11"/>
        <v>0.3159191678</v>
      </c>
    </row>
    <row r="10">
      <c r="A10" s="16">
        <f t="shared" si="1"/>
        <v>712.2</v>
      </c>
      <c r="B10" s="6">
        <f t="shared" si="2"/>
        <v>6.986682</v>
      </c>
      <c r="C10" s="6">
        <v>3.22</v>
      </c>
      <c r="D10" s="6">
        <f t="shared" si="3"/>
        <v>0.00322</v>
      </c>
      <c r="E10" s="6">
        <f t="shared" si="12"/>
        <v>480</v>
      </c>
      <c r="F10" s="6">
        <f t="shared" si="4"/>
        <v>0.48</v>
      </c>
      <c r="H10" s="9">
        <v>10.1</v>
      </c>
      <c r="I10" s="9">
        <f t="shared" si="5"/>
        <v>0.0101</v>
      </c>
      <c r="K10" s="9">
        <f t="shared" si="6"/>
        <v>92571314650</v>
      </c>
      <c r="L10" s="9">
        <f t="shared" si="7"/>
        <v>0.0000000004150613333</v>
      </c>
      <c r="M10" s="9">
        <f t="shared" si="8"/>
        <v>-3.861065857</v>
      </c>
      <c r="N10" s="9">
        <f t="shared" si="9"/>
        <v>-6.88</v>
      </c>
      <c r="O10" s="10">
        <f t="shared" si="10"/>
        <v>-7.261842613</v>
      </c>
      <c r="P10" s="9">
        <f t="shared" si="11"/>
        <v>0.3818426126</v>
      </c>
    </row>
    <row r="11">
      <c r="A11" s="16">
        <f t="shared" si="1"/>
        <v>712.2</v>
      </c>
      <c r="B11" s="6">
        <f t="shared" si="2"/>
        <v>6.986682</v>
      </c>
      <c r="C11" s="6">
        <v>3.65</v>
      </c>
      <c r="D11" s="6">
        <f t="shared" si="3"/>
        <v>0.00365</v>
      </c>
      <c r="E11" s="6">
        <f t="shared" si="12"/>
        <v>460</v>
      </c>
      <c r="F11" s="6">
        <f t="shared" si="4"/>
        <v>0.46</v>
      </c>
      <c r="H11" s="9">
        <v>10.8</v>
      </c>
      <c r="I11" s="9">
        <f t="shared" si="5"/>
        <v>0.0108</v>
      </c>
      <c r="K11" s="9">
        <f t="shared" si="6"/>
        <v>92571314650</v>
      </c>
      <c r="L11" s="9">
        <f t="shared" si="7"/>
        <v>0.0000000004150613333</v>
      </c>
      <c r="M11" s="9">
        <f t="shared" si="8"/>
        <v>-3.693764175</v>
      </c>
      <c r="N11" s="9">
        <f t="shared" si="9"/>
        <v>-7.15</v>
      </c>
      <c r="O11" s="10">
        <f t="shared" si="10"/>
        <v>-7.090309705</v>
      </c>
      <c r="P11" s="9">
        <f t="shared" si="11"/>
        <v>-0.05969029495</v>
      </c>
    </row>
    <row r="12">
      <c r="A12" s="16">
        <f t="shared" si="1"/>
        <v>712.2</v>
      </c>
      <c r="B12" s="6">
        <f t="shared" si="2"/>
        <v>6.986682</v>
      </c>
      <c r="C12" s="6">
        <v>4.1</v>
      </c>
      <c r="D12" s="6">
        <f t="shared" si="3"/>
        <v>0.0041</v>
      </c>
      <c r="E12" s="6">
        <f t="shared" si="12"/>
        <v>440</v>
      </c>
      <c r="F12" s="6">
        <f t="shared" si="4"/>
        <v>0.44</v>
      </c>
      <c r="H12" s="9">
        <v>10.6</v>
      </c>
      <c r="I12" s="9">
        <f t="shared" si="5"/>
        <v>0.0106</v>
      </c>
      <c r="K12" s="9">
        <f t="shared" si="6"/>
        <v>92571314650</v>
      </c>
      <c r="L12" s="9">
        <f t="shared" si="7"/>
        <v>0.0000000004150613333</v>
      </c>
      <c r="M12" s="9">
        <f t="shared" si="8"/>
        <v>-3.514731825</v>
      </c>
      <c r="N12" s="9">
        <f t="shared" si="9"/>
        <v>-6.5</v>
      </c>
      <c r="O12" s="10">
        <f t="shared" si="10"/>
        <v>-6.902047793</v>
      </c>
      <c r="P12" s="9">
        <f t="shared" si="11"/>
        <v>0.402047793</v>
      </c>
    </row>
    <row r="13">
      <c r="A13" s="16">
        <f t="shared" si="1"/>
        <v>712.2</v>
      </c>
      <c r="B13" s="6">
        <f t="shared" si="2"/>
        <v>6.986682</v>
      </c>
      <c r="C13" s="6">
        <v>4.4</v>
      </c>
      <c r="D13" s="6">
        <f t="shared" si="3"/>
        <v>0.0044</v>
      </c>
      <c r="E13" s="6">
        <f t="shared" si="12"/>
        <v>420</v>
      </c>
      <c r="F13" s="6">
        <f t="shared" si="4"/>
        <v>0.42</v>
      </c>
      <c r="H13" s="9">
        <v>10.8</v>
      </c>
      <c r="I13" s="9">
        <f t="shared" si="5"/>
        <v>0.0108</v>
      </c>
      <c r="K13" s="9">
        <f t="shared" si="6"/>
        <v>92571314650</v>
      </c>
      <c r="L13" s="9">
        <f t="shared" si="7"/>
        <v>0.0000000004150613333</v>
      </c>
      <c r="M13" s="9">
        <f t="shared" si="8"/>
        <v>-3.325644615</v>
      </c>
      <c r="N13" s="9">
        <f t="shared" si="9"/>
        <v>-6.4</v>
      </c>
      <c r="O13" s="10">
        <f t="shared" si="10"/>
        <v>-6.697784225</v>
      </c>
      <c r="P13" s="9">
        <f t="shared" si="11"/>
        <v>0.2977842246</v>
      </c>
    </row>
    <row r="14">
      <c r="A14" s="16">
        <f t="shared" si="1"/>
        <v>712.2</v>
      </c>
      <c r="B14" s="6">
        <f t="shared" si="2"/>
        <v>6.986682</v>
      </c>
      <c r="C14" s="6">
        <v>4.75</v>
      </c>
      <c r="D14" s="6">
        <f t="shared" si="3"/>
        <v>0.00475</v>
      </c>
      <c r="E14" s="6">
        <f t="shared" si="12"/>
        <v>400</v>
      </c>
      <c r="F14" s="6">
        <f t="shared" si="4"/>
        <v>0.4</v>
      </c>
      <c r="H14" s="9">
        <v>11.15</v>
      </c>
      <c r="I14" s="9">
        <f t="shared" si="5"/>
        <v>0.01115</v>
      </c>
      <c r="K14" s="9">
        <f t="shared" si="6"/>
        <v>92571314650</v>
      </c>
      <c r="L14" s="9">
        <f t="shared" si="7"/>
        <v>0.0000000004150613333</v>
      </c>
      <c r="M14" s="9">
        <f t="shared" si="8"/>
        <v>-3.128178356</v>
      </c>
      <c r="N14" s="9">
        <f t="shared" si="9"/>
        <v>-6.4</v>
      </c>
      <c r="O14" s="10">
        <f t="shared" si="10"/>
        <v>-6.478246348</v>
      </c>
      <c r="P14" s="9">
        <f t="shared" si="11"/>
        <v>0.07824634782</v>
      </c>
    </row>
    <row r="15">
      <c r="A15" s="16">
        <f t="shared" si="1"/>
        <v>712.2</v>
      </c>
      <c r="B15" s="6">
        <f t="shared" si="2"/>
        <v>6.986682</v>
      </c>
      <c r="C15" s="6">
        <v>5.25</v>
      </c>
      <c r="D15" s="6">
        <f t="shared" si="3"/>
        <v>0.00525</v>
      </c>
      <c r="E15" s="6">
        <f t="shared" si="12"/>
        <v>380</v>
      </c>
      <c r="F15" s="6">
        <f t="shared" si="4"/>
        <v>0.38</v>
      </c>
      <c r="H15" s="9">
        <v>11.45</v>
      </c>
      <c r="I15" s="9">
        <f t="shared" si="5"/>
        <v>0.01145</v>
      </c>
      <c r="K15" s="9">
        <f t="shared" si="6"/>
        <v>92571314650</v>
      </c>
      <c r="L15" s="9">
        <f t="shared" si="7"/>
        <v>0.0000000004150613333</v>
      </c>
      <c r="M15" s="9">
        <f t="shared" si="8"/>
        <v>-2.924008858</v>
      </c>
      <c r="N15" s="9">
        <f t="shared" si="9"/>
        <v>-6.2</v>
      </c>
      <c r="O15" s="10">
        <f t="shared" si="10"/>
        <v>-6.244161511</v>
      </c>
      <c r="P15" s="9">
        <f t="shared" si="11"/>
        <v>0.04416151067</v>
      </c>
    </row>
    <row r="16">
      <c r="A16" s="16">
        <f t="shared" si="1"/>
        <v>712.2</v>
      </c>
      <c r="B16" s="6">
        <f t="shared" si="2"/>
        <v>6.986682</v>
      </c>
      <c r="C16" s="6">
        <v>5.8</v>
      </c>
      <c r="D16" s="6">
        <f t="shared" si="3"/>
        <v>0.0058</v>
      </c>
      <c r="E16" s="6">
        <f t="shared" si="12"/>
        <v>360</v>
      </c>
      <c r="F16" s="6">
        <f t="shared" si="4"/>
        <v>0.36</v>
      </c>
      <c r="H16" s="9">
        <v>11.8</v>
      </c>
      <c r="I16" s="9">
        <f t="shared" si="5"/>
        <v>0.0118</v>
      </c>
      <c r="K16" s="9">
        <f t="shared" si="6"/>
        <v>92571314650</v>
      </c>
      <c r="L16" s="9">
        <f t="shared" si="7"/>
        <v>0.0000000004150613333</v>
      </c>
      <c r="M16" s="9">
        <f t="shared" si="8"/>
        <v>-2.714811931</v>
      </c>
      <c r="N16" s="9">
        <f t="shared" si="9"/>
        <v>-6</v>
      </c>
      <c r="O16" s="10">
        <f t="shared" si="10"/>
        <v>-5.996257061</v>
      </c>
      <c r="P16" s="9">
        <f t="shared" si="11"/>
        <v>-0.003742938835</v>
      </c>
    </row>
    <row r="17">
      <c r="A17" s="16">
        <f t="shared" si="1"/>
        <v>712.2</v>
      </c>
      <c r="B17" s="6">
        <f t="shared" si="2"/>
        <v>6.986682</v>
      </c>
      <c r="C17" s="6">
        <v>6.4</v>
      </c>
      <c r="D17" s="6">
        <f t="shared" si="3"/>
        <v>0.0064</v>
      </c>
      <c r="E17" s="6">
        <f t="shared" si="12"/>
        <v>340</v>
      </c>
      <c r="F17" s="6">
        <f t="shared" si="4"/>
        <v>0.34</v>
      </c>
      <c r="H17" s="9">
        <v>12.5</v>
      </c>
      <c r="I17" s="9">
        <f t="shared" si="5"/>
        <v>0.0125</v>
      </c>
      <c r="K17" s="9">
        <f t="shared" si="6"/>
        <v>92571314650</v>
      </c>
      <c r="L17" s="9">
        <f t="shared" si="7"/>
        <v>0.0000000004150613333</v>
      </c>
      <c r="M17" s="9">
        <f t="shared" si="8"/>
        <v>-2.502263383</v>
      </c>
      <c r="N17" s="9">
        <f t="shared" si="9"/>
        <v>-6.1</v>
      </c>
      <c r="O17" s="10">
        <f t="shared" si="10"/>
        <v>-5.735260347</v>
      </c>
      <c r="P17" s="9">
        <f t="shared" si="11"/>
        <v>-0.3647396527</v>
      </c>
    </row>
    <row r="18">
      <c r="A18" s="16">
        <f t="shared" si="1"/>
        <v>712.2</v>
      </c>
      <c r="B18" s="6">
        <f t="shared" si="2"/>
        <v>6.986682</v>
      </c>
      <c r="C18" s="6">
        <v>6.95</v>
      </c>
      <c r="D18" s="6">
        <f t="shared" si="3"/>
        <v>0.00695</v>
      </c>
      <c r="E18" s="6">
        <f t="shared" si="12"/>
        <v>320</v>
      </c>
      <c r="F18" s="6">
        <f t="shared" si="4"/>
        <v>0.32</v>
      </c>
      <c r="H18" s="9">
        <v>12.3</v>
      </c>
      <c r="I18" s="9">
        <f t="shared" si="5"/>
        <v>0.0123</v>
      </c>
      <c r="K18" s="9">
        <f t="shared" si="6"/>
        <v>92571314650</v>
      </c>
      <c r="L18" s="9">
        <f t="shared" si="7"/>
        <v>0.0000000004150613333</v>
      </c>
      <c r="M18" s="9">
        <f t="shared" si="8"/>
        <v>-2.288039026</v>
      </c>
      <c r="N18" s="9">
        <f t="shared" si="9"/>
        <v>-5.35</v>
      </c>
      <c r="O18" s="10">
        <f t="shared" si="10"/>
        <v>-5.461898717</v>
      </c>
      <c r="P18" s="9">
        <f t="shared" si="11"/>
        <v>0.1118987172</v>
      </c>
    </row>
    <row r="19">
      <c r="A19" s="16">
        <f t="shared" si="1"/>
        <v>712.2</v>
      </c>
      <c r="B19" s="6">
        <f t="shared" si="2"/>
        <v>6.986682</v>
      </c>
      <c r="C19" s="6">
        <v>7.6</v>
      </c>
      <c r="D19" s="6">
        <f t="shared" si="3"/>
        <v>0.0076</v>
      </c>
      <c r="E19" s="6">
        <f t="shared" si="12"/>
        <v>300</v>
      </c>
      <c r="F19" s="6">
        <f t="shared" si="4"/>
        <v>0.3</v>
      </c>
      <c r="H19" s="9">
        <v>12.63</v>
      </c>
      <c r="I19" s="9">
        <f t="shared" si="5"/>
        <v>0.01263</v>
      </c>
      <c r="K19" s="9">
        <f t="shared" si="6"/>
        <v>92571314650</v>
      </c>
      <c r="L19" s="9">
        <f t="shared" si="7"/>
        <v>0.0000000004150613333</v>
      </c>
      <c r="M19" s="9">
        <f t="shared" si="8"/>
        <v>-2.073814669</v>
      </c>
      <c r="N19" s="9">
        <f t="shared" si="9"/>
        <v>-5.03</v>
      </c>
      <c r="O19" s="10">
        <f t="shared" si="10"/>
        <v>-5.176899519</v>
      </c>
      <c r="P19" s="9">
        <f t="shared" si="11"/>
        <v>0.1468995188</v>
      </c>
    </row>
    <row r="20">
      <c r="A20" s="16">
        <f t="shared" si="1"/>
        <v>712.2</v>
      </c>
      <c r="B20" s="6">
        <f t="shared" si="2"/>
        <v>6.986682</v>
      </c>
      <c r="C20" s="6">
        <v>8.2</v>
      </c>
      <c r="D20" s="6">
        <f t="shared" si="3"/>
        <v>0.0082</v>
      </c>
      <c r="E20" s="6">
        <f t="shared" si="12"/>
        <v>280</v>
      </c>
      <c r="F20" s="6">
        <f t="shared" si="4"/>
        <v>0.28</v>
      </c>
      <c r="H20" s="9">
        <v>12.97</v>
      </c>
      <c r="I20" s="9">
        <f t="shared" si="5"/>
        <v>0.01297</v>
      </c>
      <c r="K20" s="9">
        <f t="shared" si="6"/>
        <v>92571314650</v>
      </c>
      <c r="L20" s="9">
        <f t="shared" si="7"/>
        <v>0.0000000004150613333</v>
      </c>
      <c r="M20" s="9">
        <f t="shared" si="8"/>
        <v>-1.861266122</v>
      </c>
      <c r="N20" s="9">
        <f t="shared" si="9"/>
        <v>-4.77</v>
      </c>
      <c r="O20" s="10">
        <f t="shared" si="10"/>
        <v>-4.8809901</v>
      </c>
      <c r="P20" s="9">
        <f t="shared" si="11"/>
        <v>0.1109901001</v>
      </c>
    </row>
    <row r="21">
      <c r="A21" s="16">
        <f t="shared" si="1"/>
        <v>712.2</v>
      </c>
      <c r="B21" s="6">
        <f t="shared" si="2"/>
        <v>6.986682</v>
      </c>
      <c r="C21" s="6">
        <v>9.3</v>
      </c>
      <c r="D21" s="6">
        <f t="shared" si="3"/>
        <v>0.0093</v>
      </c>
      <c r="E21" s="6">
        <f t="shared" si="12"/>
        <v>260</v>
      </c>
      <c r="F21" s="6">
        <f t="shared" si="4"/>
        <v>0.26</v>
      </c>
      <c r="H21" s="9">
        <v>13.8</v>
      </c>
      <c r="I21" s="9">
        <f t="shared" si="5"/>
        <v>0.0138</v>
      </c>
      <c r="K21" s="9">
        <f t="shared" si="6"/>
        <v>92571314650</v>
      </c>
      <c r="L21" s="9">
        <f t="shared" si="7"/>
        <v>0.0000000004150613333</v>
      </c>
      <c r="M21" s="9">
        <f t="shared" si="8"/>
        <v>-1.652069194</v>
      </c>
      <c r="N21" s="9">
        <f t="shared" si="9"/>
        <v>-4.5</v>
      </c>
      <c r="O21" s="10">
        <f t="shared" si="10"/>
        <v>-4.574897809</v>
      </c>
      <c r="P21" s="9">
        <f t="shared" si="11"/>
        <v>0.07489780914</v>
      </c>
    </row>
    <row r="22">
      <c r="A22" s="16">
        <f t="shared" si="1"/>
        <v>712.2</v>
      </c>
      <c r="B22" s="6">
        <f t="shared" si="2"/>
        <v>6.986682</v>
      </c>
      <c r="C22" s="6">
        <v>9.98</v>
      </c>
      <c r="D22" s="6">
        <f t="shared" si="3"/>
        <v>0.00998</v>
      </c>
      <c r="E22" s="6">
        <f t="shared" si="12"/>
        <v>240</v>
      </c>
      <c r="F22" s="6">
        <f t="shared" si="4"/>
        <v>0.24</v>
      </c>
      <c r="H22" s="9">
        <v>14.05</v>
      </c>
      <c r="I22" s="9">
        <f t="shared" si="5"/>
        <v>0.01405</v>
      </c>
      <c r="K22" s="9">
        <f t="shared" si="6"/>
        <v>92571314650</v>
      </c>
      <c r="L22" s="9">
        <f t="shared" si="7"/>
        <v>0.0000000004150613333</v>
      </c>
      <c r="M22" s="9">
        <f t="shared" si="8"/>
        <v>-1.447899696</v>
      </c>
      <c r="N22" s="9">
        <f t="shared" si="9"/>
        <v>-4.07</v>
      </c>
      <c r="O22" s="10">
        <f t="shared" si="10"/>
        <v>-4.259349994</v>
      </c>
      <c r="P22" s="9">
        <f t="shared" si="11"/>
        <v>0.189349994</v>
      </c>
    </row>
    <row r="23">
      <c r="A23" s="16">
        <f t="shared" si="1"/>
        <v>712.2</v>
      </c>
      <c r="B23" s="6">
        <f t="shared" si="2"/>
        <v>6.986682</v>
      </c>
      <c r="C23" s="6">
        <v>10.8</v>
      </c>
      <c r="D23" s="6">
        <f t="shared" si="3"/>
        <v>0.0108</v>
      </c>
      <c r="E23" s="6">
        <f t="shared" si="12"/>
        <v>220</v>
      </c>
      <c r="F23" s="6">
        <f t="shared" si="4"/>
        <v>0.22</v>
      </c>
      <c r="H23" s="9">
        <v>14.5</v>
      </c>
      <c r="I23" s="9">
        <f t="shared" si="5"/>
        <v>0.0145</v>
      </c>
      <c r="K23" s="9">
        <f t="shared" si="6"/>
        <v>92571314650</v>
      </c>
      <c r="L23" s="9">
        <f t="shared" si="7"/>
        <v>0.0000000004150613333</v>
      </c>
      <c r="M23" s="9">
        <f t="shared" si="8"/>
        <v>-1.250433438</v>
      </c>
      <c r="N23" s="9">
        <f t="shared" si="9"/>
        <v>-3.7</v>
      </c>
      <c r="O23" s="10">
        <f t="shared" si="10"/>
        <v>-3.935074003</v>
      </c>
      <c r="P23" s="9">
        <f t="shared" si="11"/>
        <v>0.2350740026</v>
      </c>
    </row>
    <row r="24">
      <c r="A24" s="16">
        <f t="shared" si="1"/>
        <v>712.2</v>
      </c>
      <c r="B24" s="6">
        <f t="shared" si="2"/>
        <v>6.986682</v>
      </c>
      <c r="C24" s="6">
        <v>11.55</v>
      </c>
      <c r="D24" s="6">
        <f t="shared" si="3"/>
        <v>0.01155</v>
      </c>
      <c r="E24" s="6">
        <f t="shared" si="12"/>
        <v>200</v>
      </c>
      <c r="F24" s="6">
        <f t="shared" si="4"/>
        <v>0.2</v>
      </c>
      <c r="H24" s="9">
        <v>14.65</v>
      </c>
      <c r="I24" s="9">
        <f t="shared" si="5"/>
        <v>0.01465</v>
      </c>
      <c r="K24" s="9">
        <f t="shared" si="6"/>
        <v>92571314650</v>
      </c>
      <c r="L24" s="9">
        <f t="shared" si="7"/>
        <v>0.0000000004150613333</v>
      </c>
      <c r="M24" s="9">
        <f t="shared" si="8"/>
        <v>-1.061346228</v>
      </c>
      <c r="N24" s="9">
        <f t="shared" si="9"/>
        <v>-3.1</v>
      </c>
      <c r="O24" s="10">
        <f t="shared" si="10"/>
        <v>-3.602797183</v>
      </c>
      <c r="P24" s="9">
        <f t="shared" si="11"/>
        <v>0.502797183</v>
      </c>
    </row>
    <row r="25">
      <c r="A25" s="16">
        <f t="shared" si="1"/>
        <v>712.2</v>
      </c>
      <c r="B25" s="6">
        <f t="shared" si="2"/>
        <v>6.986682</v>
      </c>
      <c r="C25" s="6">
        <v>12.1</v>
      </c>
      <c r="D25" s="6">
        <f t="shared" si="3"/>
        <v>0.0121</v>
      </c>
      <c r="E25" s="6">
        <f t="shared" si="12"/>
        <v>180</v>
      </c>
      <c r="F25" s="6">
        <f t="shared" si="4"/>
        <v>0.18</v>
      </c>
      <c r="H25" s="9">
        <v>15.2</v>
      </c>
      <c r="I25" s="9">
        <f t="shared" si="5"/>
        <v>0.0152</v>
      </c>
      <c r="K25" s="9">
        <f t="shared" si="6"/>
        <v>92571314650</v>
      </c>
      <c r="L25" s="9">
        <f t="shared" si="7"/>
        <v>0.0000000004150613333</v>
      </c>
      <c r="M25" s="9">
        <f t="shared" si="8"/>
        <v>-0.8823138774</v>
      </c>
      <c r="N25" s="9">
        <f t="shared" si="9"/>
        <v>-3.1</v>
      </c>
      <c r="O25" s="10">
        <f t="shared" si="10"/>
        <v>-3.263246883</v>
      </c>
      <c r="P25" s="9">
        <f t="shared" si="11"/>
        <v>0.1632468832</v>
      </c>
    </row>
    <row r="26">
      <c r="A26" s="16">
        <f t="shared" si="1"/>
        <v>712.2</v>
      </c>
      <c r="B26" s="6">
        <f t="shared" si="2"/>
        <v>6.986682</v>
      </c>
      <c r="C26" s="6">
        <v>12.65</v>
      </c>
      <c r="D26" s="6">
        <f t="shared" si="3"/>
        <v>0.01265</v>
      </c>
      <c r="E26" s="6">
        <f t="shared" si="12"/>
        <v>160</v>
      </c>
      <c r="F26" s="6">
        <f t="shared" si="4"/>
        <v>0.16</v>
      </c>
      <c r="H26" s="9">
        <v>15.5</v>
      </c>
      <c r="I26" s="9">
        <f t="shared" si="5"/>
        <v>0.0155</v>
      </c>
      <c r="K26" s="9">
        <f t="shared" si="6"/>
        <v>92571314650</v>
      </c>
      <c r="L26" s="9">
        <f t="shared" si="7"/>
        <v>0.0000000004150613333</v>
      </c>
      <c r="M26" s="9">
        <f t="shared" si="8"/>
        <v>-0.7150121957</v>
      </c>
      <c r="N26" s="9">
        <f t="shared" si="9"/>
        <v>-2.85</v>
      </c>
      <c r="O26" s="10">
        <f t="shared" si="10"/>
        <v>-2.917150451</v>
      </c>
      <c r="P26" s="9">
        <f t="shared" si="11"/>
        <v>0.06715045123</v>
      </c>
    </row>
    <row r="27">
      <c r="A27" s="16">
        <f t="shared" si="1"/>
        <v>712.2</v>
      </c>
      <c r="B27" s="6">
        <f t="shared" si="2"/>
        <v>6.986682</v>
      </c>
      <c r="C27" s="6">
        <v>13.45</v>
      </c>
      <c r="D27" s="6">
        <f t="shared" si="3"/>
        <v>0.01345</v>
      </c>
      <c r="E27" s="6">
        <f t="shared" si="12"/>
        <v>140</v>
      </c>
      <c r="F27" s="6">
        <f t="shared" si="4"/>
        <v>0.14</v>
      </c>
      <c r="H27" s="9">
        <v>15.85</v>
      </c>
      <c r="I27" s="9">
        <f t="shared" si="5"/>
        <v>0.01585</v>
      </c>
      <c r="K27" s="9">
        <f t="shared" si="6"/>
        <v>92571314650</v>
      </c>
      <c r="L27" s="9">
        <f t="shared" si="7"/>
        <v>0.0000000004150613333</v>
      </c>
      <c r="M27" s="9">
        <f t="shared" si="8"/>
        <v>-0.5611169926</v>
      </c>
      <c r="N27" s="9">
        <f t="shared" si="9"/>
        <v>-2.4</v>
      </c>
      <c r="O27" s="10">
        <f t="shared" si="10"/>
        <v>-2.565235235</v>
      </c>
      <c r="P27" s="9">
        <f t="shared" si="11"/>
        <v>0.1652352351</v>
      </c>
    </row>
    <row r="28">
      <c r="A28" s="16">
        <f t="shared" si="1"/>
        <v>712.2</v>
      </c>
      <c r="B28" s="6">
        <f t="shared" si="2"/>
        <v>6.986682</v>
      </c>
      <c r="C28" s="6">
        <v>14.25</v>
      </c>
      <c r="D28" s="6">
        <f t="shared" si="3"/>
        <v>0.01425</v>
      </c>
      <c r="E28" s="6">
        <f t="shared" si="12"/>
        <v>120</v>
      </c>
      <c r="F28" s="6">
        <f t="shared" si="4"/>
        <v>0.12</v>
      </c>
      <c r="H28" s="9">
        <v>16.35</v>
      </c>
      <c r="I28" s="9">
        <f t="shared" si="5"/>
        <v>0.01635</v>
      </c>
      <c r="K28" s="9">
        <f t="shared" si="6"/>
        <v>92571314650</v>
      </c>
      <c r="L28" s="9">
        <f t="shared" si="7"/>
        <v>0.0000000004150613333</v>
      </c>
      <c r="M28" s="9">
        <f t="shared" si="8"/>
        <v>-0.4223040781</v>
      </c>
      <c r="N28" s="9">
        <f t="shared" si="9"/>
        <v>-2.1</v>
      </c>
      <c r="O28" s="10">
        <f t="shared" si="10"/>
        <v>-2.208228583</v>
      </c>
      <c r="P28" s="9">
        <f t="shared" si="11"/>
        <v>0.1082285829</v>
      </c>
    </row>
    <row r="29">
      <c r="A29" s="16">
        <f t="shared" si="1"/>
        <v>712.2</v>
      </c>
      <c r="B29" s="6">
        <f t="shared" si="2"/>
        <v>6.986682</v>
      </c>
      <c r="C29" s="6">
        <v>15.55</v>
      </c>
      <c r="D29" s="6">
        <f t="shared" si="3"/>
        <v>0.01555</v>
      </c>
      <c r="E29" s="6">
        <f t="shared" si="12"/>
        <v>100</v>
      </c>
      <c r="F29" s="6">
        <f t="shared" si="4"/>
        <v>0.1</v>
      </c>
      <c r="H29" s="10">
        <v>17.2</v>
      </c>
      <c r="I29" s="9">
        <f t="shared" si="5"/>
        <v>0.0172</v>
      </c>
      <c r="K29" s="9">
        <f t="shared" si="6"/>
        <v>92571314650</v>
      </c>
      <c r="L29" s="9">
        <f t="shared" si="7"/>
        <v>0.0000000004150613333</v>
      </c>
      <c r="M29" s="9">
        <f t="shared" si="8"/>
        <v>-0.3002492619</v>
      </c>
      <c r="N29" s="9">
        <f t="shared" si="9"/>
        <v>-1.65</v>
      </c>
      <c r="O29" s="10">
        <f t="shared" si="10"/>
        <v>-1.846857843</v>
      </c>
      <c r="P29" s="9">
        <f t="shared" si="11"/>
        <v>0.1968578426</v>
      </c>
    </row>
    <row r="30">
      <c r="A30" s="16">
        <f t="shared" si="1"/>
        <v>712.2</v>
      </c>
      <c r="B30" s="6">
        <f t="shared" si="2"/>
        <v>6.986682</v>
      </c>
      <c r="C30" s="6">
        <v>15.95</v>
      </c>
      <c r="D30" s="6">
        <f t="shared" si="3"/>
        <v>0.01595</v>
      </c>
      <c r="E30" s="6">
        <f t="shared" si="12"/>
        <v>80</v>
      </c>
      <c r="F30" s="6">
        <f t="shared" si="4"/>
        <v>0.08</v>
      </c>
      <c r="H30" s="10">
        <v>17.7</v>
      </c>
      <c r="I30" s="9">
        <f t="shared" si="5"/>
        <v>0.0177</v>
      </c>
      <c r="K30" s="9">
        <f t="shared" si="6"/>
        <v>92571314650</v>
      </c>
      <c r="L30" s="9">
        <f t="shared" si="7"/>
        <v>0.0000000004150613333</v>
      </c>
      <c r="M30" s="9">
        <f t="shared" si="8"/>
        <v>-0.1966283538</v>
      </c>
      <c r="N30" s="9">
        <f t="shared" si="9"/>
        <v>-1.75</v>
      </c>
      <c r="O30" s="10">
        <f t="shared" si="10"/>
        <v>-1.481850362</v>
      </c>
      <c r="P30" s="9">
        <f t="shared" si="11"/>
        <v>-0.2681496378</v>
      </c>
    </row>
    <row r="31">
      <c r="A31" s="16">
        <f t="shared" si="1"/>
        <v>712.2</v>
      </c>
      <c r="B31" s="6">
        <f t="shared" si="2"/>
        <v>6.986682</v>
      </c>
      <c r="C31" s="6">
        <v>16.8</v>
      </c>
      <c r="D31" s="6">
        <f t="shared" si="3"/>
        <v>0.0168</v>
      </c>
      <c r="E31" s="6">
        <f t="shared" si="12"/>
        <v>60</v>
      </c>
      <c r="F31" s="6">
        <f t="shared" si="4"/>
        <v>0.06</v>
      </c>
      <c r="H31" s="9">
        <v>17.95</v>
      </c>
      <c r="I31" s="9">
        <f t="shared" si="5"/>
        <v>0.01795</v>
      </c>
      <c r="K31" s="9">
        <f t="shared" si="6"/>
        <v>92571314650</v>
      </c>
      <c r="L31" s="9">
        <f t="shared" si="7"/>
        <v>0.0000000004150613333</v>
      </c>
      <c r="M31" s="9">
        <f t="shared" si="8"/>
        <v>-0.1131171638</v>
      </c>
      <c r="N31" s="9">
        <f t="shared" si="9"/>
        <v>-1.15</v>
      </c>
      <c r="O31" s="10">
        <f t="shared" si="10"/>
        <v>-1.11393349</v>
      </c>
      <c r="P31" s="9">
        <f t="shared" si="11"/>
        <v>-0.03606651029</v>
      </c>
    </row>
    <row r="32">
      <c r="A32" s="16">
        <f t="shared" si="1"/>
        <v>712.2</v>
      </c>
      <c r="B32" s="6">
        <f t="shared" si="2"/>
        <v>6.986682</v>
      </c>
      <c r="C32" s="6">
        <v>17.7</v>
      </c>
      <c r="D32" s="6">
        <f t="shared" si="3"/>
        <v>0.0177</v>
      </c>
      <c r="E32" s="6">
        <f t="shared" si="12"/>
        <v>40</v>
      </c>
      <c r="F32" s="6">
        <f t="shared" si="4"/>
        <v>0.04</v>
      </c>
      <c r="H32" s="10">
        <v>18.5</v>
      </c>
      <c r="I32" s="9">
        <f t="shared" si="5"/>
        <v>0.0185</v>
      </c>
      <c r="K32" s="9">
        <f t="shared" si="6"/>
        <v>92571314650</v>
      </c>
      <c r="L32" s="9">
        <f t="shared" si="7"/>
        <v>0.0000000004150613333</v>
      </c>
      <c r="M32" s="9">
        <f t="shared" si="8"/>
        <v>-0.05139150157</v>
      </c>
      <c r="N32" s="9">
        <f t="shared" si="9"/>
        <v>-0.8</v>
      </c>
      <c r="O32" s="10">
        <f t="shared" si="10"/>
        <v>-0.7438345732</v>
      </c>
      <c r="P32" s="9">
        <f t="shared" si="11"/>
        <v>-0.05616542683</v>
      </c>
    </row>
    <row r="33">
      <c r="A33" s="16">
        <f t="shared" si="1"/>
        <v>712.2</v>
      </c>
      <c r="B33" s="6">
        <f t="shared" si="2"/>
        <v>6.986682</v>
      </c>
      <c r="C33" s="6">
        <v>18.95</v>
      </c>
      <c r="D33" s="6">
        <f t="shared" si="3"/>
        <v>0.01895</v>
      </c>
      <c r="E33" s="6">
        <f t="shared" si="12"/>
        <v>20</v>
      </c>
      <c r="F33" s="6">
        <f t="shared" si="4"/>
        <v>0.02</v>
      </c>
      <c r="H33" s="10">
        <v>18.9</v>
      </c>
      <c r="I33" s="9">
        <f t="shared" si="5"/>
        <v>0.0189</v>
      </c>
      <c r="K33" s="9">
        <f t="shared" si="6"/>
        <v>92571314650</v>
      </c>
      <c r="L33" s="9">
        <f t="shared" si="7"/>
        <v>0.0000000004150613333</v>
      </c>
      <c r="M33" s="9">
        <f t="shared" si="8"/>
        <v>-0.01312717703</v>
      </c>
      <c r="N33" s="9">
        <f t="shared" si="9"/>
        <v>0.05</v>
      </c>
      <c r="O33" s="10">
        <f t="shared" si="10"/>
        <v>-0.3722809606</v>
      </c>
      <c r="P33" s="9">
        <f t="shared" si="11"/>
        <v>0.4222809606</v>
      </c>
    </row>
    <row r="34">
      <c r="A34" s="16">
        <f t="shared" si="1"/>
        <v>712.2</v>
      </c>
      <c r="B34" s="6">
        <f t="shared" si="2"/>
        <v>6.986682</v>
      </c>
      <c r="C34" s="6">
        <v>19.4</v>
      </c>
      <c r="D34" s="6">
        <f t="shared" si="3"/>
        <v>0.0194</v>
      </c>
      <c r="E34" s="6">
        <f t="shared" si="12"/>
        <v>0</v>
      </c>
      <c r="F34" s="6">
        <f t="shared" si="4"/>
        <v>0</v>
      </c>
      <c r="H34" s="9">
        <v>19.4</v>
      </c>
      <c r="I34" s="9">
        <f t="shared" si="5"/>
        <v>0.0194</v>
      </c>
      <c r="K34" s="9">
        <f t="shared" si="6"/>
        <v>92571314650</v>
      </c>
      <c r="L34" s="9">
        <f t="shared" si="7"/>
        <v>0.0000000004150613333</v>
      </c>
      <c r="M34" s="9">
        <f t="shared" si="8"/>
        <v>0</v>
      </c>
      <c r="N34" s="9">
        <f t="shared" si="9"/>
        <v>0</v>
      </c>
      <c r="O34" s="10">
        <f t="shared" si="10"/>
        <v>0</v>
      </c>
      <c r="P34" s="9">
        <f t="shared" si="11"/>
        <v>0</v>
      </c>
    </row>
    <row r="35">
      <c r="K35" s="9">
        <f t="shared" si="6"/>
        <v>92571314650</v>
      </c>
    </row>
    <row r="36">
      <c r="K36" s="9">
        <f t="shared" si="6"/>
        <v>92571314650</v>
      </c>
    </row>
    <row r="37">
      <c r="K37" s="9">
        <f t="shared" si="6"/>
        <v>92571314650</v>
      </c>
    </row>
    <row r="38">
      <c r="K38" s="9">
        <f t="shared" si="6"/>
        <v>92571314650</v>
      </c>
    </row>
    <row r="39">
      <c r="K39" s="9">
        <f t="shared" si="6"/>
        <v>92571314650</v>
      </c>
    </row>
  </sheetData>
  <drawing r:id="rId1"/>
</worksheet>
</file>