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\\Bcfs1\PROMIECO\Politica Fiscal\Nuevo Sector Publico\Infografías\Deuda Pública\2021\"/>
    </mc:Choice>
  </mc:AlternateContent>
  <xr:revisionPtr revIDLastSave="0" documentId="13_ncr:1_{C4FAD43E-21A0-4F9E-90E4-8BE811157F73}" xr6:coauthVersionLast="36" xr6:coauthVersionMax="36" xr10:uidLastSave="{00000000-0000-0000-0000-000000000000}"/>
  <bookViews>
    <workbookView xWindow="0" yWindow="0" windowWidth="19200" windowHeight="6225" tabRatio="601" firstSheet="2" activeTab="8" xr2:uid="{00000000-000D-0000-FFFF-FFFF00000000}"/>
  </bookViews>
  <sheets>
    <sheet name="Trimestral" sheetId="3" r:id="rId1"/>
    <sheet name="Anual" sheetId="1" r:id="rId2"/>
    <sheet name="GSPNF" sheetId="8" r:id="rId3"/>
    <sheet name="Descomposición" sheetId="4" r:id="rId4"/>
    <sheet name="Gráficos" sheetId="2" r:id="rId5"/>
    <sheet name="Aumento SPNF" sheetId="7" r:id="rId6"/>
    <sheet name="Descom" sheetId="5" r:id="rId7"/>
    <sheet name="Data anual" sheetId="6" r:id="rId8"/>
    <sheet name="Internacional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8" hidden="1">Internacional!$A$1:$E$34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 l="1"/>
  <c r="AG27" i="6" l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1" i="6"/>
  <c r="C9" i="9" l="1"/>
  <c r="D9" i="9"/>
  <c r="C5" i="9"/>
  <c r="D5" i="9"/>
  <c r="C21" i="9"/>
  <c r="D21" i="9"/>
  <c r="C4" i="9"/>
  <c r="D4" i="9"/>
  <c r="C3" i="9"/>
  <c r="D3" i="9"/>
  <c r="C17" i="9"/>
  <c r="D17" i="9"/>
  <c r="C7" i="9"/>
  <c r="D7" i="9"/>
  <c r="C32" i="9"/>
  <c r="D32" i="9"/>
  <c r="C22" i="9"/>
  <c r="D22" i="9"/>
  <c r="C15" i="9"/>
  <c r="D15" i="9"/>
  <c r="C10" i="9"/>
  <c r="D10" i="9"/>
  <c r="C20" i="9"/>
  <c r="D20" i="9"/>
  <c r="C19" i="9"/>
  <c r="D19" i="9"/>
  <c r="C11" i="9"/>
  <c r="D11" i="9"/>
  <c r="C14" i="9"/>
  <c r="D14" i="9"/>
  <c r="C33" i="9"/>
  <c r="D33" i="9"/>
  <c r="C30" i="9"/>
  <c r="D30" i="9"/>
  <c r="C26" i="9"/>
  <c r="D26" i="9"/>
  <c r="C28" i="9"/>
  <c r="D28" i="9"/>
  <c r="C8" i="9"/>
  <c r="D8" i="9"/>
  <c r="C23" i="9"/>
  <c r="D23" i="9"/>
  <c r="C27" i="9"/>
  <c r="D27" i="9"/>
  <c r="C25" i="9"/>
  <c r="D25" i="9"/>
  <c r="C31" i="9"/>
  <c r="D31" i="9"/>
  <c r="C29" i="9"/>
  <c r="D29" i="9"/>
  <c r="C18" i="9"/>
  <c r="D18" i="9"/>
  <c r="C13" i="9"/>
  <c r="D13" i="9"/>
  <c r="C12" i="9"/>
  <c r="D12" i="9"/>
  <c r="C2" i="9"/>
  <c r="D2" i="9"/>
  <c r="C24" i="9"/>
  <c r="D24" i="9"/>
  <c r="C16" i="9"/>
  <c r="D16" i="9"/>
  <c r="D6" i="9"/>
  <c r="C6" i="9"/>
  <c r="E23" i="1"/>
  <c r="E22" i="1"/>
  <c r="F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37" i="3"/>
  <c r="H37" i="3"/>
  <c r="G37" i="3"/>
  <c r="E37" i="3"/>
  <c r="D37" i="3"/>
  <c r="J37" i="3"/>
  <c r="K37" i="3" s="1"/>
  <c r="E6" i="9" l="1"/>
  <c r="E24" i="9"/>
  <c r="E12" i="9"/>
  <c r="E18" i="9"/>
  <c r="E31" i="9"/>
  <c r="E27" i="9"/>
  <c r="E8" i="9"/>
  <c r="E26" i="9"/>
  <c r="E33" i="9"/>
  <c r="E11" i="9"/>
  <c r="E20" i="9"/>
  <c r="E15" i="9"/>
  <c r="E32" i="9"/>
  <c r="E17" i="9"/>
  <c r="E4" i="9"/>
  <c r="E22" i="9"/>
  <c r="E7" i="9"/>
  <c r="E3" i="9"/>
  <c r="E21" i="9"/>
  <c r="E5" i="9"/>
  <c r="L37" i="3"/>
  <c r="E16" i="9"/>
  <c r="E2" i="9"/>
  <c r="E13" i="9"/>
  <c r="E29" i="9"/>
  <c r="E25" i="9"/>
  <c r="E23" i="9"/>
  <c r="E28" i="9"/>
  <c r="E30" i="9"/>
  <c r="E14" i="9"/>
  <c r="E19" i="9"/>
  <c r="E10" i="9"/>
  <c r="E9" i="9"/>
  <c r="A12" i="5"/>
  <c r="A11" i="5"/>
  <c r="A10" i="5"/>
  <c r="A9" i="5"/>
  <c r="A8" i="5"/>
  <c r="A7" i="5"/>
  <c r="A6" i="5"/>
  <c r="A5" i="5"/>
  <c r="A4" i="5"/>
  <c r="A3" i="5"/>
  <c r="A2" i="5"/>
  <c r="L17" i="4"/>
  <c r="K17" i="4"/>
  <c r="J17" i="4"/>
  <c r="I17" i="4"/>
  <c r="H17" i="4"/>
  <c r="G17" i="4"/>
  <c r="F17" i="4"/>
  <c r="E17" i="4"/>
  <c r="D17" i="4"/>
  <c r="C17" i="4"/>
  <c r="B17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2" i="4"/>
  <c r="K2" i="4"/>
  <c r="J2" i="4"/>
  <c r="I2" i="4"/>
  <c r="H2" i="4"/>
  <c r="G2" i="4"/>
  <c r="F2" i="4"/>
  <c r="E2" i="4"/>
  <c r="D2" i="4"/>
  <c r="C2" i="4"/>
  <c r="B2" i="4"/>
  <c r="L1" i="4"/>
  <c r="K1" i="4"/>
  <c r="J1" i="4"/>
  <c r="I1" i="4"/>
  <c r="H1" i="4"/>
  <c r="G1" i="4"/>
  <c r="F1" i="4"/>
  <c r="E1" i="4"/>
  <c r="D1" i="4"/>
  <c r="C1" i="4"/>
  <c r="B1" i="4"/>
  <c r="G22" i="8" l="1"/>
  <c r="F22" i="8"/>
  <c r="G21" i="8"/>
  <c r="F21" i="8"/>
  <c r="H21" i="8" s="1"/>
  <c r="G20" i="8"/>
  <c r="F20" i="8"/>
  <c r="H20" i="8" s="1"/>
  <c r="G19" i="8"/>
  <c r="F19" i="8"/>
  <c r="G18" i="8"/>
  <c r="F18" i="8"/>
  <c r="H18" i="8" s="1"/>
  <c r="G17" i="8"/>
  <c r="F17" i="8"/>
  <c r="G16" i="8"/>
  <c r="F16" i="8"/>
  <c r="H16" i="8" s="1"/>
  <c r="G15" i="8"/>
  <c r="F15" i="8"/>
  <c r="G14" i="8"/>
  <c r="F14" i="8"/>
  <c r="H14" i="8" s="1"/>
  <c r="G13" i="8"/>
  <c r="F13" i="8"/>
  <c r="H13" i="8" s="1"/>
  <c r="G12" i="8"/>
  <c r="F12" i="8"/>
  <c r="H12" i="8" s="1"/>
  <c r="G11" i="8"/>
  <c r="F11" i="8"/>
  <c r="H11" i="8" s="1"/>
  <c r="G10" i="8"/>
  <c r="F10" i="8"/>
  <c r="H10" i="8" s="1"/>
  <c r="G9" i="8"/>
  <c r="F9" i="8"/>
  <c r="H9" i="8" s="1"/>
  <c r="G8" i="8"/>
  <c r="F8" i="8"/>
  <c r="H8" i="8" s="1"/>
  <c r="G7" i="8"/>
  <c r="F7" i="8"/>
  <c r="H7" i="8" s="1"/>
  <c r="G6" i="8"/>
  <c r="F6" i="8"/>
  <c r="H6" i="8" s="1"/>
  <c r="G5" i="8"/>
  <c r="F5" i="8"/>
  <c r="H5" i="8" s="1"/>
  <c r="G4" i="8"/>
  <c r="F4" i="8"/>
  <c r="H4" i="8" s="1"/>
  <c r="G3" i="8"/>
  <c r="F3" i="8"/>
  <c r="H3" i="8" s="1"/>
  <c r="G2" i="8"/>
  <c r="F2" i="8"/>
  <c r="H2" i="8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" i="8"/>
  <c r="H22" i="8" l="1"/>
  <c r="H15" i="8"/>
  <c r="H17" i="8"/>
  <c r="H19" i="8"/>
  <c r="D27" i="1"/>
  <c r="E27" i="1" s="1"/>
  <c r="D22" i="8" l="1"/>
  <c r="D23" i="1"/>
  <c r="B23" i="1"/>
  <c r="B22" i="8" l="1"/>
  <c r="C22" i="8" s="1"/>
  <c r="F23" i="1"/>
  <c r="C23" i="1"/>
  <c r="E26" i="1"/>
  <c r="I36" i="3"/>
  <c r="H36" i="3"/>
  <c r="G36" i="3"/>
  <c r="E36" i="3"/>
  <c r="D36" i="3"/>
  <c r="I35" i="3"/>
  <c r="H35" i="3"/>
  <c r="G35" i="3"/>
  <c r="E35" i="3"/>
  <c r="D35" i="3"/>
  <c r="I34" i="3"/>
  <c r="H34" i="3"/>
  <c r="G34" i="3"/>
  <c r="E34" i="3"/>
  <c r="D34" i="3"/>
  <c r="I33" i="3"/>
  <c r="H33" i="3"/>
  <c r="G33" i="3"/>
  <c r="E33" i="3"/>
  <c r="D33" i="3"/>
  <c r="J34" i="3"/>
  <c r="K34" i="3" s="1"/>
  <c r="J35" i="3"/>
  <c r="K35" i="3" s="1"/>
  <c r="J36" i="3"/>
  <c r="K36" i="3" s="1"/>
  <c r="L36" i="3" l="1"/>
  <c r="L34" i="3"/>
  <c r="L35" i="3"/>
  <c r="H23" i="1"/>
  <c r="H22" i="1"/>
  <c r="H14" i="1"/>
  <c r="H13" i="1"/>
  <c r="H12" i="1"/>
  <c r="H11" i="1"/>
  <c r="H10" i="1"/>
  <c r="H9" i="1"/>
  <c r="H8" i="1"/>
  <c r="H7" i="1"/>
  <c r="H6" i="1"/>
  <c r="H5" i="1"/>
  <c r="H4" i="1"/>
  <c r="H3" i="1"/>
  <c r="H2" i="6" l="1"/>
  <c r="H21" i="6"/>
  <c r="H10" i="6"/>
  <c r="H3" i="6"/>
  <c r="H11" i="6"/>
  <c r="H8" i="6"/>
  <c r="H5" i="6"/>
  <c r="H13" i="6"/>
  <c r="H7" i="6"/>
  <c r="H22" i="6"/>
  <c r="H4" i="6"/>
  <c r="H12" i="6"/>
  <c r="H9" i="6"/>
  <c r="H6" i="6"/>
  <c r="G23" i="1" l="1"/>
  <c r="AJ23" i="1"/>
  <c r="AI23" i="1"/>
  <c r="A39" i="6" l="1"/>
  <c r="A40" i="6"/>
  <c r="A41" i="6"/>
  <c r="A42" i="6"/>
  <c r="A43" i="6"/>
  <c r="A44" i="6"/>
  <c r="AF39" i="6"/>
  <c r="AF40" i="6"/>
  <c r="AF41" i="6"/>
  <c r="AF42" i="6"/>
  <c r="AF43" i="6"/>
  <c r="AF44" i="6"/>
  <c r="AF29" i="6"/>
  <c r="AF30" i="6"/>
  <c r="AF31" i="6"/>
  <c r="AF32" i="6"/>
  <c r="AF33" i="6"/>
  <c r="AF35" i="6"/>
  <c r="AF36" i="6"/>
  <c r="AF37" i="6"/>
  <c r="AF38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" i="6"/>
  <c r="A2" i="6"/>
  <c r="E1" i="7" l="1"/>
  <c r="D1" i="7"/>
  <c r="C1" i="7"/>
  <c r="B1" i="7"/>
  <c r="A27" i="3"/>
  <c r="A28" i="3"/>
  <c r="A29" i="3"/>
  <c r="C29" i="3" s="1"/>
  <c r="C37" i="3"/>
  <c r="A19" i="3"/>
  <c r="A20" i="3"/>
  <c r="A21" i="3"/>
  <c r="A15" i="3"/>
  <c r="A16" i="3"/>
  <c r="A17" i="3"/>
  <c r="C17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7" i="3"/>
  <c r="C28" i="3"/>
  <c r="C30" i="3"/>
  <c r="C31" i="3"/>
  <c r="C32" i="3"/>
  <c r="C33" i="3"/>
  <c r="C34" i="3"/>
  <c r="C35" i="3"/>
  <c r="C36" i="3"/>
  <c r="C2" i="3"/>
  <c r="A11" i="3"/>
  <c r="A12" i="3"/>
  <c r="A13" i="3"/>
  <c r="A7" i="3"/>
  <c r="A8" i="3"/>
  <c r="A9" i="3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J22" i="6"/>
  <c r="AK22" i="6"/>
  <c r="AJ23" i="6"/>
  <c r="AK23" i="6"/>
  <c r="AJ24" i="6"/>
  <c r="AK24" i="6"/>
  <c r="AJ25" i="6"/>
  <c r="AK25" i="6"/>
  <c r="AJ26" i="6"/>
  <c r="AK26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N14" i="6"/>
  <c r="O14" i="6"/>
  <c r="P14" i="6"/>
  <c r="Q14" i="6"/>
  <c r="R14" i="6"/>
  <c r="S14" i="6"/>
  <c r="T14" i="6"/>
  <c r="U14" i="6"/>
  <c r="V14" i="6"/>
  <c r="W14" i="6"/>
  <c r="Q15" i="6"/>
  <c r="Q16" i="6"/>
  <c r="Q17" i="6"/>
  <c r="T17" i="6"/>
  <c r="Q18" i="6"/>
  <c r="T18" i="6"/>
  <c r="Q19" i="6"/>
  <c r="T19" i="6"/>
  <c r="Q20" i="6"/>
  <c r="T20" i="6"/>
  <c r="Q21" i="6"/>
  <c r="T21" i="6"/>
  <c r="AD21" i="6"/>
  <c r="R22" i="6"/>
  <c r="T22" i="6"/>
  <c r="AD22" i="6"/>
  <c r="AI22" i="6"/>
  <c r="AI23" i="6"/>
  <c r="AI24" i="6"/>
  <c r="AI25" i="6"/>
  <c r="AI26" i="6"/>
  <c r="A30" i="4" l="1"/>
  <c r="G1" i="7" s="1"/>
  <c r="A29" i="4"/>
  <c r="F1" i="7" s="1"/>
  <c r="C26" i="4"/>
  <c r="B26" i="4"/>
  <c r="C25" i="4"/>
  <c r="C24" i="4"/>
  <c r="C23" i="4"/>
  <c r="C22" i="4"/>
  <c r="E22" i="4" s="1"/>
  <c r="B25" i="4"/>
  <c r="B24" i="4"/>
  <c r="B23" i="4"/>
  <c r="B22" i="4"/>
  <c r="F9" i="5" l="1"/>
  <c r="E3" i="5"/>
  <c r="C7" i="5"/>
  <c r="B11" i="5"/>
  <c r="B3" i="5"/>
  <c r="B2" i="5"/>
  <c r="E2" i="5"/>
  <c r="G12" i="5"/>
  <c r="G8" i="5"/>
  <c r="G4" i="5"/>
  <c r="F12" i="5"/>
  <c r="F8" i="5"/>
  <c r="F4" i="5"/>
  <c r="E10" i="5"/>
  <c r="E6" i="5"/>
  <c r="D12" i="5"/>
  <c r="D8" i="5"/>
  <c r="D4" i="5"/>
  <c r="C10" i="5"/>
  <c r="C6" i="5"/>
  <c r="B10" i="5"/>
  <c r="B6" i="5"/>
  <c r="E23" i="4"/>
  <c r="E26" i="4"/>
  <c r="G9" i="5"/>
  <c r="E11" i="5"/>
  <c r="D9" i="5"/>
  <c r="C3" i="5"/>
  <c r="B2" i="7"/>
  <c r="G2" i="5"/>
  <c r="D2" i="5"/>
  <c r="G11" i="5"/>
  <c r="G7" i="5"/>
  <c r="G3" i="5"/>
  <c r="F11" i="5"/>
  <c r="F7" i="5"/>
  <c r="F3" i="5"/>
  <c r="E9" i="5"/>
  <c r="E5" i="5"/>
  <c r="D11" i="5"/>
  <c r="D7" i="5"/>
  <c r="D3" i="5"/>
  <c r="C9" i="5"/>
  <c r="C5" i="5"/>
  <c r="B9" i="5"/>
  <c r="B5" i="5"/>
  <c r="E24" i="4"/>
  <c r="F2" i="5"/>
  <c r="G5" i="5"/>
  <c r="F5" i="5"/>
  <c r="E7" i="5"/>
  <c r="D5" i="5"/>
  <c r="C11" i="5"/>
  <c r="B7" i="5"/>
  <c r="C2" i="5"/>
  <c r="G10" i="5"/>
  <c r="G6" i="5"/>
  <c r="F10" i="5"/>
  <c r="F6" i="5"/>
  <c r="E12" i="5"/>
  <c r="E8" i="5"/>
  <c r="E4" i="5"/>
  <c r="D10" i="5"/>
  <c r="D6" i="5"/>
  <c r="C12" i="5"/>
  <c r="C8" i="5"/>
  <c r="C4" i="5"/>
  <c r="B12" i="5"/>
  <c r="B8" i="5"/>
  <c r="B4" i="5"/>
  <c r="E25" i="4"/>
  <c r="G22" i="6"/>
  <c r="E22" i="6" l="1"/>
  <c r="D2" i="7"/>
  <c r="E2" i="7"/>
  <c r="C2" i="7"/>
  <c r="AF33" i="1"/>
  <c r="AF28" i="1"/>
  <c r="AF29" i="1"/>
  <c r="AF27" i="1"/>
  <c r="AF26" i="1"/>
  <c r="AF25" i="1"/>
  <c r="AF35" i="1"/>
  <c r="AF45" i="1"/>
  <c r="AF24" i="1"/>
  <c r="AF28" i="6" l="1"/>
  <c r="AF26" i="6"/>
  <c r="AF34" i="6"/>
  <c r="AF24" i="6"/>
  <c r="AF27" i="6"/>
  <c r="AF23" i="6"/>
  <c r="AF25" i="6"/>
  <c r="AE23" i="1"/>
  <c r="AB23" i="1"/>
  <c r="AC23" i="1"/>
  <c r="AE22" i="6" l="1"/>
  <c r="AC22" i="6"/>
  <c r="AB22" i="6"/>
  <c r="X23" i="1"/>
  <c r="C29" i="4" l="1"/>
  <c r="X22" i="6"/>
  <c r="W23" i="1"/>
  <c r="V23" i="1"/>
  <c r="U23" i="1"/>
  <c r="Q23" i="1"/>
  <c r="S23" i="1"/>
  <c r="P23" i="1"/>
  <c r="O23" i="1"/>
  <c r="N23" i="1"/>
  <c r="K23" i="1"/>
  <c r="J23" i="1"/>
  <c r="D22" i="6"/>
  <c r="S22" i="6" l="1"/>
  <c r="O22" i="6"/>
  <c r="J22" i="6"/>
  <c r="P22" i="6"/>
  <c r="V22" i="6"/>
  <c r="K22" i="6"/>
  <c r="W22" i="6"/>
  <c r="N22" i="6"/>
  <c r="Q22" i="6"/>
  <c r="U22" i="6"/>
  <c r="Y23" i="1"/>
  <c r="B22" i="6"/>
  <c r="F22" i="6"/>
  <c r="L23" i="1"/>
  <c r="M23" i="1"/>
  <c r="Z23" i="1"/>
  <c r="L22" i="6" l="1"/>
  <c r="Z22" i="6"/>
  <c r="M22" i="6"/>
  <c r="Y22" i="6"/>
  <c r="AA23" i="1"/>
  <c r="C30" i="4"/>
  <c r="D22" i="1"/>
  <c r="B21" i="8" s="1"/>
  <c r="B22" i="1"/>
  <c r="B21" i="6" l="1"/>
  <c r="AA22" i="6"/>
  <c r="D21" i="6"/>
  <c r="C22" i="6"/>
  <c r="AH24" i="6" l="1"/>
  <c r="AG23" i="6"/>
  <c r="AH23" i="6"/>
  <c r="AH22" i="6"/>
  <c r="AH26" i="6"/>
  <c r="AG25" i="6"/>
  <c r="AH21" i="6"/>
  <c r="AH25" i="6"/>
  <c r="AG22" i="6"/>
  <c r="AG24" i="6"/>
  <c r="AG26" i="6"/>
  <c r="D21" i="8"/>
  <c r="C21" i="8" s="1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10" i="6" l="1"/>
  <c r="E18" i="6"/>
  <c r="E3" i="6"/>
  <c r="E15" i="6"/>
  <c r="E19" i="6"/>
  <c r="E6" i="6"/>
  <c r="E14" i="6"/>
  <c r="E7" i="6"/>
  <c r="E11" i="6"/>
  <c r="E4" i="6"/>
  <c r="E8" i="6"/>
  <c r="E12" i="6"/>
  <c r="E16" i="6"/>
  <c r="E20" i="6"/>
  <c r="E2" i="6"/>
  <c r="E5" i="6"/>
  <c r="E9" i="6"/>
  <c r="E13" i="6"/>
  <c r="E17" i="6"/>
  <c r="E21" i="6"/>
  <c r="AF40" i="1"/>
  <c r="AF39" i="1"/>
  <c r="AF30" i="1"/>
  <c r="F21" i="6" l="1"/>
  <c r="AG21" i="6"/>
  <c r="AB22" i="1"/>
  <c r="AC22" i="1"/>
  <c r="AE22" i="1"/>
  <c r="AE21" i="6" l="1"/>
  <c r="AC21" i="6"/>
  <c r="AB21" i="6"/>
  <c r="W22" i="1"/>
  <c r="V22" i="1"/>
  <c r="U22" i="1"/>
  <c r="S22" i="1"/>
  <c r="R22" i="1"/>
  <c r="P22" i="1"/>
  <c r="O22" i="1"/>
  <c r="N22" i="1"/>
  <c r="K22" i="1"/>
  <c r="J22" i="1"/>
  <c r="U21" i="6" l="1"/>
  <c r="W21" i="6"/>
  <c r="O21" i="6"/>
  <c r="J21" i="6"/>
  <c r="P21" i="6"/>
  <c r="V21" i="6"/>
  <c r="K21" i="6"/>
  <c r="R21" i="6"/>
  <c r="N21" i="6"/>
  <c r="S21" i="6"/>
  <c r="Y22" i="1"/>
  <c r="X22" i="1"/>
  <c r="B29" i="4" l="1"/>
  <c r="E29" i="4" s="1"/>
  <c r="X21" i="6"/>
  <c r="B30" i="4"/>
  <c r="E30" i="4" s="1"/>
  <c r="Y21" i="6"/>
  <c r="C22" i="1"/>
  <c r="J32" i="3"/>
  <c r="K32" i="3" s="1"/>
  <c r="J33" i="3"/>
  <c r="K33" i="3" s="1"/>
  <c r="L33" i="3" s="1"/>
  <c r="F3" i="7" l="1"/>
  <c r="G3" i="7"/>
  <c r="C21" i="6"/>
  <c r="I32" i="3"/>
  <c r="I31" i="3"/>
  <c r="H32" i="3"/>
  <c r="H31" i="3"/>
  <c r="G32" i="3"/>
  <c r="G31" i="3"/>
  <c r="D31" i="3"/>
  <c r="E32" i="3"/>
  <c r="E31" i="3"/>
  <c r="D32" i="3"/>
  <c r="L32" i="3" l="1"/>
  <c r="AI15" i="1"/>
  <c r="AI14" i="1"/>
  <c r="AI13" i="1"/>
  <c r="AI12" i="1"/>
  <c r="AI8" i="1"/>
  <c r="AI7" i="1"/>
  <c r="AI6" i="1"/>
  <c r="AI5" i="1"/>
  <c r="AI4" i="1"/>
  <c r="AI3" i="1"/>
  <c r="AI13" i="6" l="1"/>
  <c r="AI2" i="6"/>
  <c r="AJ15" i="1"/>
  <c r="AI14" i="6"/>
  <c r="AI4" i="6"/>
  <c r="AI12" i="6"/>
  <c r="AI5" i="6"/>
  <c r="AI6" i="6"/>
  <c r="AI3" i="6"/>
  <c r="AI7" i="6"/>
  <c r="AI11" i="6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30" i="3"/>
  <c r="G29" i="3"/>
  <c r="G28" i="3"/>
  <c r="G27" i="3"/>
  <c r="G26" i="3"/>
  <c r="AJ14" i="6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3" i="3" l="1"/>
  <c r="K3" i="3" s="1"/>
  <c r="L3" i="3" s="1"/>
  <c r="J5" i="3"/>
  <c r="K5" i="3" s="1"/>
  <c r="L5" i="3" s="1"/>
  <c r="J2" i="3"/>
  <c r="K2" i="3" s="1"/>
  <c r="L2" i="3" s="1"/>
  <c r="J4" i="3" l="1"/>
  <c r="K4" i="3" s="1"/>
  <c r="L4" i="3" s="1"/>
  <c r="J6" i="3" l="1"/>
  <c r="K6" i="3" s="1"/>
  <c r="L6" i="3" s="1"/>
  <c r="J31" i="3"/>
  <c r="K31" i="3" s="1"/>
  <c r="L31" i="3" s="1"/>
  <c r="J11" i="3"/>
  <c r="K11" i="3" s="1"/>
  <c r="L11" i="3" s="1"/>
  <c r="J20" i="3"/>
  <c r="K20" i="3" s="1"/>
  <c r="L20" i="3" s="1"/>
  <c r="J7" i="3"/>
  <c r="K7" i="3" s="1"/>
  <c r="L7" i="3" s="1"/>
  <c r="J23" i="3"/>
  <c r="K23" i="3" s="1"/>
  <c r="L23" i="3" s="1"/>
  <c r="J22" i="3" l="1"/>
  <c r="K22" i="3" s="1"/>
  <c r="L22" i="3" s="1"/>
  <c r="J18" i="3"/>
  <c r="K18" i="3" s="1"/>
  <c r="L18" i="3" s="1"/>
  <c r="J10" i="3"/>
  <c r="K10" i="3" s="1"/>
  <c r="L10" i="3" s="1"/>
  <c r="J12" i="3"/>
  <c r="K12" i="3" s="1"/>
  <c r="L12" i="3" s="1"/>
  <c r="J27" i="3"/>
  <c r="K27" i="3" s="1"/>
  <c r="L27" i="3" s="1"/>
  <c r="J13" i="3"/>
  <c r="K13" i="3" s="1"/>
  <c r="L13" i="3" s="1"/>
  <c r="J25" i="3"/>
  <c r="K25" i="3" s="1"/>
  <c r="L25" i="3" s="1"/>
  <c r="J29" i="3"/>
  <c r="K29" i="3" s="1"/>
  <c r="L29" i="3" s="1"/>
  <c r="J15" i="3"/>
  <c r="K15" i="3" s="1"/>
  <c r="L15" i="3" s="1"/>
  <c r="J9" i="3"/>
  <c r="K9" i="3" s="1"/>
  <c r="L9" i="3" s="1"/>
  <c r="J17" i="3"/>
  <c r="K17" i="3" s="1"/>
  <c r="L17" i="3" s="1"/>
  <c r="J21" i="3"/>
  <c r="K21" i="3" s="1"/>
  <c r="L21" i="3" s="1"/>
  <c r="J16" i="3"/>
  <c r="K16" i="3" s="1"/>
  <c r="L16" i="3" s="1"/>
  <c r="J30" i="3"/>
  <c r="K30" i="3" s="1"/>
  <c r="L30" i="3" s="1"/>
  <c r="J24" i="3"/>
  <c r="K24" i="3" s="1"/>
  <c r="L24" i="3" s="1"/>
  <c r="J19" i="3"/>
  <c r="K19" i="3" s="1"/>
  <c r="L19" i="3" s="1"/>
  <c r="J8" i="3"/>
  <c r="K8" i="3" s="1"/>
  <c r="L8" i="3" s="1"/>
  <c r="J28" i="3"/>
  <c r="K28" i="3" s="1"/>
  <c r="L28" i="3" s="1"/>
  <c r="J26" i="3"/>
  <c r="K26" i="3" s="1"/>
  <c r="L26" i="3" s="1"/>
  <c r="A6" i="3" l="1"/>
  <c r="A10" i="3" s="1"/>
  <c r="A14" i="3" s="1"/>
  <c r="A18" i="3" s="1"/>
  <c r="A26" i="3" s="1"/>
  <c r="C26" i="3" s="1"/>
  <c r="Z22" i="1" l="1"/>
  <c r="AA22" i="1"/>
  <c r="AA21" i="6" l="1"/>
  <c r="Z21" i="6"/>
  <c r="A24" i="1"/>
  <c r="A25" i="1" s="1"/>
  <c r="A26" i="1" s="1"/>
  <c r="A27" i="1" s="1"/>
  <c r="A28" i="1" s="1"/>
  <c r="A29" i="1" s="1"/>
  <c r="A30" i="1" s="1"/>
  <c r="G15" i="1"/>
  <c r="B3" i="1"/>
  <c r="B2" i="6" s="1"/>
  <c r="B4" i="1"/>
  <c r="B3" i="6" s="1"/>
  <c r="B5" i="1"/>
  <c r="B4" i="6" s="1"/>
  <c r="B6" i="1"/>
  <c r="B5" i="6" s="1"/>
  <c r="B7" i="1"/>
  <c r="B6" i="6" s="1"/>
  <c r="B8" i="1"/>
  <c r="B7" i="6" s="1"/>
  <c r="B9" i="1"/>
  <c r="B8" i="6" s="1"/>
  <c r="B10" i="1"/>
  <c r="B9" i="6" s="1"/>
  <c r="B11" i="1"/>
  <c r="B10" i="6" s="1"/>
  <c r="B12" i="1"/>
  <c r="B11" i="6" s="1"/>
  <c r="B13" i="1"/>
  <c r="B12" i="6" s="1"/>
  <c r="B14" i="1"/>
  <c r="B13" i="6" s="1"/>
  <c r="B15" i="1"/>
  <c r="B14" i="6" s="1"/>
  <c r="B16" i="1"/>
  <c r="B15" i="6" s="1"/>
  <c r="B17" i="1"/>
  <c r="B16" i="6" s="1"/>
  <c r="B18" i="1"/>
  <c r="B17" i="6" s="1"/>
  <c r="B19" i="1"/>
  <c r="B18" i="6" s="1"/>
  <c r="B20" i="1"/>
  <c r="B19" i="6" s="1"/>
  <c r="B21" i="1"/>
  <c r="B20" i="6" s="1"/>
  <c r="G14" i="6" l="1"/>
  <c r="C20" i="1"/>
  <c r="D20" i="1"/>
  <c r="C16" i="1"/>
  <c r="D16" i="1"/>
  <c r="C12" i="1"/>
  <c r="D12" i="1"/>
  <c r="C8" i="1"/>
  <c r="D8" i="1"/>
  <c r="C4" i="1"/>
  <c r="D4" i="1"/>
  <c r="C19" i="1"/>
  <c r="D19" i="1"/>
  <c r="C15" i="1"/>
  <c r="D15" i="1"/>
  <c r="C11" i="1"/>
  <c r="D11" i="1"/>
  <c r="C7" i="1"/>
  <c r="D7" i="1"/>
  <c r="C3" i="1"/>
  <c r="D3" i="1"/>
  <c r="C18" i="1"/>
  <c r="D18" i="1"/>
  <c r="C14" i="1"/>
  <c r="D14" i="1"/>
  <c r="C10" i="1"/>
  <c r="D10" i="1"/>
  <c r="C6" i="1"/>
  <c r="D6" i="1"/>
  <c r="C21" i="1"/>
  <c r="D21" i="1"/>
  <c r="C17" i="1"/>
  <c r="D17" i="1"/>
  <c r="C13" i="1"/>
  <c r="D13" i="1"/>
  <c r="C9" i="1"/>
  <c r="D9" i="1"/>
  <c r="C5" i="1"/>
  <c r="D5" i="1"/>
  <c r="B5" i="8" l="1"/>
  <c r="C5" i="8" s="1"/>
  <c r="F6" i="1"/>
  <c r="B2" i="8"/>
  <c r="C2" i="8" s="1"/>
  <c r="F3" i="1"/>
  <c r="B18" i="8"/>
  <c r="C18" i="8" s="1"/>
  <c r="F19" i="1"/>
  <c r="B4" i="8"/>
  <c r="C4" i="8" s="1"/>
  <c r="F5" i="1"/>
  <c r="B12" i="8"/>
  <c r="C12" i="8" s="1"/>
  <c r="F13" i="1"/>
  <c r="B20" i="8"/>
  <c r="C20" i="8" s="1"/>
  <c r="F21" i="1"/>
  <c r="B9" i="8"/>
  <c r="C9" i="8" s="1"/>
  <c r="F10" i="1"/>
  <c r="B17" i="8"/>
  <c r="C17" i="8" s="1"/>
  <c r="F18" i="1"/>
  <c r="B6" i="8"/>
  <c r="C6" i="8" s="1"/>
  <c r="F7" i="1"/>
  <c r="B14" i="8"/>
  <c r="C14" i="8" s="1"/>
  <c r="F15" i="1"/>
  <c r="B3" i="8"/>
  <c r="C3" i="8" s="1"/>
  <c r="F4" i="1"/>
  <c r="B11" i="8"/>
  <c r="C11" i="8" s="1"/>
  <c r="F12" i="1"/>
  <c r="B19" i="8"/>
  <c r="C19" i="8" s="1"/>
  <c r="F20" i="1"/>
  <c r="B16" i="8"/>
  <c r="C16" i="8" s="1"/>
  <c r="F17" i="1"/>
  <c r="B13" i="8"/>
  <c r="C13" i="8" s="1"/>
  <c r="F14" i="1"/>
  <c r="B10" i="8"/>
  <c r="C10" i="8" s="1"/>
  <c r="F11" i="1"/>
  <c r="B7" i="8"/>
  <c r="C7" i="8" s="1"/>
  <c r="F8" i="1"/>
  <c r="B8" i="8"/>
  <c r="C8" i="8" s="1"/>
  <c r="F9" i="1"/>
  <c r="B15" i="8"/>
  <c r="C15" i="8" s="1"/>
  <c r="F16" i="1"/>
  <c r="C4" i="6"/>
  <c r="C12" i="6"/>
  <c r="C20" i="6"/>
  <c r="C9" i="6"/>
  <c r="C17" i="6"/>
  <c r="C6" i="6"/>
  <c r="C14" i="6"/>
  <c r="C3" i="6"/>
  <c r="C11" i="6"/>
  <c r="C19" i="6"/>
  <c r="D8" i="6"/>
  <c r="F8" i="6" s="1"/>
  <c r="D16" i="6"/>
  <c r="F16" i="6" s="1"/>
  <c r="D5" i="6"/>
  <c r="F5" i="6" s="1"/>
  <c r="D13" i="6"/>
  <c r="F13" i="6" s="1"/>
  <c r="D2" i="6"/>
  <c r="F2" i="6" s="1"/>
  <c r="D10" i="6"/>
  <c r="F10" i="6" s="1"/>
  <c r="D18" i="6"/>
  <c r="F18" i="6" s="1"/>
  <c r="D7" i="6"/>
  <c r="F7" i="6" s="1"/>
  <c r="D15" i="6"/>
  <c r="F15" i="6" s="1"/>
  <c r="C8" i="6"/>
  <c r="C16" i="6"/>
  <c r="C5" i="6"/>
  <c r="C13" i="6"/>
  <c r="C2" i="6"/>
  <c r="C10" i="6"/>
  <c r="C18" i="6"/>
  <c r="C7" i="6"/>
  <c r="C15" i="6"/>
  <c r="D4" i="6"/>
  <c r="F4" i="6" s="1"/>
  <c r="D12" i="6"/>
  <c r="F12" i="6" s="1"/>
  <c r="D20" i="6"/>
  <c r="F20" i="6" s="1"/>
  <c r="D9" i="6"/>
  <c r="F9" i="6" s="1"/>
  <c r="D17" i="6"/>
  <c r="F17" i="6" s="1"/>
  <c r="D6" i="6"/>
  <c r="F6" i="6" s="1"/>
  <c r="D14" i="6"/>
  <c r="F14" i="6" s="1"/>
  <c r="D3" i="6"/>
  <c r="F3" i="6" s="1"/>
  <c r="D11" i="6"/>
  <c r="F11" i="6" s="1"/>
  <c r="D19" i="6"/>
  <c r="F19" i="6" s="1"/>
  <c r="Y21" i="1"/>
  <c r="Y15" i="1"/>
  <c r="Y16" i="1"/>
  <c r="Y17" i="1"/>
  <c r="Y18" i="1"/>
  <c r="Y19" i="1"/>
  <c r="Y20" i="1"/>
  <c r="Y14" i="6" l="1"/>
  <c r="Y20" i="6"/>
  <c r="Y16" i="6"/>
  <c r="Y19" i="6"/>
  <c r="Y15" i="6"/>
  <c r="Y18" i="6"/>
  <c r="Y17" i="6"/>
  <c r="X21" i="1"/>
  <c r="X20" i="6" l="1"/>
  <c r="X20" i="1"/>
  <c r="X19" i="1"/>
  <c r="X18" i="1"/>
  <c r="X17" i="1"/>
  <c r="X16" i="1"/>
  <c r="X15" i="1"/>
  <c r="X15" i="6" l="1"/>
  <c r="X19" i="6"/>
  <c r="X16" i="6"/>
  <c r="X17" i="6"/>
  <c r="X14" i="6"/>
  <c r="X18" i="6"/>
  <c r="W21" i="1"/>
  <c r="W20" i="6" s="1"/>
  <c r="V21" i="1"/>
  <c r="V20" i="6" s="1"/>
  <c r="U21" i="1"/>
  <c r="U20" i="6" s="1"/>
  <c r="W20" i="1"/>
  <c r="W19" i="6" s="1"/>
  <c r="V20" i="1"/>
  <c r="V19" i="6" s="1"/>
  <c r="U20" i="1"/>
  <c r="U19" i="6" s="1"/>
  <c r="W19" i="1"/>
  <c r="W18" i="6" s="1"/>
  <c r="V19" i="1"/>
  <c r="V18" i="6" s="1"/>
  <c r="U19" i="1"/>
  <c r="U18" i="6" s="1"/>
  <c r="W18" i="1"/>
  <c r="W17" i="6" s="1"/>
  <c r="V18" i="1"/>
  <c r="V17" i="6" s="1"/>
  <c r="U18" i="1"/>
  <c r="U17" i="6" s="1"/>
  <c r="W17" i="1" l="1"/>
  <c r="W16" i="6" s="1"/>
  <c r="V17" i="1"/>
  <c r="V16" i="6" s="1"/>
  <c r="U17" i="1"/>
  <c r="U16" i="6" s="1"/>
  <c r="W16" i="1"/>
  <c r="W15" i="6" s="1"/>
  <c r="V16" i="1"/>
  <c r="V15" i="6" s="1"/>
  <c r="U16" i="1"/>
  <c r="U15" i="6" s="1"/>
  <c r="M22" i="1"/>
  <c r="L22" i="1"/>
  <c r="T17" i="1"/>
  <c r="T16" i="6" s="1"/>
  <c r="S17" i="1"/>
  <c r="S16" i="6" s="1"/>
  <c r="R17" i="1"/>
  <c r="R16" i="6" s="1"/>
  <c r="P17" i="1"/>
  <c r="P16" i="6" s="1"/>
  <c r="O17" i="1"/>
  <c r="O16" i="6" s="1"/>
  <c r="N17" i="1"/>
  <c r="N16" i="6" s="1"/>
  <c r="T16" i="1"/>
  <c r="T15" i="6" s="1"/>
  <c r="S16" i="1"/>
  <c r="S15" i="6" s="1"/>
  <c r="R16" i="1"/>
  <c r="R15" i="6" s="1"/>
  <c r="P16" i="1"/>
  <c r="P15" i="6" s="1"/>
  <c r="O16" i="1"/>
  <c r="O15" i="6" s="1"/>
  <c r="N16" i="1"/>
  <c r="N15" i="6" s="1"/>
  <c r="S18" i="1"/>
  <c r="S17" i="6" s="1"/>
  <c r="R18" i="1"/>
  <c r="R17" i="6" s="1"/>
  <c r="P18" i="1"/>
  <c r="P17" i="6" s="1"/>
  <c r="O18" i="1"/>
  <c r="O17" i="6" s="1"/>
  <c r="N18" i="1"/>
  <c r="N17" i="6" s="1"/>
  <c r="S19" i="1"/>
  <c r="S18" i="6" s="1"/>
  <c r="R19" i="1"/>
  <c r="R18" i="6" s="1"/>
  <c r="P19" i="1"/>
  <c r="P18" i="6" s="1"/>
  <c r="O19" i="1"/>
  <c r="O18" i="6" s="1"/>
  <c r="N19" i="1"/>
  <c r="N18" i="6" s="1"/>
  <c r="S20" i="1"/>
  <c r="S19" i="6" s="1"/>
  <c r="R20" i="1"/>
  <c r="R19" i="6" s="1"/>
  <c r="P20" i="1"/>
  <c r="P19" i="6" s="1"/>
  <c r="O20" i="1"/>
  <c r="O19" i="6" s="1"/>
  <c r="N20" i="1"/>
  <c r="N19" i="6" s="1"/>
  <c r="S21" i="1"/>
  <c r="S20" i="6" s="1"/>
  <c r="R21" i="1"/>
  <c r="R20" i="6" s="1"/>
  <c r="P21" i="1"/>
  <c r="P20" i="6" s="1"/>
  <c r="O21" i="1"/>
  <c r="O20" i="6" s="1"/>
  <c r="N21" i="1"/>
  <c r="N20" i="6" s="1"/>
  <c r="M21" i="6" l="1"/>
  <c r="L21" i="6"/>
  <c r="K21" i="1"/>
  <c r="K20" i="6" s="1"/>
  <c r="K20" i="1"/>
  <c r="K19" i="6" s="1"/>
  <c r="K19" i="1"/>
  <c r="K18" i="6" s="1"/>
  <c r="K18" i="1"/>
  <c r="K17" i="6" s="1"/>
  <c r="K17" i="1"/>
  <c r="K16" i="6" s="1"/>
  <c r="K16" i="1"/>
  <c r="K15" i="6" s="1"/>
  <c r="K15" i="1"/>
  <c r="K14" i="6" s="1"/>
  <c r="K14" i="1"/>
  <c r="K13" i="6" s="1"/>
  <c r="K13" i="1"/>
  <c r="K12" i="6" s="1"/>
  <c r="K12" i="1"/>
  <c r="K11" i="6" s="1"/>
  <c r="K11" i="1"/>
  <c r="K10" i="6" s="1"/>
  <c r="K10" i="1"/>
  <c r="K9" i="6" s="1"/>
  <c r="K9" i="1"/>
  <c r="K8" i="6" s="1"/>
  <c r="K8" i="1"/>
  <c r="K7" i="6" s="1"/>
  <c r="K7" i="1"/>
  <c r="K6" i="6" s="1"/>
  <c r="K6" i="1"/>
  <c r="K5" i="1"/>
  <c r="K4" i="6" s="1"/>
  <c r="K4" i="1"/>
  <c r="K3" i="6" s="1"/>
  <c r="K3" i="1"/>
  <c r="K2" i="6" s="1"/>
  <c r="J21" i="1"/>
  <c r="J20" i="6" s="1"/>
  <c r="J20" i="1"/>
  <c r="J19" i="6" s="1"/>
  <c r="J19" i="1"/>
  <c r="J18" i="6" s="1"/>
  <c r="J18" i="1"/>
  <c r="J17" i="1"/>
  <c r="J16" i="6" s="1"/>
  <c r="J16" i="1"/>
  <c r="J15" i="6" s="1"/>
  <c r="J15" i="1"/>
  <c r="J14" i="6" s="1"/>
  <c r="J14" i="1"/>
  <c r="J13" i="1"/>
  <c r="J12" i="6" s="1"/>
  <c r="J12" i="1"/>
  <c r="J11" i="6" s="1"/>
  <c r="J11" i="1"/>
  <c r="J10" i="6" s="1"/>
  <c r="J10" i="1"/>
  <c r="J9" i="1"/>
  <c r="J8" i="6" s="1"/>
  <c r="J8" i="1"/>
  <c r="J7" i="6" s="1"/>
  <c r="J7" i="1"/>
  <c r="J6" i="6" s="1"/>
  <c r="J6" i="1"/>
  <c r="J5" i="1"/>
  <c r="J4" i="6" s="1"/>
  <c r="J4" i="1"/>
  <c r="J3" i="6" s="1"/>
  <c r="J3" i="1"/>
  <c r="J2" i="6" s="1"/>
  <c r="M6" i="1" l="1"/>
  <c r="M5" i="6" s="1"/>
  <c r="K5" i="6"/>
  <c r="L6" i="1"/>
  <c r="L5" i="6" s="1"/>
  <c r="J5" i="6"/>
  <c r="L10" i="1"/>
  <c r="L9" i="6" s="1"/>
  <c r="J9" i="6"/>
  <c r="L14" i="1"/>
  <c r="L13" i="6" s="1"/>
  <c r="J13" i="6"/>
  <c r="L18" i="1"/>
  <c r="L17" i="6" s="1"/>
  <c r="J17" i="6"/>
  <c r="AC16" i="1"/>
  <c r="AB16" i="1"/>
  <c r="AE16" i="1"/>
  <c r="AD16" i="1"/>
  <c r="AC17" i="1"/>
  <c r="AB17" i="1"/>
  <c r="AE17" i="1"/>
  <c r="AD17" i="1"/>
  <c r="AC20" i="1"/>
  <c r="AB20" i="1"/>
  <c r="AE20" i="1"/>
  <c r="AD20" i="1"/>
  <c r="AC18" i="1"/>
  <c r="AB18" i="1"/>
  <c r="AE18" i="1"/>
  <c r="AD18" i="1"/>
  <c r="AC21" i="1"/>
  <c r="AB21" i="1"/>
  <c r="AE21" i="1"/>
  <c r="AD21" i="1"/>
  <c r="AC15" i="1"/>
  <c r="AB15" i="1"/>
  <c r="AE15" i="1"/>
  <c r="AD15" i="1"/>
  <c r="AC19" i="1"/>
  <c r="AB19" i="1"/>
  <c r="AE19" i="1"/>
  <c r="AD19" i="1"/>
  <c r="M10" i="1"/>
  <c r="M9" i="6" s="1"/>
  <c r="M14" i="1"/>
  <c r="M13" i="6" s="1"/>
  <c r="M3" i="1"/>
  <c r="M2" i="6" s="1"/>
  <c r="M7" i="1"/>
  <c r="M6" i="6" s="1"/>
  <c r="L5" i="1"/>
  <c r="L4" i="6" s="1"/>
  <c r="L9" i="1"/>
  <c r="L8" i="6" s="1"/>
  <c r="L13" i="1"/>
  <c r="L12" i="6" s="1"/>
  <c r="M11" i="1"/>
  <c r="M10" i="6" s="1"/>
  <c r="L17" i="1"/>
  <c r="L16" i="6" s="1"/>
  <c r="L21" i="1"/>
  <c r="L20" i="6" s="1"/>
  <c r="M18" i="1"/>
  <c r="M17" i="6" s="1"/>
  <c r="M15" i="1"/>
  <c r="M14" i="6" s="1"/>
  <c r="M19" i="1"/>
  <c r="M18" i="6" s="1"/>
  <c r="AA20" i="1"/>
  <c r="Z20" i="1"/>
  <c r="AA17" i="1"/>
  <c r="Z17" i="1"/>
  <c r="AA18" i="1"/>
  <c r="Z18" i="1"/>
  <c r="L3" i="1"/>
  <c r="L2" i="6" s="1"/>
  <c r="L7" i="1"/>
  <c r="L6" i="6" s="1"/>
  <c r="L11" i="1"/>
  <c r="L10" i="6" s="1"/>
  <c r="L15" i="1"/>
  <c r="L14" i="6" s="1"/>
  <c r="L19" i="1"/>
  <c r="L18" i="6" s="1"/>
  <c r="M4" i="1"/>
  <c r="M3" i="6" s="1"/>
  <c r="M8" i="1"/>
  <c r="M7" i="6" s="1"/>
  <c r="M12" i="1"/>
  <c r="M11" i="6" s="1"/>
  <c r="M16" i="1"/>
  <c r="M15" i="6" s="1"/>
  <c r="M20" i="1"/>
  <c r="M19" i="6" s="1"/>
  <c r="AA16" i="1"/>
  <c r="Z16" i="1"/>
  <c r="AA21" i="1"/>
  <c r="Z21" i="1"/>
  <c r="AA15" i="1"/>
  <c r="Z15" i="1"/>
  <c r="AA19" i="1"/>
  <c r="Z19" i="1"/>
  <c r="L4" i="1"/>
  <c r="L3" i="6" s="1"/>
  <c r="L8" i="1"/>
  <c r="L7" i="6" s="1"/>
  <c r="L12" i="1"/>
  <c r="L11" i="6" s="1"/>
  <c r="L16" i="1"/>
  <c r="L15" i="6" s="1"/>
  <c r="L20" i="1"/>
  <c r="L19" i="6" s="1"/>
  <c r="M5" i="1"/>
  <c r="M4" i="6" s="1"/>
  <c r="M9" i="1"/>
  <c r="M8" i="6" s="1"/>
  <c r="M13" i="1"/>
  <c r="M12" i="6" s="1"/>
  <c r="M17" i="1"/>
  <c r="M16" i="6" s="1"/>
  <c r="M21" i="1"/>
  <c r="M20" i="6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Z18" i="6" l="1"/>
  <c r="Z20" i="6"/>
  <c r="Z16" i="6"/>
  <c r="AC18" i="6"/>
  <c r="AC14" i="6"/>
  <c r="AC20" i="6"/>
  <c r="AC17" i="6"/>
  <c r="AC19" i="6"/>
  <c r="AC16" i="6"/>
  <c r="AC15" i="6"/>
  <c r="AA18" i="6"/>
  <c r="AA20" i="6"/>
  <c r="AA16" i="6"/>
  <c r="AD18" i="6"/>
  <c r="AD14" i="6"/>
  <c r="AD20" i="6"/>
  <c r="AD17" i="6"/>
  <c r="AD19" i="6"/>
  <c r="AD16" i="6"/>
  <c r="AD15" i="6"/>
  <c r="Z14" i="6"/>
  <c r="Z15" i="6"/>
  <c r="Z17" i="6"/>
  <c r="Z19" i="6"/>
  <c r="AE18" i="6"/>
  <c r="AE14" i="6"/>
  <c r="AE20" i="6"/>
  <c r="AE17" i="6"/>
  <c r="AE19" i="6"/>
  <c r="AE16" i="6"/>
  <c r="AE15" i="6"/>
  <c r="AA14" i="6"/>
  <c r="AA15" i="6"/>
  <c r="AA17" i="6"/>
  <c r="AA19" i="6"/>
  <c r="AB18" i="6"/>
  <c r="AB14" i="6"/>
  <c r="AB20" i="6"/>
  <c r="AB17" i="6"/>
  <c r="AB19" i="6"/>
  <c r="AB16" i="6"/>
  <c r="AB15" i="6"/>
  <c r="I7" i="1"/>
  <c r="I6" i="6" l="1"/>
  <c r="I4" i="1"/>
  <c r="I6" i="1"/>
  <c r="I5" i="1"/>
  <c r="I3" i="6" l="1"/>
  <c r="I4" i="6"/>
  <c r="I5" i="6"/>
  <c r="J14" i="3"/>
  <c r="K14" i="3" s="1"/>
  <c r="L14" i="3" s="1"/>
  <c r="AI9" i="1" l="1"/>
  <c r="AI10" i="1"/>
  <c r="AI11" i="1"/>
  <c r="AI8" i="6" l="1"/>
  <c r="AI9" i="6"/>
  <c r="AI10" i="6"/>
  <c r="H19" i="1" l="1"/>
  <c r="H20" i="1"/>
  <c r="H18" i="1"/>
  <c r="H15" i="1"/>
  <c r="H21" i="1"/>
  <c r="H17" i="1"/>
  <c r="AJ3" i="1"/>
  <c r="G3" i="1"/>
  <c r="AJ2" i="6" l="1"/>
  <c r="H17" i="6"/>
  <c r="H16" i="6"/>
  <c r="H19" i="6"/>
  <c r="H20" i="6"/>
  <c r="H18" i="6"/>
  <c r="G2" i="6"/>
  <c r="H14" i="6"/>
  <c r="AJ14" i="1"/>
  <c r="AJ8" i="1"/>
  <c r="AJ5" i="1"/>
  <c r="AJ4" i="1"/>
  <c r="AJ13" i="1"/>
  <c r="AJ9" i="1"/>
  <c r="AJ10" i="1"/>
  <c r="AJ11" i="1"/>
  <c r="AJ12" i="1"/>
  <c r="G14" i="1"/>
  <c r="G11" i="1"/>
  <c r="G9" i="1"/>
  <c r="G13" i="1"/>
  <c r="G4" i="1"/>
  <c r="G5" i="1"/>
  <c r="G10" i="1"/>
  <c r="G3" i="6" l="1"/>
  <c r="G13" i="6"/>
  <c r="AJ8" i="6"/>
  <c r="AJ7" i="6"/>
  <c r="G12" i="6"/>
  <c r="AJ11" i="6"/>
  <c r="AJ12" i="6"/>
  <c r="AJ13" i="6"/>
  <c r="G9" i="6"/>
  <c r="G8" i="6"/>
  <c r="AJ10" i="6"/>
  <c r="AJ3" i="6"/>
  <c r="G4" i="6"/>
  <c r="G10" i="6"/>
  <c r="AJ9" i="6"/>
  <c r="AJ4" i="6"/>
  <c r="G12" i="1"/>
  <c r="G8" i="1"/>
  <c r="G7" i="6" l="1"/>
  <c r="G11" i="6"/>
  <c r="I9" i="1"/>
  <c r="I14" i="1"/>
  <c r="I10" i="1"/>
  <c r="I13" i="1"/>
  <c r="I12" i="1"/>
  <c r="I11" i="1"/>
  <c r="I10" i="6" l="1"/>
  <c r="I13" i="6"/>
  <c r="I11" i="6"/>
  <c r="I8" i="6"/>
  <c r="I12" i="6"/>
  <c r="I9" i="6"/>
  <c r="AJ6" i="1"/>
  <c r="G6" i="1"/>
  <c r="G5" i="6" l="1"/>
  <c r="AJ5" i="6"/>
  <c r="AJ7" i="1"/>
  <c r="G7" i="1"/>
  <c r="G6" i="6" l="1"/>
  <c r="AJ6" i="6"/>
  <c r="I8" i="1"/>
  <c r="I7" i="6" l="1"/>
  <c r="I3" i="1"/>
  <c r="I2" i="6" l="1"/>
  <c r="H16" i="1"/>
  <c r="H15" i="6" l="1"/>
  <c r="AI21" i="1"/>
  <c r="AI16" i="1"/>
  <c r="AJ21" i="1" l="1"/>
  <c r="AI20" i="6"/>
  <c r="AJ16" i="1"/>
  <c r="AI15" i="6"/>
  <c r="AJ15" i="6" l="1"/>
  <c r="AJ20" i="6"/>
  <c r="AI18" i="1"/>
  <c r="AI19" i="1"/>
  <c r="AJ22" i="1"/>
  <c r="AI22" i="1"/>
  <c r="AI20" i="1"/>
  <c r="AI17" i="1"/>
  <c r="AI21" i="6" l="1"/>
  <c r="AJ21" i="6"/>
  <c r="AJ17" i="1"/>
  <c r="AI16" i="6"/>
  <c r="AJ18" i="1"/>
  <c r="AI17" i="6"/>
  <c r="AJ20" i="1"/>
  <c r="AI19" i="6"/>
  <c r="AJ19" i="1"/>
  <c r="AI18" i="6"/>
  <c r="G22" i="1"/>
  <c r="G17" i="1"/>
  <c r="G19" i="1"/>
  <c r="G16" i="1"/>
  <c r="G20" i="1"/>
  <c r="G18" i="1"/>
  <c r="G21" i="1"/>
  <c r="G20" i="6" l="1"/>
  <c r="G18" i="6"/>
  <c r="AJ18" i="6"/>
  <c r="AJ17" i="6"/>
  <c r="G17" i="6"/>
  <c r="G16" i="6"/>
  <c r="G19" i="6"/>
  <c r="G21" i="6"/>
  <c r="AJ19" i="6"/>
  <c r="AJ16" i="6"/>
  <c r="G15" i="6"/>
  <c r="I16" i="1"/>
  <c r="I18" i="1"/>
  <c r="I20" i="1"/>
  <c r="I17" i="1"/>
  <c r="I15" i="1"/>
  <c r="I19" i="1"/>
  <c r="I21" i="1"/>
  <c r="I22" i="1"/>
  <c r="I23" i="1"/>
  <c r="I21" i="6" l="1"/>
  <c r="I16" i="6"/>
  <c r="I20" i="6"/>
  <c r="I19" i="6"/>
  <c r="I18" i="6"/>
  <c r="I17" i="6"/>
  <c r="I22" i="6"/>
  <c r="I14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de Jesus Diaz Ferreiras</author>
  </authors>
  <commentList>
    <comment ref="J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Victor de Jesus Diaz Ferreiras:
</t>
        </r>
        <r>
          <rPr>
            <sz val="9"/>
            <color indexed="81"/>
            <rFont val="Tahoma"/>
            <family val="2"/>
          </rPr>
          <t>Excluye transacción de pago adelantado  PetroCaribe.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Víctor Díaz</author>
  </authors>
  <commentList>
    <comment ref="AF33" authorId="0" shapeId="0" xr:uid="{3B67FDBC-D869-4174-951D-01B8B2CDF59E}">
      <text>
        <r>
          <rPr>
            <b/>
            <sz val="9"/>
            <color indexed="81"/>
            <rFont val="Tahoma"/>
            <family val="2"/>
          </rPr>
          <t>Víctor Díaz:</t>
        </r>
        <r>
          <rPr>
            <sz val="9"/>
            <color indexed="81"/>
            <rFont val="Tahoma"/>
            <family val="2"/>
          </rPr>
          <t xml:space="preserve">
RD1,000 corresponden a la emisión de enero 2021. </t>
        </r>
      </text>
    </comment>
    <comment ref="AF37" authorId="0" shapeId="0" xr:uid="{B346A9AD-C4B0-4F93-8EA5-4B79BDFB99B3}">
      <text>
        <r>
          <rPr>
            <b/>
            <sz val="9"/>
            <color indexed="81"/>
            <rFont val="Tahoma"/>
            <family val="2"/>
          </rPr>
          <t>Víctor Díaz:</t>
        </r>
        <r>
          <rPr>
            <sz val="9"/>
            <color indexed="81"/>
            <rFont val="Tahoma"/>
            <family val="2"/>
          </rPr>
          <t xml:space="preserve">
Emitido en enero 2021. No contemplado en la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Víctor Díaz</author>
  </authors>
  <commentList>
    <comment ref="AF32" authorId="0" shapeId="0" xr:uid="{08285C7B-C01A-4F8C-BCEC-5C925A4B5F3E}">
      <text>
        <r>
          <rPr>
            <b/>
            <sz val="9"/>
            <color indexed="81"/>
            <rFont val="Tahoma"/>
            <family val="2"/>
          </rPr>
          <t>Víctor Díaz:</t>
        </r>
        <r>
          <rPr>
            <sz val="9"/>
            <color indexed="81"/>
            <rFont val="Tahoma"/>
            <family val="2"/>
          </rPr>
          <t xml:space="preserve">
RD1,000 corresponden a la emisión de enero 2021.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Gonzalez Jimenez</author>
  </authors>
  <commentList>
    <comment ref="B34" authorId="0" shapeId="0" xr:uid="{18397137-323C-4791-A776-D1489C0178DD}">
      <text>
        <r>
          <rPr>
            <b/>
            <sz val="9"/>
            <color indexed="81"/>
            <rFont val="Tahoma"/>
            <charset val="1"/>
          </rPr>
          <t>Valeria Gonzalez Jimenez:</t>
        </r>
        <r>
          <rPr>
            <sz val="9"/>
            <color indexed="81"/>
            <rFont val="Tahoma"/>
            <charset val="1"/>
          </rPr>
          <t xml:space="preserve">
Se puso venezuela en 0 para que no salga cortada en el mapa</t>
        </r>
      </text>
    </comment>
  </commentList>
</comments>
</file>

<file path=xl/sharedStrings.xml><?xml version="1.0" encoding="utf-8"?>
<sst xmlns="http://schemas.openxmlformats.org/spreadsheetml/2006/main" count="205" uniqueCount="157">
  <si>
    <t>Deuda por Origen</t>
  </si>
  <si>
    <t>Deuda Externa</t>
  </si>
  <si>
    <t>Deuda Pública Interna por acreedor</t>
  </si>
  <si>
    <t>Deuda Pública Externa por acreedor</t>
  </si>
  <si>
    <t>Deuda SPNF por Moneda</t>
  </si>
  <si>
    <t>Extranjera</t>
  </si>
  <si>
    <t>Deuda Interna</t>
  </si>
  <si>
    <t>Bonos de Subastas</t>
  </si>
  <si>
    <t>Bonos de CDEEE</t>
  </si>
  <si>
    <t>Bonos de Deuda Administrativa</t>
  </si>
  <si>
    <t>Deuda Multilateral</t>
  </si>
  <si>
    <t>Deuda Bilateral</t>
  </si>
  <si>
    <t>Acreedores Privados</t>
  </si>
  <si>
    <t>Nacional</t>
  </si>
  <si>
    <t>Deuda SPNF por Tasa</t>
  </si>
  <si>
    <t>Indexada</t>
  </si>
  <si>
    <t>Tasa Cero</t>
  </si>
  <si>
    <r>
      <t xml:space="preserve">Perfil Vencimiento Bonos Soberanos </t>
    </r>
    <r>
      <rPr>
        <sz val="11"/>
        <color theme="1"/>
        <rFont val="Calibri"/>
        <family val="2"/>
        <scheme val="minor"/>
      </rPr>
      <t>(Millones US$)</t>
    </r>
  </si>
  <si>
    <t>Banca Comercial u Otras Instituciones Financieras</t>
  </si>
  <si>
    <t>Bonos de Recap BCRD</t>
  </si>
  <si>
    <t>Año</t>
  </si>
  <si>
    <t>Trimestre</t>
  </si>
  <si>
    <t>Servicio de la Deuda</t>
  </si>
  <si>
    <t>Años</t>
  </si>
  <si>
    <r>
      <t xml:space="preserve">Proyección Deuda </t>
    </r>
    <r>
      <rPr>
        <sz val="11"/>
        <color theme="1"/>
        <rFont val="Calibri"/>
        <family val="2"/>
        <scheme val="minor"/>
      </rPr>
      <t>(Base)</t>
    </r>
  </si>
  <si>
    <r>
      <t xml:space="preserve">Proyección Deuda </t>
    </r>
    <r>
      <rPr>
        <sz val="11"/>
        <color theme="1"/>
        <rFont val="Calibri"/>
        <family val="2"/>
        <scheme val="minor"/>
      </rPr>
      <t>(FMI)</t>
    </r>
  </si>
  <si>
    <r>
      <rPr>
        <b/>
        <sz val="11"/>
        <color theme="1"/>
        <rFont val="Calibri"/>
        <family val="2"/>
        <scheme val="minor"/>
      </rPr>
      <t>Exportaciones Nacionales</t>
    </r>
    <r>
      <rPr>
        <sz val="11"/>
        <color theme="1"/>
        <rFont val="Calibri"/>
        <family val="2"/>
        <scheme val="minor"/>
      </rPr>
      <t xml:space="preserve"> (Millones US$)</t>
    </r>
  </si>
  <si>
    <r>
      <rPr>
        <b/>
        <sz val="11"/>
        <color theme="1"/>
        <rFont val="Calibri"/>
        <family val="2"/>
        <scheme val="minor"/>
      </rPr>
      <t>Exportaciones Zonas Francas</t>
    </r>
    <r>
      <rPr>
        <sz val="11"/>
        <color theme="1"/>
        <rFont val="Calibri"/>
        <family val="2"/>
        <scheme val="minor"/>
      </rPr>
      <t xml:space="preserve"> (Millones US$)</t>
    </r>
  </si>
  <si>
    <r>
      <rPr>
        <b/>
        <sz val="11"/>
        <color theme="1"/>
        <rFont val="Calibri"/>
        <family val="2"/>
        <scheme val="minor"/>
      </rPr>
      <t xml:space="preserve">Importaciones Zonas Francas </t>
    </r>
    <r>
      <rPr>
        <sz val="11"/>
        <color theme="1"/>
        <rFont val="Calibri"/>
        <family val="2"/>
        <scheme val="minor"/>
      </rPr>
      <t>(Millones US$)</t>
    </r>
  </si>
  <si>
    <r>
      <rPr>
        <b/>
        <sz val="11"/>
        <color theme="1"/>
        <rFont val="Calibri"/>
        <family val="2"/>
        <scheme val="minor"/>
      </rPr>
      <t xml:space="preserve">Inversión Extranjera Directa </t>
    </r>
    <r>
      <rPr>
        <sz val="11"/>
        <color theme="1"/>
        <rFont val="Calibri"/>
        <family val="2"/>
        <scheme val="minor"/>
      </rPr>
      <t>(Millones US$)</t>
    </r>
  </si>
  <si>
    <r>
      <rPr>
        <b/>
        <sz val="11"/>
        <color theme="1"/>
        <rFont val="Calibri"/>
        <family val="2"/>
        <scheme val="minor"/>
      </rPr>
      <t>Remesas</t>
    </r>
    <r>
      <rPr>
        <sz val="11"/>
        <color theme="1"/>
        <rFont val="Calibri"/>
        <family val="2"/>
        <scheme val="minor"/>
      </rPr>
      <t xml:space="preserve"> (Millones US$)</t>
    </r>
  </si>
  <si>
    <r>
      <rPr>
        <b/>
        <sz val="11"/>
        <color theme="1"/>
        <rFont val="Calibri"/>
        <family val="2"/>
        <scheme val="minor"/>
      </rPr>
      <t xml:space="preserve">Servicio deuda externa </t>
    </r>
    <r>
      <rPr>
        <sz val="11"/>
        <color theme="1"/>
        <rFont val="Calibri"/>
        <family val="2"/>
        <scheme val="minor"/>
      </rPr>
      <t>(Millones RD$)</t>
    </r>
  </si>
  <si>
    <r>
      <rPr>
        <b/>
        <sz val="11"/>
        <color theme="1"/>
        <rFont val="Calibri"/>
        <family val="2"/>
        <scheme val="minor"/>
      </rPr>
      <t>Servicio deuda externa</t>
    </r>
    <r>
      <rPr>
        <sz val="11"/>
        <color theme="1"/>
        <rFont val="Calibri"/>
        <family val="2"/>
        <scheme val="minor"/>
      </rPr>
      <t xml:space="preserve"> (Millones US$)</t>
    </r>
  </si>
  <si>
    <r>
      <rPr>
        <b/>
        <sz val="11"/>
        <color theme="1"/>
        <rFont val="Calibri"/>
        <family val="2"/>
        <scheme val="minor"/>
      </rPr>
      <t xml:space="preserve">Servicio Deuda externa </t>
    </r>
    <r>
      <rPr>
        <sz val="11"/>
        <color theme="1"/>
        <rFont val="Calibri"/>
        <family val="2"/>
        <scheme val="minor"/>
      </rPr>
      <t>(% dólares generados por la Economía)</t>
    </r>
  </si>
  <si>
    <r>
      <rPr>
        <b/>
        <sz val="11"/>
        <color theme="1"/>
        <rFont val="Calibri"/>
        <family val="2"/>
        <scheme val="minor"/>
      </rPr>
      <t xml:space="preserve">Deuda Pública </t>
    </r>
    <r>
      <rPr>
        <sz val="11"/>
        <color theme="1"/>
        <rFont val="Calibri"/>
        <family val="2"/>
        <scheme val="minor"/>
      </rPr>
      <t>(US$ Millones)</t>
    </r>
  </si>
  <si>
    <r>
      <rPr>
        <b/>
        <sz val="11"/>
        <color theme="1"/>
        <rFont val="Calibri"/>
        <family val="2"/>
        <scheme val="minor"/>
      </rPr>
      <t>Deuda Pública</t>
    </r>
    <r>
      <rPr>
        <sz val="11"/>
        <color theme="1"/>
        <rFont val="Calibri"/>
        <family val="2"/>
        <scheme val="minor"/>
      </rPr>
      <t xml:space="preserve"> (per cápita) US$</t>
    </r>
  </si>
  <si>
    <r>
      <rPr>
        <b/>
        <sz val="11"/>
        <color theme="1"/>
        <rFont val="Calibri"/>
        <family val="2"/>
        <scheme val="minor"/>
      </rPr>
      <t>Deuda SPNF</t>
    </r>
    <r>
      <rPr>
        <sz val="11"/>
        <color theme="1"/>
        <rFont val="Calibri"/>
        <family val="2"/>
        <scheme val="minor"/>
      </rPr>
      <t xml:space="preserve"> (% PIB)</t>
    </r>
  </si>
  <si>
    <r>
      <rPr>
        <b/>
        <sz val="11"/>
        <color theme="1"/>
        <rFont val="Calibri"/>
        <family val="2"/>
        <scheme val="minor"/>
      </rPr>
      <t>Deuda Pública Consolidada</t>
    </r>
    <r>
      <rPr>
        <sz val="11"/>
        <color theme="1"/>
        <rFont val="Calibri"/>
        <family val="2"/>
        <scheme val="minor"/>
      </rPr>
      <t xml:space="preserve"> (% PIB)</t>
    </r>
  </si>
  <si>
    <r>
      <rPr>
        <b/>
        <sz val="11"/>
        <color theme="1"/>
        <rFont val="Calibri"/>
        <family val="2"/>
        <scheme val="minor"/>
      </rPr>
      <t>Intereses de la Deuda SPNF</t>
    </r>
    <r>
      <rPr>
        <sz val="11"/>
        <color theme="1"/>
        <rFont val="Calibri"/>
        <family val="2"/>
        <scheme val="minor"/>
      </rPr>
      <t xml:space="preserve"> (% Impuestos)</t>
    </r>
  </si>
  <si>
    <r>
      <rPr>
        <b/>
        <sz val="11"/>
        <color theme="1"/>
        <rFont val="Calibri"/>
        <family val="2"/>
        <scheme val="minor"/>
      </rPr>
      <t>Préstamo/Endeudamiento Neto</t>
    </r>
    <r>
      <rPr>
        <sz val="11"/>
        <color theme="1"/>
        <rFont val="Calibri"/>
        <family val="2"/>
        <scheme val="minor"/>
      </rPr>
      <t xml:space="preserve"> (% PIB)</t>
    </r>
  </si>
  <si>
    <r>
      <rPr>
        <b/>
        <sz val="11"/>
        <color theme="1"/>
        <rFont val="Calibri"/>
        <family val="2"/>
        <scheme val="minor"/>
      </rPr>
      <t>Deuda Interna</t>
    </r>
    <r>
      <rPr>
        <sz val="11"/>
        <color theme="1"/>
        <rFont val="Calibri"/>
        <family val="2"/>
        <scheme val="minor"/>
      </rPr>
      <t xml:space="preserve"> (% Total)</t>
    </r>
  </si>
  <si>
    <r>
      <rPr>
        <b/>
        <sz val="11"/>
        <color theme="1"/>
        <rFont val="Calibri"/>
        <family val="2"/>
        <scheme val="minor"/>
      </rPr>
      <t>Deuda Externa</t>
    </r>
    <r>
      <rPr>
        <sz val="11"/>
        <color theme="1"/>
        <rFont val="Calibri"/>
        <family val="2"/>
        <scheme val="minor"/>
      </rPr>
      <t xml:space="preserve"> (% Total)</t>
    </r>
  </si>
  <si>
    <r>
      <rPr>
        <b/>
        <sz val="11"/>
        <color theme="1"/>
        <rFont val="Calibri"/>
        <family val="2"/>
        <scheme val="minor"/>
      </rPr>
      <t>Bonos del Tesoro</t>
    </r>
    <r>
      <rPr>
        <sz val="11"/>
        <color theme="1"/>
        <rFont val="Calibri"/>
        <family val="2"/>
        <scheme val="minor"/>
      </rPr>
      <t xml:space="preserve"> (Ley 121-05) </t>
    </r>
  </si>
  <si>
    <r>
      <rPr>
        <b/>
        <sz val="11"/>
        <color theme="1"/>
        <rFont val="Calibri"/>
        <family val="2"/>
        <scheme val="minor"/>
      </rPr>
      <t xml:space="preserve">Nacional </t>
    </r>
    <r>
      <rPr>
        <sz val="11"/>
        <color theme="1"/>
        <rFont val="Calibri"/>
        <family val="2"/>
        <scheme val="minor"/>
      </rPr>
      <t>(% Total)</t>
    </r>
  </si>
  <si>
    <r>
      <rPr>
        <b/>
        <sz val="11"/>
        <color theme="1"/>
        <rFont val="Calibri"/>
        <family val="2"/>
        <scheme val="minor"/>
      </rPr>
      <t>Extranjera</t>
    </r>
    <r>
      <rPr>
        <sz val="11"/>
        <color theme="1"/>
        <rFont val="Calibri"/>
        <family val="2"/>
        <scheme val="minor"/>
      </rPr>
      <t xml:space="preserve"> (% total)</t>
    </r>
  </si>
  <si>
    <r>
      <rPr>
        <b/>
        <sz val="11"/>
        <color theme="1"/>
        <rFont val="Calibri"/>
        <family val="2"/>
        <scheme val="minor"/>
      </rPr>
      <t>Fija</t>
    </r>
    <r>
      <rPr>
        <sz val="11"/>
        <color theme="1"/>
        <rFont val="Calibri"/>
        <family val="2"/>
        <scheme val="minor"/>
      </rPr>
      <t xml:space="preserve"> (% Total)</t>
    </r>
  </si>
  <si>
    <r>
      <rPr>
        <b/>
        <sz val="11"/>
        <color theme="1"/>
        <rFont val="Calibri"/>
        <family val="2"/>
        <scheme val="minor"/>
      </rPr>
      <t>Variable</t>
    </r>
    <r>
      <rPr>
        <sz val="11"/>
        <color theme="1"/>
        <rFont val="Calibri"/>
        <family val="2"/>
        <scheme val="minor"/>
      </rPr>
      <t xml:space="preserve"> (% Total)</t>
    </r>
  </si>
  <si>
    <r>
      <rPr>
        <b/>
        <sz val="11"/>
        <color theme="1"/>
        <rFont val="Calibri"/>
        <family val="2"/>
        <scheme val="minor"/>
      </rPr>
      <t>Servicio de la Deuda</t>
    </r>
    <r>
      <rPr>
        <sz val="11"/>
        <color theme="1"/>
        <rFont val="Calibri"/>
        <family val="2"/>
        <scheme val="minor"/>
      </rPr>
      <t xml:space="preserve"> (%Impuestos)</t>
    </r>
  </si>
  <si>
    <t>Título canjeado</t>
  </si>
  <si>
    <t>Identified debt-creating flows</t>
  </si>
  <si>
    <t>Primary (noninterest) revenue and grants</t>
  </si>
  <si>
    <t>Primary (noninterest) expenditure</t>
  </si>
  <si>
    <t>Automatic debt dynamics</t>
  </si>
  <si>
    <t>Contribution from interest rate/growth differential</t>
  </si>
  <si>
    <t>Other debt-creating flows</t>
  </si>
  <si>
    <t>Privatization receipts (negative)</t>
  </si>
  <si>
    <t>Recognition of implicit or contingent liabilities</t>
  </si>
  <si>
    <t>Residual</t>
  </si>
  <si>
    <t>Cambio en la deuda</t>
  </si>
  <si>
    <t>Resultado primario</t>
  </si>
  <si>
    <t>Tasa de interés real</t>
  </si>
  <si>
    <t>Crecimiento real PIB</t>
  </si>
  <si>
    <t>Depreciación del tipo de cambio</t>
  </si>
  <si>
    <t>Explicación var. deuda 2019-2020</t>
  </si>
  <si>
    <t>Por acreedor</t>
  </si>
  <si>
    <t>Externa-Bilateral</t>
  </si>
  <si>
    <t>Externa-Acreedores Privados</t>
  </si>
  <si>
    <t>Externa-Multilateral</t>
  </si>
  <si>
    <t>Interna</t>
  </si>
  <si>
    <t>Total</t>
  </si>
  <si>
    <t>Por moneda</t>
  </si>
  <si>
    <t>BCRD</t>
  </si>
  <si>
    <t>Periodo</t>
  </si>
  <si>
    <t>T1</t>
  </si>
  <si>
    <t>T2</t>
  </si>
  <si>
    <t>T3</t>
  </si>
  <si>
    <t>T4</t>
  </si>
  <si>
    <t>Tipo</t>
  </si>
  <si>
    <t>2033-2040</t>
  </si>
  <si>
    <t>2042-2043</t>
  </si>
  <si>
    <t>2046-2047</t>
  </si>
  <si>
    <t>2050-2059</t>
  </si>
  <si>
    <r>
      <rPr>
        <b/>
        <sz val="11"/>
        <color theme="1"/>
        <rFont val="Calibri"/>
        <family val="2"/>
        <scheme val="minor"/>
      </rPr>
      <t>Intereses de la Deuda SPNF</t>
    </r>
    <r>
      <rPr>
        <sz val="11"/>
        <color theme="1"/>
        <rFont val="Calibri"/>
        <family val="2"/>
        <scheme val="minor"/>
      </rPr>
      <t xml:space="preserve"> (% antiguo gasto capital)</t>
    </r>
  </si>
  <si>
    <t>Ingresos por Turismo (Viajes) (Millones US$)</t>
  </si>
  <si>
    <t>SPNF</t>
  </si>
  <si>
    <t>Proyección Economist Intelligence Unit</t>
  </si>
  <si>
    <t>Antigua and Barbuda</t>
  </si>
  <si>
    <t>Argentina</t>
  </si>
  <si>
    <t>Aruba</t>
  </si>
  <si>
    <t>Barbados</t>
  </si>
  <si>
    <t>Belize</t>
  </si>
  <si>
    <t>Bolivia</t>
  </si>
  <si>
    <t>Brazil</t>
  </si>
  <si>
    <t>Chile</t>
  </si>
  <si>
    <t>Colombia</t>
  </si>
  <si>
    <t>Costa Rica</t>
  </si>
  <si>
    <t>Dominica</t>
  </si>
  <si>
    <t>Ecuador</t>
  </si>
  <si>
    <t>El Salvador</t>
  </si>
  <si>
    <t>Grenada</t>
  </si>
  <si>
    <t>Guatemala</t>
  </si>
  <si>
    <t>Guyana</t>
  </si>
  <si>
    <t>Honduras</t>
  </si>
  <si>
    <t>Jamaica</t>
  </si>
  <si>
    <t>Nicaragua</t>
  </si>
  <si>
    <t>Paraguay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</si>
  <si>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</si>
  <si>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</si>
  <si>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</si>
  <si>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</si>
  <si>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</si>
  <si>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</si>
  <si>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Bahamas</t>
  </si>
  <si>
    <t>Haití</t>
  </si>
  <si>
    <t>México</t>
  </si>
  <si>
    <t>Panamá</t>
  </si>
  <si>
    <t>Perú</t>
  </si>
  <si>
    <t>País</t>
  </si>
  <si>
    <t>Deuda Gob. General (% PIB) 2019</t>
  </si>
  <si>
    <t>Deuda Gob. General (% PIB) 2020</t>
  </si>
  <si>
    <t>Deuda Gob. General (% PIB) Cambio</t>
  </si>
  <si>
    <t>ATG</t>
  </si>
  <si>
    <t>BHM</t>
  </si>
  <si>
    <t>BRA</t>
  </si>
  <si>
    <t>BLZ</t>
  </si>
  <si>
    <t>ARG</t>
  </si>
  <si>
    <t>BOL</t>
  </si>
  <si>
    <t>COL</t>
  </si>
  <si>
    <t>DOM</t>
  </si>
  <si>
    <t>ECU</t>
  </si>
  <si>
    <t>GUY</t>
  </si>
  <si>
    <t>JAM</t>
  </si>
  <si>
    <t>NIC</t>
  </si>
  <si>
    <t>PAN</t>
  </si>
  <si>
    <t>PER</t>
  </si>
  <si>
    <t>ABW</t>
  </si>
  <si>
    <t>BRB</t>
  </si>
  <si>
    <t>SUR</t>
  </si>
  <si>
    <t>CHL</t>
  </si>
  <si>
    <t>CRI</t>
  </si>
  <si>
    <t>DMA</t>
  </si>
  <si>
    <t>SLV</t>
  </si>
  <si>
    <t>GRD</t>
  </si>
  <si>
    <t>GTM</t>
  </si>
  <si>
    <t>HTI</t>
  </si>
  <si>
    <t>HND</t>
  </si>
  <si>
    <t>MEX</t>
  </si>
  <si>
    <t>PRY</t>
  </si>
  <si>
    <t>KNA</t>
  </si>
  <si>
    <t>LCA</t>
  </si>
  <si>
    <t>VCT</t>
  </si>
  <si>
    <t>TTO</t>
  </si>
  <si>
    <t>URY</t>
  </si>
  <si>
    <t>CODE</t>
  </si>
  <si>
    <t>VEN</t>
  </si>
  <si>
    <t>No disponible</t>
  </si>
  <si>
    <t>República 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</si>
</sst>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0.00000"/>
    <numFmt numFmtId="167" formatCode="0.0000"/>
    <numFmt numFmtId="168" formatCode="0.0%"/>
    <numFmt numFmtId="169" formatCode="_(* #,##0_);_(* \(#,##0\);_(* &quot;-&quot;??_);_(@_)"/>
    <numFmt numFmtId="170" formatCode="#,##0.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0" fillId="0" borderId="4" xfId="1" applyFont="1" applyBorder="1"/>
    <xf numFmtId="43" fontId="0" fillId="0" borderId="0" xfId="1" applyFont="1" applyBorder="1"/>
    <xf numFmtId="43" fontId="0" fillId="0" borderId="5" xfId="1" applyFont="1" applyBorder="1"/>
    <xf numFmtId="4" fontId="0" fillId="0" borderId="0" xfId="0" applyNumberFormat="1"/>
    <xf numFmtId="43" fontId="0" fillId="0" borderId="0" xfId="0" applyNumberFormat="1"/>
    <xf numFmtId="43" fontId="0" fillId="0" borderId="0" xfId="0" applyNumberFormat="1" applyBorder="1"/>
    <xf numFmtId="43" fontId="0" fillId="0" borderId="5" xfId="0" applyNumberForma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4" fontId="0" fillId="0" borderId="4" xfId="0" applyNumberFormat="1" applyBorder="1"/>
    <xf numFmtId="4" fontId="0" fillId="0" borderId="0" xfId="0" applyNumberFormat="1" applyBorder="1"/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4" fontId="0" fillId="2" borderId="0" xfId="0" applyNumberFormat="1" applyFill="1"/>
    <xf numFmtId="39" fontId="0" fillId="0" borderId="0" xfId="0" applyNumberFormat="1"/>
    <xf numFmtId="168" fontId="0" fillId="0" borderId="0" xfId="2" applyNumberFormat="1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43" fontId="0" fillId="0" borderId="4" xfId="1" applyNumberFormat="1" applyFont="1" applyBorder="1"/>
    <xf numFmtId="43" fontId="0" fillId="0" borderId="0" xfId="1" applyNumberFormat="1" applyFont="1" applyBorder="1"/>
    <xf numFmtId="43" fontId="1" fillId="0" borderId="0" xfId="1" applyFont="1"/>
    <xf numFmtId="43" fontId="5" fillId="0" borderId="0" xfId="1" applyFont="1"/>
    <xf numFmtId="164" fontId="0" fillId="0" borderId="0" xfId="1" applyNumberFormat="1" applyFont="1" applyFill="1"/>
    <xf numFmtId="164" fontId="0" fillId="0" borderId="0" xfId="0" applyNumberFormat="1"/>
    <xf numFmtId="0" fontId="2" fillId="3" borderId="4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2"/>
    </xf>
    <xf numFmtId="0" fontId="6" fillId="3" borderId="4" xfId="0" applyFont="1" applyFill="1" applyBorder="1" applyAlignment="1">
      <alignment horizontal="left" indent="1"/>
    </xf>
    <xf numFmtId="0" fontId="6" fillId="3" borderId="4" xfId="0" applyFont="1" applyFill="1" applyBorder="1" applyAlignment="1">
      <alignment horizontal="left" indent="2"/>
    </xf>
    <xf numFmtId="0" fontId="6" fillId="3" borderId="4" xfId="0" applyFont="1" applyFill="1" applyBorder="1" applyAlignment="1">
      <alignment horizontal="left" indent="3"/>
    </xf>
    <xf numFmtId="0" fontId="2" fillId="3" borderId="6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43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43" fontId="0" fillId="4" borderId="4" xfId="1" applyFont="1" applyFill="1" applyBorder="1"/>
    <xf numFmtId="43" fontId="0" fillId="4" borderId="0" xfId="1" applyFont="1" applyFill="1" applyBorder="1"/>
    <xf numFmtId="43" fontId="0" fillId="4" borderId="5" xfId="1" applyFont="1" applyFill="1" applyBorder="1"/>
    <xf numFmtId="0" fontId="0" fillId="0" borderId="0" xfId="0" applyFill="1"/>
    <xf numFmtId="169" fontId="0" fillId="0" borderId="0" xfId="1" applyNumberFormat="1" applyFont="1"/>
    <xf numFmtId="170" fontId="7" fillId="0" borderId="7" xfId="1" applyNumberFormat="1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" fontId="0" fillId="5" borderId="0" xfId="0" applyNumberFormat="1" applyFill="1"/>
    <xf numFmtId="0" fontId="0" fillId="5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  <color rgb="FF0070C0"/>
      <color rgb="FF8064A2"/>
      <color rgb="FFE67AE6"/>
      <color rgb="FF825083"/>
      <color rgb="FF943C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s-DO" sz="1800" b="1" dirty="0"/>
              <a:t>Deuda pública consolidada</a:t>
            </a:r>
          </a:p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s-DO" sz="1800" b="0" dirty="0"/>
              <a:t>(% PIB)</a:t>
            </a:r>
            <a:endParaRPr lang="es-DO" sz="1600" b="0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6.0606106272418046E-2"/>
          <c:w val="1"/>
          <c:h val="0.75369751362241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GSPNF!$B$1</c:f>
              <c:strCache>
                <c:ptCount val="1"/>
                <c:pt idx="0">
                  <c:v>SPNF</c:v>
                </c:pt>
              </c:strCache>
            </c:strRef>
          </c:tx>
          <c:spPr>
            <a:solidFill>
              <a:srgbClr val="53A385"/>
            </a:solidFill>
            <a:ln w="15875"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Anual!$A$3:$A$23</c15:sqref>
                  </c15:fullRef>
                </c:ext>
              </c:extLst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GSPNF!$B$2:$B$22</c15:sqref>
                  </c15:fullRef>
                </c:ext>
              </c:extLst>
              <c:f>GSPNF!$B$10:$B$22</c:f>
              <c:numCache>
                <c:formatCode>_(* #,##0.0_);_(* \(#,##0.0\);_(* "-"??_);_(@_)</c:formatCode>
                <c:ptCount val="13"/>
                <c:pt idx="0">
                  <c:v>23.270399789044671</c:v>
                </c:pt>
                <c:pt idx="1">
                  <c:v>27.433471167841027</c:v>
                </c:pt>
                <c:pt idx="2">
                  <c:v>27.497146272287544</c:v>
                </c:pt>
                <c:pt idx="3">
                  <c:v>28.572039766933887</c:v>
                </c:pt>
                <c:pt idx="4">
                  <c:v>32.043714703993345</c:v>
                </c:pt>
                <c:pt idx="5">
                  <c:v>36.99325622478343</c:v>
                </c:pt>
                <c:pt idx="6">
                  <c:v>35.401474819803511</c:v>
                </c:pt>
                <c:pt idx="7">
                  <c:v>33.903205111979915</c:v>
                </c:pt>
                <c:pt idx="8">
                  <c:v>35.319508699574179</c:v>
                </c:pt>
                <c:pt idx="9">
                  <c:v>36.918208285609126</c:v>
                </c:pt>
                <c:pt idx="10">
                  <c:v>37.595665770695</c:v>
                </c:pt>
                <c:pt idx="11">
                  <c:v>40.427469218857759</c:v>
                </c:pt>
                <c:pt idx="12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0-479E-A952-F3CECA251FE6}"/>
            </c:ext>
          </c:extLst>
        </c:ser>
        <c:ser>
          <c:idx val="2"/>
          <c:order val="1"/>
          <c:tx>
            <c:strRef>
              <c:f>GSPNF!$C$1</c:f>
              <c:strCache>
                <c:ptCount val="1"/>
                <c:pt idx="0">
                  <c:v>BCRD</c:v>
                </c:pt>
              </c:strCache>
            </c:strRef>
          </c:tx>
          <c:spPr>
            <a:solidFill>
              <a:srgbClr val="C1DAC0"/>
            </a:solidFill>
            <a:ln w="158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rIns="91440" anchor="ctr" anchorCtr="1"/>
              <a:lstStyle/>
              <a:p>
                <a:pPr>
                  <a:defRPr sz="1400" b="0" i="0" u="none" strike="noStrike" kern="1200" baseline="0">
                    <a:solidFill>
                      <a:srgbClr val="284E4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Anual!$A$3:$A$23</c15:sqref>
                  </c15:fullRef>
                </c:ext>
              </c:extLst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GSPNF!$C$2:$C$22</c15:sqref>
                  </c15:fullRef>
                </c:ext>
              </c:extLst>
              <c:f>GSPNF!$C$10:$C$22</c:f>
              <c:numCache>
                <c:formatCode>_(* #,##0.0_);_(* \(#,##0.0\);_(* "-"??_);_(@_)</c:formatCode>
                <c:ptCount val="13"/>
                <c:pt idx="0">
                  <c:v>8.7556826987745175</c:v>
                </c:pt>
                <c:pt idx="1">
                  <c:v>8.9333396869868551</c:v>
                </c:pt>
                <c:pt idx="2">
                  <c:v>9.0689036859432761</c:v>
                </c:pt>
                <c:pt idx="3">
                  <c:v>9.2768836196955924</c:v>
                </c:pt>
                <c:pt idx="4">
                  <c:v>9.2222170811253861</c:v>
                </c:pt>
                <c:pt idx="5">
                  <c:v>8.072975316681358</c:v>
                </c:pt>
                <c:pt idx="6">
                  <c:v>8.2069487984443299</c:v>
                </c:pt>
                <c:pt idx="7">
                  <c:v>9.1091650317016573</c:v>
                </c:pt>
                <c:pt idx="8">
                  <c:v>9.694812850825727</c:v>
                </c:pt>
                <c:pt idx="9">
                  <c:v>9.5862872438739757</c:v>
                </c:pt>
                <c:pt idx="10">
                  <c:v>10.308200895506388</c:v>
                </c:pt>
                <c:pt idx="11">
                  <c:v>10.10697137238504</c:v>
                </c:pt>
                <c:pt idx="12">
                  <c:v>12.622494070027919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0-479E-A952-F3CECA251FE6}"/>
            </c:ext>
          </c:extLst>
        </c:ser>
        <c:ser>
          <c:idx val="1"/>
          <c:order val="2"/>
          <c:tx>
            <c:strRef>
              <c:f>GSPNF!$D$1</c:f>
              <c:strCache>
                <c:ptCount val="1"/>
                <c:pt idx="0">
                  <c:v>Deuda Pública Consolidada (% PIB)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50" b="1" i="0" u="none" strike="noStrike" kern="1200" baseline="0">
                    <a:solidFill>
                      <a:srgbClr val="284E4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Anual!$A$3:$A$23</c15:sqref>
                  </c15:fullRef>
                </c:ext>
              </c:extLst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GSPNF!$D$2:$D$22</c15:sqref>
                  </c15:fullRef>
                </c:ext>
              </c:extLst>
              <c:f>GSPNF!$D$10:$D$22</c:f>
              <c:numCache>
                <c:formatCode>_(* #,##0.0_);_(* \(#,##0.0\);_(* "-"??_);_(@_)</c:formatCode>
                <c:ptCount val="13"/>
                <c:pt idx="0">
                  <c:v>32.026082487819188</c:v>
                </c:pt>
                <c:pt idx="1">
                  <c:v>36.366810854827882</c:v>
                </c:pt>
                <c:pt idx="2">
                  <c:v>36.56604995823082</c:v>
                </c:pt>
                <c:pt idx="3">
                  <c:v>37.84892338662948</c:v>
                </c:pt>
                <c:pt idx="4">
                  <c:v>41.265931785118731</c:v>
                </c:pt>
                <c:pt idx="5">
                  <c:v>45.066231541464788</c:v>
                </c:pt>
                <c:pt idx="6">
                  <c:v>43.608423618247841</c:v>
                </c:pt>
                <c:pt idx="7">
                  <c:v>43.012370143681572</c:v>
                </c:pt>
                <c:pt idx="8">
                  <c:v>45.014321550399906</c:v>
                </c:pt>
                <c:pt idx="9">
                  <c:v>46.504495529483101</c:v>
                </c:pt>
                <c:pt idx="10">
                  <c:v>47.903866666201388</c:v>
                </c:pt>
                <c:pt idx="11">
                  <c:v>50.534440591242799</c:v>
                </c:pt>
                <c:pt idx="12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0-479E-A952-F3CECA251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3272664"/>
        <c:axId val="223267568"/>
      </c:barChart>
      <c:catAx>
        <c:axId val="22327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23267568"/>
        <c:crosses val="autoZero"/>
        <c:auto val="1"/>
        <c:lblAlgn val="ctr"/>
        <c:lblOffset val="100"/>
        <c:noMultiLvlLbl val="0"/>
      </c:catAx>
      <c:valAx>
        <c:axId val="223267568"/>
        <c:scaling>
          <c:orientation val="minMax"/>
          <c:max val="75"/>
        </c:scaling>
        <c:delete val="1"/>
        <c:axPos val="l"/>
        <c:numFmt formatCode="_(* #,##0.0_);_(* \(#,##0.0\);_(* &quot;-&quot;??_);_(@_)" sourceLinked="1"/>
        <c:majorTickMark val="out"/>
        <c:minorTickMark val="none"/>
        <c:tickLblPos val="nextTo"/>
        <c:crossAx val="2232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1140051577165034"/>
          <c:y val="0.87469821937613745"/>
          <c:w val="0.37719896845669931"/>
          <c:h val="5.467079379033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/>
            </a:pPr>
            <a:r>
              <a:rPr lang="en-US"/>
              <a:t>Deuda pública SPNF per cápita </a:t>
            </a:r>
          </a:p>
          <a:p>
            <a:pPr algn="ctr" rtl="0">
              <a:defRPr/>
            </a:pPr>
            <a:r>
              <a:rPr lang="en-US" b="0"/>
              <a:t>(US$)</a:t>
            </a:r>
          </a:p>
        </c:rich>
      </c:tx>
      <c:layout>
        <c:manualLayout>
          <c:xMode val="edge"/>
          <c:yMode val="edge"/>
          <c:x val="0.32928096923931016"/>
          <c:y val="2.20458553791887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6763990267639901E-2"/>
          <c:y val="9.3632958801498134E-2"/>
          <c:w val="0.94647201946472015"/>
          <c:h val="0.79049180842294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505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Anual!$C$3:$C$23</c:f>
              <c:numCache>
                <c:formatCode>_(* #,##0.00_);_(* \(#,##0.00\);_(* "-"??_);_(@_)</c:formatCode>
                <c:ptCount val="21"/>
                <c:pt idx="0">
                  <c:v>386.23677957637011</c:v>
                </c:pt>
                <c:pt idx="1">
                  <c:v>464.88216369419177</c:v>
                </c:pt>
                <c:pt idx="2">
                  <c:v>510.31763629571407</c:v>
                </c:pt>
                <c:pt idx="3">
                  <c:v>656.84674955666526</c:v>
                </c:pt>
                <c:pt idx="4">
                  <c:v>743.42308477374581</c:v>
                </c:pt>
                <c:pt idx="5">
                  <c:v>760.69251341191671</c:v>
                </c:pt>
                <c:pt idx="6">
                  <c:v>816.49498900838216</c:v>
                </c:pt>
                <c:pt idx="7">
                  <c:v>823.87750328153584</c:v>
                </c:pt>
                <c:pt idx="8">
                  <c:v>1209.0237975035807</c:v>
                </c:pt>
                <c:pt idx="9">
                  <c:v>1412.9846058138314</c:v>
                </c:pt>
                <c:pt idx="10">
                  <c:v>1563.3199879569108</c:v>
                </c:pt>
                <c:pt idx="11">
                  <c:v>1732.0301519092861</c:v>
                </c:pt>
                <c:pt idx="12">
                  <c:v>2010.4747194487404</c:v>
                </c:pt>
                <c:pt idx="13">
                  <c:v>2371.4397252597573</c:v>
                </c:pt>
                <c:pt idx="14">
                  <c:v>2408.9741970620239</c:v>
                </c:pt>
                <c:pt idx="15">
                  <c:v>2420.147301269697</c:v>
                </c:pt>
                <c:pt idx="16">
                  <c:v>2655.8554952923519</c:v>
                </c:pt>
                <c:pt idx="17">
                  <c:v>2905.2138668034936</c:v>
                </c:pt>
                <c:pt idx="18">
                  <c:v>3132.4467380663532</c:v>
                </c:pt>
                <c:pt idx="19">
                  <c:v>3439.9664689815158</c:v>
                </c:pt>
                <c:pt idx="20">
                  <c:v>4260.8116036831416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A-4E09-8728-81DA155E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08231040"/>
        <c:axId val="208245504"/>
      </c:barChart>
      <c:catAx>
        <c:axId val="2082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/>
                  <a:t>Fuentes:</a:t>
                </a:r>
                <a:r>
                  <a:rPr lang="en-US" sz="900" b="0" i="0" baseline="0"/>
                  <a:t> Crédito Público y BCRD</a:t>
                </a:r>
                <a:endParaRPr lang="en-US" sz="900" b="0" i="0"/>
              </a:p>
            </c:rich>
          </c:tx>
          <c:layout>
            <c:manualLayout>
              <c:xMode val="edge"/>
              <c:yMode val="edge"/>
              <c:x val="2.6513434702932954E-2"/>
              <c:y val="0.949199165964819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245504"/>
        <c:crosses val="autoZero"/>
        <c:auto val="1"/>
        <c:lblAlgn val="ctr"/>
        <c:lblOffset val="100"/>
        <c:noMultiLvlLbl val="0"/>
      </c:catAx>
      <c:valAx>
        <c:axId val="20824550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208231040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Deuda pública consolidada</a:t>
            </a:r>
          </a:p>
          <a:p>
            <a:pPr>
              <a:defRPr/>
            </a:pPr>
            <a:r>
              <a:rPr lang="en-US" b="0"/>
              <a:t>(% PIB)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84115874404585E-2"/>
          <c:y val="0.15596093608567776"/>
          <c:w val="0.92047417683900623"/>
          <c:h val="0.66769351095136975"/>
        </c:manualLayout>
      </c:layout>
      <c:barChart>
        <c:barDir val="col"/>
        <c:grouping val="clustered"/>
        <c:varyColors val="0"/>
        <c:ser>
          <c:idx val="8"/>
          <c:order val="0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828-41CF-A93D-2A22477DD62D}"/>
            </c:ext>
          </c:extLst>
        </c:ser>
        <c:ser>
          <c:idx val="9"/>
          <c:order val="1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828-41CF-A93D-2A22477DD62D}"/>
            </c:ext>
          </c:extLst>
        </c:ser>
        <c:ser>
          <c:idx val="10"/>
          <c:order val="2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828-41CF-A93D-2A22477DD62D}"/>
            </c:ext>
          </c:extLst>
        </c:ser>
        <c:ser>
          <c:idx val="11"/>
          <c:order val="3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828-41CF-A93D-2A22477DD62D}"/>
            </c:ext>
          </c:extLst>
        </c:ser>
        <c:ser>
          <c:idx val="12"/>
          <c:order val="4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828-41CF-A93D-2A22477DD62D}"/>
            </c:ext>
          </c:extLst>
        </c:ser>
        <c:ser>
          <c:idx val="13"/>
          <c:order val="5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828-41CF-A93D-2A22477DD62D}"/>
            </c:ext>
          </c:extLst>
        </c:ser>
        <c:ser>
          <c:idx val="14"/>
          <c:order val="6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828-41CF-A93D-2A22477DD62D}"/>
            </c:ext>
          </c:extLst>
        </c:ser>
        <c:ser>
          <c:idx val="15"/>
          <c:order val="7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828-41CF-A93D-2A22477DD62D}"/>
            </c:ext>
          </c:extLst>
        </c:ser>
        <c:ser>
          <c:idx val="2"/>
          <c:order val="8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828-41CF-A93D-2A22477DD62D}"/>
            </c:ext>
          </c:extLst>
        </c:ser>
        <c:ser>
          <c:idx val="3"/>
          <c:order val="9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828-41CF-A93D-2A22477DD62D}"/>
            </c:ext>
          </c:extLst>
        </c:ser>
        <c:ser>
          <c:idx val="4"/>
          <c:order val="10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828-41CF-A93D-2A22477DD62D}"/>
            </c:ext>
          </c:extLst>
        </c:ser>
        <c:ser>
          <c:idx val="5"/>
          <c:order val="11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828-41CF-A93D-2A22477DD62D}"/>
            </c:ext>
          </c:extLst>
        </c:ser>
        <c:ser>
          <c:idx val="6"/>
          <c:order val="12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828-41CF-A93D-2A22477DD62D}"/>
            </c:ext>
          </c:extLst>
        </c:ser>
        <c:ser>
          <c:idx val="7"/>
          <c:order val="13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828-41CF-A93D-2A22477DD62D}"/>
            </c:ext>
          </c:extLst>
        </c:ser>
        <c:ser>
          <c:idx val="0"/>
          <c:order val="14"/>
          <c:tx>
            <c:v>Banco Central</c:v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</c:spPr>
          <c:invertIfNegative val="0"/>
          <c:dLbls>
            <c:dLbl>
              <c:idx val="18"/>
              <c:layout>
                <c:manualLayout>
                  <c:x val="8.787919781142968E-2"/>
                  <c:y val="-8.740204492872602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chemeClr val="bg1"/>
                        </a:solidFill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</a:rPr>
                      <a:t>13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828-41CF-A93D-2A22477DD62D}"/>
                </c:ext>
              </c:extLst>
            </c:dLbl>
            <c:dLbl>
              <c:idx val="19"/>
              <c:layout>
                <c:manualLayout>
                  <c:x val="-2.2045855379188711E-3"/>
                  <c:y val="5.7985426481670325E-3"/>
                </c:manualLayout>
              </c:layout>
              <c:tx>
                <c:rich>
                  <a:bodyPr/>
                  <a:lstStyle/>
                  <a:p>
                    <a:fld id="{9BCF3BF6-615D-44C3-A2E9-FD0DC9FBFF18}" type="VALUE">
                      <a:rPr lang="en-US" b="1">
                        <a:solidFill>
                          <a:srgbClr val="00206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3-1828-41CF-A93D-2A22477DD62D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828-41CF-A93D-2A22477DD62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Anual!$E$3:$E$23</c:f>
              <c:numCache>
                <c:formatCode>_(* #,##0.0_);_(* \(#,##0.0\);_(* "-"??_);_(@_)</c:formatCode>
                <c:ptCount val="21"/>
                <c:pt idx="0">
                  <c:v>18.20093748703696</c:v>
                </c:pt>
                <c:pt idx="1">
                  <c:v>19.757255226415317</c:v>
                </c:pt>
                <c:pt idx="2">
                  <c:v>21.949383396325985</c:v>
                </c:pt>
                <c:pt idx="3">
                  <c:v>39.540528742138662</c:v>
                </c:pt>
                <c:pt idx="4">
                  <c:v>46.901658716672564</c:v>
                </c:pt>
                <c:pt idx="5">
                  <c:v>32.485234617130352</c:v>
                </c:pt>
                <c:pt idx="6">
                  <c:v>34.305566868370505</c:v>
                </c:pt>
                <c:pt idx="7">
                  <c:v>31.155997140071516</c:v>
                </c:pt>
                <c:pt idx="8">
                  <c:v>32.026082487819188</c:v>
                </c:pt>
                <c:pt idx="9">
                  <c:v>36.366810854827882</c:v>
                </c:pt>
                <c:pt idx="10">
                  <c:v>36.56604995823082</c:v>
                </c:pt>
                <c:pt idx="11">
                  <c:v>37.84892338662948</c:v>
                </c:pt>
                <c:pt idx="12">
                  <c:v>41.265931785118731</c:v>
                </c:pt>
                <c:pt idx="13">
                  <c:v>45.066231541464788</c:v>
                </c:pt>
                <c:pt idx="14">
                  <c:v>43.608423618247841</c:v>
                </c:pt>
                <c:pt idx="15">
                  <c:v>43.012370143681572</c:v>
                </c:pt>
                <c:pt idx="16">
                  <c:v>45.014321550399906</c:v>
                </c:pt>
                <c:pt idx="17">
                  <c:v>46.504495529483101</c:v>
                </c:pt>
                <c:pt idx="18">
                  <c:v>47.903866666201388</c:v>
                </c:pt>
                <c:pt idx="19">
                  <c:v>50.534440591242799</c:v>
                </c:pt>
                <c:pt idx="20">
                  <c:v>69.098022301437283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828-41CF-A93D-2A22477DD62D}"/>
            </c:ext>
          </c:extLst>
        </c:ser>
        <c:ser>
          <c:idx val="1"/>
          <c:order val="15"/>
          <c:tx>
            <c:v>SPNF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-1.616677385145396E-16"/>
                  <c:y val="6.3783969129837359E-2"/>
                </c:manualLayout>
              </c:layout>
              <c:tx>
                <c:rich>
                  <a:bodyPr/>
                  <a:lstStyle/>
                  <a:p>
                    <a:fld id="{A352096D-4FF2-481A-888D-07560ADC655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7-1828-41CF-A93D-2A22477DD62D}"/>
                </c:ext>
              </c:extLst>
            </c:dLbl>
            <c:dLbl>
              <c:idx val="20"/>
              <c:layout>
                <c:manualLayout>
                  <c:x val="0"/>
                  <c:y val="5.9145432330989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828-41CF-A93D-2A22477DD62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828-41CF-A93D-2A22477D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0476544"/>
        <c:axId val="200499200"/>
      </c:barChart>
      <c:catAx>
        <c:axId val="2004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/>
                  <a:t>Fuente: BCRD</a:t>
                </a:r>
              </a:p>
            </c:rich>
          </c:tx>
          <c:layout>
            <c:manualLayout>
              <c:xMode val="edge"/>
              <c:yMode val="edge"/>
              <c:x val="3.889063330273896E-2"/>
              <c:y val="0.95571617849320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499200"/>
        <c:crosses val="autoZero"/>
        <c:auto val="1"/>
        <c:lblAlgn val="ctr"/>
        <c:lblOffset val="100"/>
        <c:noMultiLvlLbl val="0"/>
      </c:catAx>
      <c:valAx>
        <c:axId val="200499200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crossAx val="200476544"/>
        <c:crosses val="autoZero"/>
        <c:crossBetween val="between"/>
        <c:majorUnit val="5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26340144981877267"/>
          <c:y val="0.90442814612601408"/>
          <c:w val="0.43546188670860586"/>
          <c:h val="4.9166162718521166E-2"/>
        </c:manualLayout>
      </c:layout>
      <c:overlay val="1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Perfil de</a:t>
            </a:r>
            <a:r>
              <a:rPr lang="en-US" baseline="0"/>
              <a:t> vencimiento</a:t>
            </a:r>
            <a:r>
              <a:rPr lang="en-US"/>
              <a:t> de bonos externos del SPNF</a:t>
            </a:r>
          </a:p>
          <a:p>
            <a:pPr>
              <a:defRPr/>
            </a:pPr>
            <a:r>
              <a:rPr lang="en-US" b="0"/>
              <a:t>(A febrero de 2021, US$ millones)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717305171463618E-2"/>
          <c:y val="0.12009644165876161"/>
          <c:w val="0.95456538965707272"/>
          <c:h val="0.75098594937273644"/>
        </c:manualLayout>
      </c:layout>
      <c:barChart>
        <c:barDir val="col"/>
        <c:grouping val="clustered"/>
        <c:varyColors val="0"/>
        <c:ser>
          <c:idx val="1"/>
          <c:order val="0"/>
          <c:tx>
            <c:v>Pagos </c:v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Anual!$A$24:$A$45</c:f>
              <c:strCache>
                <c:ptCount val="2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2033-2040</c:v>
                </c:pt>
                <c:pt idx="13">
                  <c:v>2041</c:v>
                </c:pt>
                <c:pt idx="14">
                  <c:v>2042-2043</c:v>
                </c:pt>
                <c:pt idx="15">
                  <c:v>2044</c:v>
                </c:pt>
                <c:pt idx="16">
                  <c:v>2045</c:v>
                </c:pt>
                <c:pt idx="17">
                  <c:v>2046-2047</c:v>
                </c:pt>
                <c:pt idx="18">
                  <c:v>2048</c:v>
                </c:pt>
                <c:pt idx="19">
                  <c:v>2049</c:v>
                </c:pt>
                <c:pt idx="20">
                  <c:v>2050-2059</c:v>
                </c:pt>
                <c:pt idx="21">
                  <c:v>2060</c:v>
                </c:pt>
              </c:strCache>
            </c:strRef>
          </c:cat>
          <c:val>
            <c:numRef>
              <c:f>Anual!$AF$24:$AF$45</c:f>
              <c:numCache>
                <c:formatCode>_(* #,##0.00_);_(* \(#,##0.00\);_(* "-"??_);_(@_)</c:formatCode>
                <c:ptCount val="22"/>
                <c:pt idx="0" formatCode="#,##0.00">
                  <c:v>77.433666000000002</c:v>
                </c:pt>
                <c:pt idx="1">
                  <c:v>203.83066666666664</c:v>
                </c:pt>
                <c:pt idx="2">
                  <c:v>892.14362866666659</c:v>
                </c:pt>
                <c:pt idx="3">
                  <c:v>482.78966666666668</c:v>
                </c:pt>
                <c:pt idx="4">
                  <c:v>1372.202</c:v>
                </c:pt>
                <c:pt idx="5">
                  <c:v>2770.527814</c:v>
                </c:pt>
                <c:pt idx="6">
                  <c:v>1800</c:v>
                </c:pt>
                <c:pt idx="7">
                  <c:v>1300</c:v>
                </c:pt>
                <c:pt idx="9">
                  <c:v>2000</c:v>
                </c:pt>
                <c:pt idx="11">
                  <c:v>3066</c:v>
                </c:pt>
                <c:pt idx="13">
                  <c:v>1500</c:v>
                </c:pt>
                <c:pt idx="15">
                  <c:v>1500</c:v>
                </c:pt>
                <c:pt idx="16">
                  <c:v>2000</c:v>
                </c:pt>
                <c:pt idx="18">
                  <c:v>1000</c:v>
                </c:pt>
                <c:pt idx="19">
                  <c:v>1500</c:v>
                </c:pt>
                <c:pt idx="21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CAC-9824-7C859F26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200885760"/>
        <c:axId val="200887680"/>
      </c:barChart>
      <c:catAx>
        <c:axId val="2008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1"/>
                </a:pPr>
                <a:r>
                  <a:rPr lang="en-US" sz="900" b="0" i="0"/>
                  <a:t>Fuente: Crédito Público</a:t>
                </a:r>
              </a:p>
            </c:rich>
          </c:tx>
          <c:layout>
            <c:manualLayout>
              <c:xMode val="edge"/>
              <c:yMode val="edge"/>
              <c:x val="2.0928053139956018E-2"/>
              <c:y val="0.94380766615170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887680"/>
        <c:crosses val="autoZero"/>
        <c:auto val="1"/>
        <c:lblAlgn val="ctr"/>
        <c:lblOffset val="100"/>
        <c:noMultiLvlLbl val="0"/>
      </c:catAx>
      <c:valAx>
        <c:axId val="20088768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crossAx val="200885760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Deuda pública consolidada</a:t>
            </a:r>
          </a:p>
          <a:p>
            <a:pPr>
              <a:defRPr/>
            </a:pPr>
            <a:r>
              <a:rPr lang="en-US" b="0"/>
              <a:t>(% PIB)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521050172815299E-2"/>
          <c:y val="0.13547413716142626"/>
          <c:w val="0.92905838489750114"/>
          <c:h val="0.73400434725452068"/>
        </c:manualLayout>
      </c:layout>
      <c:lineChart>
        <c:grouping val="standard"/>
        <c:varyColors val="0"/>
        <c:ser>
          <c:idx val="0"/>
          <c:order val="0"/>
          <c:tx>
            <c:v>Consolidada</c:v>
          </c:tx>
          <c:spPr>
            <a:ln w="19050" cmpd="sng">
              <a:solidFill>
                <a:srgbClr val="0070C0"/>
              </a:solidFill>
            </a:ln>
          </c:spPr>
          <c:marker>
            <c:symbol val="none"/>
          </c:marker>
          <c:dPt>
            <c:idx val="11"/>
            <c:bubble3D val="0"/>
            <c:spPr>
              <a:ln w="19050" cmpd="sng">
                <a:solidFill>
                  <a:srgbClr val="0070C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A50-4194-A808-43A7FAFBC1E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Gráficos!$Y$4:$Y$20</c15:sqref>
                  </c15:fullRef>
                </c:ext>
              </c:extLst>
              <c:f>Gráficos!$Y$4:$Y$16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Anual!$E$11:$E$22</c15:sqref>
                  </c15:fullRef>
                </c:ext>
              </c:extLst>
              <c:f>Anual!$E$11:$E$22</c:f>
              <c:numCache>
                <c:formatCode>_(* #,##0.0_);_(* \(#,##0.0\);_(* "-"??_);_(@_)</c:formatCode>
                <c:ptCount val="12"/>
                <c:pt idx="0">
                  <c:v>32.026082487819188</c:v>
                </c:pt>
                <c:pt idx="1">
                  <c:v>36.366810854827882</c:v>
                </c:pt>
                <c:pt idx="2">
                  <c:v>36.56604995823082</c:v>
                </c:pt>
                <c:pt idx="3">
                  <c:v>37.84892338662948</c:v>
                </c:pt>
                <c:pt idx="4">
                  <c:v>41.265931785118731</c:v>
                </c:pt>
                <c:pt idx="5">
                  <c:v>45.066231541464788</c:v>
                </c:pt>
                <c:pt idx="6">
                  <c:v>43.608423618247841</c:v>
                </c:pt>
                <c:pt idx="7">
                  <c:v>43.012370143681572</c:v>
                </c:pt>
                <c:pt idx="8">
                  <c:v>45.014321550399906</c:v>
                </c:pt>
                <c:pt idx="9">
                  <c:v>46.504495529483101</c:v>
                </c:pt>
                <c:pt idx="10">
                  <c:v>47.903866666201388</c:v>
                </c:pt>
                <c:pt idx="11">
                  <c:v>50.534440591242799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50-4194-A808-43A7FAFBC1E1}"/>
            </c:ext>
          </c:extLst>
        </c:ser>
        <c:ser>
          <c:idx val="1"/>
          <c:order val="1"/>
          <c:tx>
            <c:v>Proyección (Base)</c:v>
          </c:tx>
          <c:spPr>
            <a:ln>
              <a:solidFill>
                <a:srgbClr val="FF5050"/>
              </a:solidFill>
              <a:prstDash val="dash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0"/>
                  <c:y val="-1.2597631645250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37-41E7-BDE7-2058E3FBE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505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Gráficos!$Y$4:$Y$20</c15:sqref>
                  </c15:fullRef>
                </c:ext>
              </c:extLst>
              <c:f>Gráficos!$Y$4:$Y$16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Anual!$AH$11:$AH$27</c15:sqref>
                  </c15:fullRef>
                </c:ext>
              </c:extLst>
              <c:f>Anual!$AH$11:$AH$23</c:f>
              <c:numCache>
                <c:formatCode>General</c:formatCode>
                <c:ptCount val="13"/>
              </c:numCache>
            </c:numRef>
          </c:val>
          <c:smooth val="1"/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Anual!$AH$27</c15:sqref>
                  <c15:dLbl>
                    <c:idx val="12"/>
                    <c:layout>
                      <c:manualLayout>
                        <c:x val="-9.1272957709179793E-3"/>
                        <c:y val="2.8696133553763825E-2"/>
                      </c:manualLayout>
                    </c:layout>
                    <c:tx>
                      <c:rich>
                        <a:bodyPr wrap="square" lIns="38100" tIns="19050" rIns="38100" bIns="19050" anchor="ctr">
                          <a:spAutoFit/>
                        </a:bodyPr>
                        <a:lstStyle/>
                        <a:p>
                          <a:pPr>
                            <a:defRPr b="1">
                              <a:solidFill>
                                <a:srgbClr val="FF5050"/>
                              </a:solidFill>
                            </a:defRPr>
                          </a:pPr>
                          <a:fld id="{7D4561E9-4944-4441-AF2A-CF8F39D86E1C}" type="VALUE">
                            <a:rPr lang="en-US" b="1">
                              <a:solidFill>
                                <a:srgbClr val="FF5050"/>
                              </a:solidFill>
                            </a:rPr>
                            <a:pPr>
                              <a:defRPr b="1">
                                <a:solidFill>
                                  <a:srgbClr val="FF5050"/>
                                </a:solidFill>
                              </a:defRPr>
                            </a:pPr>
                            <a:t>[VALUE]</a:t>
                          </a:fld>
                          <a:endParaRPr lang="en-US"/>
                        </a:p>
                      </c:rich>
                    </c:tx>
                    <c:numFmt formatCode="#,##0.0" sourceLinked="0"/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5664-4321-A6D2-E553557BD82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7A50-4194-A808-43A7FAFBC1E1}"/>
            </c:ext>
          </c:extLst>
        </c:ser>
        <c:ser>
          <c:idx val="2"/>
          <c:order val="2"/>
          <c:tx>
            <c:v>Proyección (Plurianual)</c:v>
          </c:tx>
          <c:spPr>
            <a:ln>
              <a:prstDash val="dash"/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7.314844809919574E-2"/>
                  <c:y val="-9.9557758186745796E-3"/>
                </c:manualLayout>
              </c:layout>
              <c:tx>
                <c:rich>
                  <a:bodyPr/>
                  <a:lstStyle/>
                  <a:p>
                    <a:fld id="{ABFAF3DA-1272-4D43-8390-8475138E27CD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C49-4012-87EA-61F3C9312B7B}"/>
                </c:ext>
              </c:extLst>
            </c:dLbl>
            <c:dLbl>
              <c:idx val="12"/>
              <c:layout>
                <c:manualLayout>
                  <c:x val="0"/>
                  <c:y val="1.889644746787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37-41E7-BDE7-2058E3FBE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Gráficos!$Y$4:$Y$20</c15:sqref>
                  </c15:fullRef>
                </c:ext>
              </c:extLst>
              <c:f>Gráficos!$Y$4:$Y$16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Anual!$AG$11:$AG$27</c15:sqref>
                  </c15:fullRef>
                </c:ext>
              </c:extLst>
              <c:f>Anual!$AG$11:$AG$23</c:f>
              <c:numCache>
                <c:formatCode>General</c:formatCode>
                <c:ptCount val="13"/>
                <c:pt idx="12" formatCode="_(* #,##0.0_);_(* \(#,##0.0\);_(* &quot;-&quot;??_);_(@_)">
                  <c:v>68.400000000000006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Anual!$AG$27</c15:sqref>
                  <c15:dLbl>
                    <c:idx val="12"/>
                    <c:layout>
                      <c:manualLayout>
                        <c:x val="-6.8454718281883596E-3"/>
                        <c:y val="-3.1884592837515359E-2"/>
                      </c:manualLayout>
                    </c:layout>
                    <c:numFmt formatCode="#,##0.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 b="1">
                            <a:solidFill>
                              <a:schemeClr val="bg1">
                                <a:lumMod val="65000"/>
                              </a:schemeClr>
                            </a:solidFill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5664-4321-A6D2-E553557BD82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7A50-4194-A808-43A7FAFB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77568"/>
        <c:axId val="208483840"/>
        <c:extLst/>
      </c:lineChart>
      <c:catAx>
        <c:axId val="2084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/>
                  <a:t>Fuentes: BCRD y Proyecciones</a:t>
                </a:r>
                <a:r>
                  <a:rPr lang="en-US" sz="900" b="0" i="0" baseline="0"/>
                  <a:t> realizadas por Gladys Jiménez</a:t>
                </a:r>
                <a:endParaRPr lang="en-US" sz="900" b="0" i="0"/>
              </a:p>
            </c:rich>
          </c:tx>
          <c:layout>
            <c:manualLayout>
              <c:xMode val="edge"/>
              <c:yMode val="edge"/>
              <c:x val="1.6223986098446226E-2"/>
              <c:y val="0.941132606440068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483840"/>
        <c:crosses val="autoZero"/>
        <c:auto val="1"/>
        <c:lblAlgn val="ctr"/>
        <c:lblOffset val="100"/>
        <c:noMultiLvlLbl val="0"/>
      </c:catAx>
      <c:valAx>
        <c:axId val="208483840"/>
        <c:scaling>
          <c:orientation val="minMax"/>
          <c:min val="30"/>
        </c:scaling>
        <c:delete val="0"/>
        <c:axPos val="l"/>
        <c:numFmt formatCode="#,##0" sourceLinked="0"/>
        <c:majorTickMark val="out"/>
        <c:minorTickMark val="none"/>
        <c:tickLblPos val="nextTo"/>
        <c:crossAx val="20847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584829859480971"/>
          <c:y val="0.77463159366983891"/>
          <c:w val="0.78140072727298848"/>
          <c:h val="6.587470217016525E-2"/>
        </c:manualLayout>
      </c:layout>
      <c:overlay val="1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Servicio de la Deuda Externa</a:t>
            </a:r>
          </a:p>
          <a:p>
            <a:pPr>
              <a:defRPr/>
            </a:pPr>
            <a:r>
              <a:rPr lang="en-US" b="0"/>
              <a:t>(% divisas generadas por la Economía)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910198898878215E-2"/>
          <c:y val="0.14214220246278739"/>
          <c:w val="0.89445352600461125"/>
          <c:h val="0.673549734854571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dLbls>
            <c:dLbl>
              <c:idx val="28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6F-42F1-ADC3-94B5B79AA1A1}"/>
                </c:ext>
              </c:extLst>
            </c:dLbl>
            <c:dLbl>
              <c:idx val="3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FA96258A-4078-4E74-81AD-F695F108D9DE}" type="VALUE">
                      <a:rPr lang="en-US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457-4E3D-9D0C-603F08D948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Trimestral!$A$2:$B$32</c:f>
              <c:multiLvlStrCache>
                <c:ptCount val="31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  <c:pt idx="12">
                    <c:v>T1</c:v>
                  </c:pt>
                  <c:pt idx="13">
                    <c:v>T2</c:v>
                  </c:pt>
                  <c:pt idx="14">
                    <c:v>T3</c:v>
                  </c:pt>
                  <c:pt idx="15">
                    <c:v>T4</c:v>
                  </c:pt>
                  <c:pt idx="16">
                    <c:v>T1</c:v>
                  </c:pt>
                  <c:pt idx="17">
                    <c:v>T2</c:v>
                  </c:pt>
                  <c:pt idx="18">
                    <c:v>T3</c:v>
                  </c:pt>
                  <c:pt idx="19">
                    <c:v>T4</c:v>
                  </c:pt>
                  <c:pt idx="20">
                    <c:v>T1</c:v>
                  </c:pt>
                  <c:pt idx="21">
                    <c:v>T2</c:v>
                  </c:pt>
                  <c:pt idx="22">
                    <c:v>T3</c:v>
                  </c:pt>
                  <c:pt idx="23">
                    <c:v>T4</c:v>
                  </c:pt>
                  <c:pt idx="24">
                    <c:v>T1</c:v>
                  </c:pt>
                  <c:pt idx="25">
                    <c:v>T2</c:v>
                  </c:pt>
                  <c:pt idx="26">
                    <c:v>T3</c:v>
                  </c:pt>
                  <c:pt idx="27">
                    <c:v>T4</c:v>
                  </c:pt>
                  <c:pt idx="28">
                    <c:v>T1</c:v>
                  </c:pt>
                  <c:pt idx="29">
                    <c:v>T2</c:v>
                  </c:pt>
                  <c:pt idx="30">
                    <c:v>T3</c:v>
                  </c:pt>
                </c:lvl>
                <c:lvl>
                  <c:pt idx="0">
                    <c:v>2012</c:v>
                  </c:pt>
                  <c:pt idx="1">
                    <c:v>2012</c:v>
                  </c:pt>
                  <c:pt idx="2">
                    <c:v>2012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2013</c:v>
                  </c:pt>
                  <c:pt idx="6">
                    <c:v>2013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2015</c:v>
                  </c:pt>
                  <c:pt idx="14">
                    <c:v>2015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2016</c:v>
                  </c:pt>
                  <c:pt idx="19">
                    <c:v>2016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</c:lvl>
              </c:multiLvlStrCache>
            </c:multiLvlStrRef>
          </c:cat>
          <c:val>
            <c:numRef>
              <c:f>Trimestral!$L$2:$L$32</c:f>
              <c:numCache>
                <c:formatCode>_(* #,##0.00_);_(* \(#,##0.00\);_(* "-"??_);_(@_)</c:formatCode>
                <c:ptCount val="31"/>
                <c:pt idx="0">
                  <c:v>5.0969351193470365</c:v>
                </c:pt>
                <c:pt idx="1">
                  <c:v>8.432834618211265</c:v>
                </c:pt>
                <c:pt idx="2">
                  <c:v>5.5580724648645194</c:v>
                </c:pt>
                <c:pt idx="3">
                  <c:v>8.3282814448834301</c:v>
                </c:pt>
                <c:pt idx="4">
                  <c:v>6.7200606522458282</c:v>
                </c:pt>
                <c:pt idx="5">
                  <c:v>8.5363793320591874</c:v>
                </c:pt>
                <c:pt idx="6">
                  <c:v>11.67763791339341</c:v>
                </c:pt>
                <c:pt idx="7">
                  <c:v>9.9204273007571739</c:v>
                </c:pt>
                <c:pt idx="8">
                  <c:v>12.913857703367377</c:v>
                </c:pt>
                <c:pt idx="9">
                  <c:v>10.063488963240342</c:v>
                </c:pt>
                <c:pt idx="10">
                  <c:v>12.506426559240044</c:v>
                </c:pt>
                <c:pt idx="11">
                  <c:v>11.383532852690465</c:v>
                </c:pt>
                <c:pt idx="12">
                  <c:v>7.3451176324547234</c:v>
                </c:pt>
                <c:pt idx="13">
                  <c:v>10.144605808663986</c:v>
                </c:pt>
                <c:pt idx="14">
                  <c:v>10.450149282155925</c:v>
                </c:pt>
                <c:pt idx="15">
                  <c:v>10.154073682960275</c:v>
                </c:pt>
                <c:pt idx="16">
                  <c:v>10.475859697507744</c:v>
                </c:pt>
                <c:pt idx="17">
                  <c:v>8.912418876351051</c:v>
                </c:pt>
                <c:pt idx="18">
                  <c:v>9.6163808865502478</c:v>
                </c:pt>
                <c:pt idx="19">
                  <c:v>8.6784031328325444</c:v>
                </c:pt>
                <c:pt idx="20">
                  <c:v>9.7222147473905487</c:v>
                </c:pt>
                <c:pt idx="21">
                  <c:v>8.3051310197593633</c:v>
                </c:pt>
                <c:pt idx="22">
                  <c:v>10.836012167558275</c:v>
                </c:pt>
                <c:pt idx="23">
                  <c:v>8.3876944261390065</c:v>
                </c:pt>
                <c:pt idx="24">
                  <c:v>10.395750263270301</c:v>
                </c:pt>
                <c:pt idx="25">
                  <c:v>7.879225703286413</c:v>
                </c:pt>
                <c:pt idx="26">
                  <c:v>10.017709210239921</c:v>
                </c:pt>
                <c:pt idx="27">
                  <c:v>9.0846946004454026</c:v>
                </c:pt>
                <c:pt idx="28">
                  <c:v>9.9100233161706477</c:v>
                </c:pt>
                <c:pt idx="29">
                  <c:v>16.908846757883435</c:v>
                </c:pt>
                <c:pt idx="30">
                  <c:v>9.9636363039609606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F-42F1-ADC3-94B5B79A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200885760"/>
        <c:axId val="200887680"/>
      </c:barChart>
      <c:catAx>
        <c:axId val="2008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1"/>
                </a:pPr>
                <a:r>
                  <a:rPr lang="en-US" sz="900" b="0" i="0"/>
                  <a:t>Fuentes: Crédito Público y BCRD</a:t>
                </a:r>
              </a:p>
            </c:rich>
          </c:tx>
          <c:layout>
            <c:manualLayout>
              <c:xMode val="edge"/>
              <c:yMode val="edge"/>
              <c:x val="1.4211657409116382E-2"/>
              <c:y val="0.94380761928568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0887680"/>
        <c:crosses val="autoZero"/>
        <c:auto val="1"/>
        <c:lblAlgn val="ctr"/>
        <c:lblOffset val="100"/>
        <c:noMultiLvlLbl val="0"/>
      </c:catAx>
      <c:valAx>
        <c:axId val="200887680"/>
        <c:scaling>
          <c:orientation val="minMax"/>
          <c:max val="11"/>
          <c:min val="2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200885760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Descomposición de variación de deuda SPNF</a:t>
            </a:r>
          </a:p>
          <a:p>
            <a:pPr>
              <a:defRPr/>
            </a:pPr>
            <a:r>
              <a:rPr lang="en-US"/>
              <a:t>(% PIB)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Descomposición!$A$5</c:f>
              <c:strCache>
                <c:ptCount val="1"/>
                <c:pt idx="0">
                  <c:v>Resultado primario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FF-44EB-863D-A53D09AFE35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Descomposición!$B$1:$L$1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Descomposición!$B$5:$L$5</c:f>
              <c:numCache>
                <c:formatCode>_(* #,##0.00_);_(* \(#,##0.00\);_(* "-"??_);_(@_)</c:formatCode>
                <c:ptCount val="11"/>
                <c:pt idx="0">
                  <c:v>1.2328118376752801</c:v>
                </c:pt>
                <c:pt idx="1">
                  <c:v>0.81738193854569019</c:v>
                </c:pt>
                <c:pt idx="2">
                  <c:v>4.5736569679314183</c:v>
                </c:pt>
                <c:pt idx="3">
                  <c:v>2.4443416281433681</c:v>
                </c:pt>
                <c:pt idx="4">
                  <c:v>0.40577306691767312</c:v>
                </c:pt>
                <c:pt idx="5">
                  <c:v>-2.3461445941852563</c:v>
                </c:pt>
                <c:pt idx="6">
                  <c:v>0.48575906786217793</c:v>
                </c:pt>
                <c:pt idx="7">
                  <c:v>0.80414610833533828</c:v>
                </c:pt>
                <c:pt idx="8">
                  <c:v>-0.22955903291100377</c:v>
                </c:pt>
                <c:pt idx="9">
                  <c:v>-0.41463620656619327</c:v>
                </c:pt>
                <c:pt idx="10">
                  <c:v>5.1692141793907016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F-44EB-863D-A53D09AFE351}"/>
            </c:ext>
          </c:extLst>
        </c:ser>
        <c:ser>
          <c:idx val="2"/>
          <c:order val="2"/>
          <c:tx>
            <c:strRef>
              <c:f>Descomposición!$A$10</c:f>
              <c:strCache>
                <c:ptCount val="1"/>
                <c:pt idx="0">
                  <c:v>Tasa de interés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Descomposición!$B$1:$L$1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Descomposición!$B$10:$L$10</c:f>
              <c:numCache>
                <c:formatCode>_(* #,##0.00_);_(* \(#,##0.00\);_(* "-"??_);_(@_)</c:formatCode>
                <c:ptCount val="11"/>
                <c:pt idx="0">
                  <c:v>0.41209700886594408</c:v>
                </c:pt>
                <c:pt idx="1">
                  <c:v>-6.3873436456911417E-2</c:v>
                </c:pt>
                <c:pt idx="2">
                  <c:v>0.45622661475126591</c:v>
                </c:pt>
                <c:pt idx="3">
                  <c:v>0.74853461787732589</c:v>
                </c:pt>
                <c:pt idx="4">
                  <c:v>0.78333374015007773</c:v>
                </c:pt>
                <c:pt idx="5">
                  <c:v>1.4425166106221146</c:v>
                </c:pt>
                <c:pt idx="6">
                  <c:v>1.8618914325495202</c:v>
                </c:pt>
                <c:pt idx="7">
                  <c:v>1.1080332599322946</c:v>
                </c:pt>
                <c:pt idx="8">
                  <c:v>1.1032072572954892</c:v>
                </c:pt>
                <c:pt idx="9">
                  <c:v>1.8051301843702787</c:v>
                </c:pt>
                <c:pt idx="10">
                  <c:v>1.3669718133557227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F-44EB-863D-A53D09AFE351}"/>
            </c:ext>
          </c:extLst>
        </c:ser>
        <c:ser>
          <c:idx val="3"/>
          <c:order val="3"/>
          <c:tx>
            <c:strRef>
              <c:f>Descomposición!$A$11</c:f>
              <c:strCache>
                <c:ptCount val="1"/>
                <c:pt idx="0">
                  <c:v>Crecimiento real PIB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F-44EB-863D-A53D09AFE35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Descomposición!$B$1:$L$1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Descomposición!$B$11:$L$11</c:f>
              <c:numCache>
                <c:formatCode>_(* #,##0.00_);_(* \(#,##0.00\);_(* "-"??_);_(@_)</c:formatCode>
                <c:ptCount val="11"/>
                <c:pt idx="0">
                  <c:v>-2.0141917423707407</c:v>
                </c:pt>
                <c:pt idx="1">
                  <c:v>-0.78859441488540805</c:v>
                </c:pt>
                <c:pt idx="2">
                  <c:v>-0.73364058294440382</c:v>
                </c:pt>
                <c:pt idx="3">
                  <c:v>-1.4631634432505916</c:v>
                </c:pt>
                <c:pt idx="4">
                  <c:v>-2.3927430701465457</c:v>
                </c:pt>
                <c:pt idx="5">
                  <c:v>-2.2820605971294459</c:v>
                </c:pt>
                <c:pt idx="6">
                  <c:v>-2.1011790062604261</c:v>
                </c:pt>
                <c:pt idx="7">
                  <c:v>-1.533699105342806</c:v>
                </c:pt>
                <c:pt idx="8">
                  <c:v>-2.3522499544726725</c:v>
                </c:pt>
                <c:pt idx="9">
                  <c:v>-1.7904155050910038</c:v>
                </c:pt>
                <c:pt idx="10">
                  <c:v>2.8616900060386636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F-44EB-863D-A53D09AFE351}"/>
            </c:ext>
          </c:extLst>
        </c:ser>
        <c:ser>
          <c:idx val="4"/>
          <c:order val="4"/>
          <c:tx>
            <c:strRef>
              <c:f>Descomposición!$A$12</c:f>
              <c:strCache>
                <c:ptCount val="1"/>
                <c:pt idx="0">
                  <c:v>Depreciación del tipo de cambio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FF-44EB-863D-A53D09AFE35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Descomposición!$B$1:$L$1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Descomposición!$B$12:$L$12</c:f>
              <c:numCache>
                <c:formatCode>_(* #,##0.00_);_(* \(#,##0.00\);_(* "-"??_);_(@_)</c:formatCode>
                <c:ptCount val="11"/>
                <c:pt idx="0">
                  <c:v>0.65448658864968645</c:v>
                </c:pt>
                <c:pt idx="1">
                  <c:v>0.63072359165863512</c:v>
                </c:pt>
                <c:pt idx="2">
                  <c:v>0.8237999250504896</c:v>
                </c:pt>
                <c:pt idx="3">
                  <c:v>1.3578288583176523</c:v>
                </c:pt>
                <c:pt idx="4">
                  <c:v>0.93386127534229491</c:v>
                </c:pt>
                <c:pt idx="5">
                  <c:v>0.67284379469229072</c:v>
                </c:pt>
                <c:pt idx="6">
                  <c:v>0.59806575853644695</c:v>
                </c:pt>
                <c:pt idx="7">
                  <c:v>0.8182421365266398</c:v>
                </c:pt>
                <c:pt idx="8">
                  <c:v>0.98676922114725085</c:v>
                </c:pt>
                <c:pt idx="9">
                  <c:v>1.4238683370936418</c:v>
                </c:pt>
                <c:pt idx="10">
                  <c:v>3.0836618329804741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F-44EB-863D-A53D09AFE351}"/>
            </c:ext>
          </c:extLst>
        </c:ser>
        <c:ser>
          <c:idx val="5"/>
          <c:order val="5"/>
          <c:tx>
            <c:strRef>
              <c:f>Descomposición!$A$17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FF-44EB-863D-A53D09AFE35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Descomposición!$B$1:$L$1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Descomposición!$B$17:$L$17</c:f>
              <c:numCache>
                <c:formatCode>_(* #,##0.00_);_(* \(#,##0.00\);_(* "-"??_);_(@_)</c:formatCode>
                <c:ptCount val="11"/>
                <c:pt idx="0">
                  <c:v>0.17229345260108375</c:v>
                </c:pt>
                <c:pt idx="1">
                  <c:v>0.50201578759050391</c:v>
                </c:pt>
                <c:pt idx="2">
                  <c:v>-1.3131106918970019</c:v>
                </c:pt>
                <c:pt idx="3">
                  <c:v>1.8599184666513584</c:v>
                </c:pt>
                <c:pt idx="4">
                  <c:v>-1.5331270640396224</c:v>
                </c:pt>
                <c:pt idx="5">
                  <c:v>0.74084685574626619</c:v>
                </c:pt>
                <c:pt idx="6">
                  <c:v>0.66704279372576603</c:v>
                </c:pt>
                <c:pt idx="7">
                  <c:v>0.49182690426894027</c:v>
                </c:pt>
                <c:pt idx="8">
                  <c:v>1.1357799379380165</c:v>
                </c:pt>
                <c:pt idx="9">
                  <c:v>2.5301869107414348</c:v>
                </c:pt>
                <c:pt idx="10">
                  <c:v>4.0588435777929313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F-44EB-863D-A53D09AF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764065183"/>
        <c:axId val="1764062687"/>
      </c:barChart>
      <c:lineChart>
        <c:grouping val="stacked"/>
        <c:varyColors val="0"/>
        <c:ser>
          <c:idx val="0"/>
          <c:order val="0"/>
          <c:tx>
            <c:strRef>
              <c:f>Descomposición!$A$2</c:f>
              <c:strCache>
                <c:ptCount val="1"/>
                <c:pt idx="0">
                  <c:v>Cambio en la deuda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3.6641215500997443E-2"/>
                  <c:y val="-2.1772939346811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FF-44EB-863D-A53D09AFE35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5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Descomposición!$B$1:$L$1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Descomposición!$B$2:$L$2</c:f>
              <c:numCache>
                <c:formatCode>_(* #,##0.00_);_(* \(#,##0.00\);_(* "-"??_);_(@_)</c:formatCode>
                <c:ptCount val="11"/>
                <c:pt idx="0">
                  <c:v>0.45749714542125375</c:v>
                </c:pt>
                <c:pt idx="1">
                  <c:v>1.0976534664525097</c:v>
                </c:pt>
                <c:pt idx="2">
                  <c:v>3.8069322328917679</c:v>
                </c:pt>
                <c:pt idx="3">
                  <c:v>4.947460127739113</c:v>
                </c:pt>
                <c:pt idx="4">
                  <c:v>-1.8029020517761225</c:v>
                </c:pt>
                <c:pt idx="5">
                  <c:v>-1.771997930254031</c:v>
                </c:pt>
                <c:pt idx="6">
                  <c:v>1.511580046413485</c:v>
                </c:pt>
                <c:pt idx="7">
                  <c:v>1.6885493037204071</c:v>
                </c:pt>
                <c:pt idx="8">
                  <c:v>0.64394742899708035</c:v>
                </c:pt>
                <c:pt idx="9">
                  <c:v>3.5541337205481582</c:v>
                </c:pt>
                <c:pt idx="10">
                  <c:v>16.540381409558492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FF-44EB-863D-A53D09AF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065183"/>
        <c:axId val="1764062687"/>
      </c:lineChart>
      <c:catAx>
        <c:axId val="17640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62687"/>
        <c:crosses val="autoZero"/>
        <c:auto val="1"/>
        <c:lblAlgn val="ctr"/>
        <c:lblOffset val="100"/>
        <c:noMultiLvlLbl val="0"/>
      </c:catAx>
      <c:valAx>
        <c:axId val="17640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514434729449339E-2"/>
          <c:y val="0.88047001043969031"/>
          <c:w val="0.97548556527055064"/>
          <c:h val="7.946493390809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Flujos de depósitos del Gobierno Central en el sector bancario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Descomposición!#REF!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Descomposición!#REF!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Descomposición!#REF!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6A-4BA0-B9B1-34580111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697910335"/>
        <c:axId val="169791241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Descomposición!#REF!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Descomposición!#REF!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Descomposición!#REF!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6A-4BA0-B9B1-34580111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17407"/>
        <c:axId val="1697914495"/>
      </c:lineChart>
      <c:catAx>
        <c:axId val="16979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12415"/>
        <c:crosses val="autoZero"/>
        <c:auto val="1"/>
        <c:lblAlgn val="ctr"/>
        <c:lblOffset val="100"/>
        <c:noMultiLvlLbl val="0"/>
      </c:catAx>
      <c:valAx>
        <c:axId val="16979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10335"/>
        <c:crosses val="autoZero"/>
        <c:crossBetween val="between"/>
      </c:valAx>
      <c:valAx>
        <c:axId val="16979144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17407"/>
        <c:crosses val="max"/>
        <c:crossBetween val="between"/>
      </c:valAx>
      <c:catAx>
        <c:axId val="1697917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791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Aumento de la</a:t>
            </a:r>
            <a:r>
              <a:rPr lang="en-US" b="1" baseline="0"/>
              <a:t> deuda SPNF </a:t>
            </a:r>
          </a:p>
          <a:p>
            <a:pPr>
              <a:defRPr/>
            </a:pPr>
            <a:r>
              <a:rPr lang="en-US" baseline="0"/>
              <a:t>(2020 vs 2019, US$ millones)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8976451427486"/>
          <c:y val="0.16203362578160269"/>
          <c:w val="0.81579206813228922"/>
          <c:h val="0.625410479015618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Descomposición!$A$22</c:f>
              <c:strCache>
                <c:ptCount val="1"/>
                <c:pt idx="0">
                  <c:v>Externa-Multilateral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(Descomposición!$A$21,Descomposición!$A$28)</c:f>
              <c:strCache>
                <c:ptCount val="2"/>
                <c:pt idx="0">
                  <c:v>Por acreedor</c:v>
                </c:pt>
                <c:pt idx="1">
                  <c:v>Por moneda</c:v>
                </c:pt>
              </c:strCache>
            </c:strRef>
          </c:cat>
          <c:val>
            <c:numRef>
              <c:f>Descomposición!$E$22</c:f>
              <c:numCache>
                <c:formatCode>_(* #,##0.00_);_(* \(#,##0.00\);_(* "-"??_);_(@_)</c:formatCode>
                <c:ptCount val="1"/>
                <c:pt idx="0">
                  <c:v>1543.9572218789972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3-44D3-8DEC-A99DAA56B58B}"/>
            </c:ext>
          </c:extLst>
        </c:ser>
        <c:ser>
          <c:idx val="1"/>
          <c:order val="1"/>
          <c:tx>
            <c:strRef>
              <c:f>Descomposición!$A$23</c:f>
              <c:strCache>
                <c:ptCount val="1"/>
                <c:pt idx="0">
                  <c:v>Externa-Bilateral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(Descomposición!$A$21,Descomposición!$A$28)</c:f>
              <c:strCache>
                <c:ptCount val="2"/>
                <c:pt idx="0">
                  <c:v>Por acreedor</c:v>
                </c:pt>
                <c:pt idx="1">
                  <c:v>Por moneda</c:v>
                </c:pt>
              </c:strCache>
            </c:strRef>
          </c:cat>
          <c:val>
            <c:numRef>
              <c:f>Descomposición!$E$23</c:f>
              <c:numCache>
                <c:formatCode>_(* #,##0.00_);_(* \(#,##0.00\);_(* "-"??_);_(@_)</c:formatCode>
                <c:ptCount val="1"/>
                <c:pt idx="0">
                  <c:v>126.83827120900014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4D3-8DEC-A99DAA56B58B}"/>
            </c:ext>
          </c:extLst>
        </c:ser>
        <c:ser>
          <c:idx val="2"/>
          <c:order val="2"/>
          <c:tx>
            <c:strRef>
              <c:f>Descomposición!$A$24</c:f>
              <c:strCache>
                <c:ptCount val="1"/>
                <c:pt idx="0">
                  <c:v>Externa-Acreedores Privados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(Descomposición!$A$21,Descomposición!$A$28)</c:f>
              <c:strCache>
                <c:ptCount val="2"/>
                <c:pt idx="0">
                  <c:v>Por acreedor</c:v>
                </c:pt>
                <c:pt idx="1">
                  <c:v>Por moneda</c:v>
                </c:pt>
              </c:strCache>
            </c:strRef>
          </c:cat>
          <c:val>
            <c:numRef>
              <c:f>Descomposición!$E$24</c:f>
              <c:numCache>
                <c:formatCode>_(* #,##0.00_);_(* \(#,##0.00\);_(* "-"??_);_(@_)</c:formatCode>
                <c:ptCount val="1"/>
                <c:pt idx="0">
                  <c:v>5648.5855691080033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3-44D3-8DEC-A99DAA56B58B}"/>
            </c:ext>
          </c:extLst>
        </c:ser>
        <c:ser>
          <c:idx val="3"/>
          <c:order val="3"/>
          <c:tx>
            <c:strRef>
              <c:f>Descomposición!$A$25</c:f>
              <c:strCache>
                <c:ptCount val="1"/>
                <c:pt idx="0">
                  <c:v>Interna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(Descomposición!$A$21,Descomposición!$A$28)</c:f>
              <c:strCache>
                <c:ptCount val="2"/>
                <c:pt idx="0">
                  <c:v>Por acreedor</c:v>
                </c:pt>
                <c:pt idx="1">
                  <c:v>Por moneda</c:v>
                </c:pt>
              </c:strCache>
            </c:strRef>
          </c:cat>
          <c:val>
            <c:numRef>
              <c:f>Descomposición!$E$25</c:f>
              <c:numCache>
                <c:formatCode>_(* #,##0.00_);_(* \(#,##0.00\);_(* "-"??_);_(@_)</c:formatCode>
                <c:ptCount val="1"/>
                <c:pt idx="0">
                  <c:v>1257.2185068888175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3-44D3-8DEC-A99DAA56B58B}"/>
            </c:ext>
          </c:extLst>
        </c:ser>
        <c:ser>
          <c:idx val="4"/>
          <c:order val="4"/>
          <c:tx>
            <c:strRef>
              <c:f>Descomposición!$A$29</c:f>
              <c:strCache>
                <c:ptCount val="1"/>
                <c:pt idx="0">
                  <c:v>Nacional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(Descomposición!$A$21,Descomposición!$A$28)</c:f>
              <c:strCache>
                <c:ptCount val="2"/>
                <c:pt idx="0">
                  <c:v>Por acreedor</c:v>
                </c:pt>
                <c:pt idx="1">
                  <c:v>Por moneda</c:v>
                </c:pt>
              </c:strCache>
            </c:strRef>
          </c:cat>
          <c:val>
            <c:numRef>
              <c:f>Descomposición!$D$29:$E$29</c:f>
              <c:numCache>
                <c:formatCode>_(* #,##0.00_);_(* \(#,##0.00\);_(* "-"??_);_(@_)</c:formatCode>
                <c:ptCount val="2"/>
                <c:pt idx="1">
                  <c:v>680.17050213279981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3-44D3-8DEC-A99DAA56B58B}"/>
            </c:ext>
          </c:extLst>
        </c:ser>
        <c:ser>
          <c:idx val="5"/>
          <c:order val="5"/>
          <c:tx>
            <c:strRef>
              <c:f>Descomposición!$A$30</c:f>
              <c:strCache>
                <c:ptCount val="1"/>
                <c:pt idx="0">
                  <c:v>Extranjera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(Descomposición!$A$21,Descomposición!$A$28)</c:f>
              <c:strCache>
                <c:ptCount val="2"/>
                <c:pt idx="0">
                  <c:v>Por acreedor</c:v>
                </c:pt>
                <c:pt idx="1">
                  <c:v>Por moneda</c:v>
                </c:pt>
              </c:strCache>
            </c:strRef>
          </c:cat>
          <c:val>
            <c:numRef>
              <c:f>Descomposición!$D$30:$E$30</c:f>
              <c:numCache>
                <c:formatCode>_(* #,##0.00_);_(* \(#,##0.00\);_(* "-"??_);_(@_)</c:formatCode>
                <c:ptCount val="2"/>
                <c:pt idx="1">
                  <c:v>7896.4191280790328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3-44D3-8DEC-A99DAA56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380319"/>
        <c:axId val="1697358271"/>
      </c:barChart>
      <c:catAx>
        <c:axId val="169738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58271"/>
        <c:crosses val="autoZero"/>
        <c:auto val="1"/>
        <c:lblAlgn val="ctr"/>
        <c:lblOffset val="100"/>
        <c:noMultiLvlLbl val="0"/>
      </c:catAx>
      <c:valAx>
        <c:axId val="16973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50695073544956E-2"/>
          <c:y val="0.87911047122107921"/>
          <c:w val="0.80773099629627443"/>
          <c:h val="9.9713815619831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s-DO" sz="1800" b="1" dirty="0"/>
              <a:t>Deuda pública consolidada</a:t>
            </a:r>
          </a:p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s-DO" sz="1800" b="1" dirty="0"/>
              <a:t>(% PIB)</a:t>
            </a:r>
            <a:endParaRPr lang="es-DO" sz="1600" b="0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6.0606106272418046E-2"/>
          <c:w val="1"/>
          <c:h val="0.75369751362241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GSPNF!$F$1</c:f>
              <c:strCache>
                <c:ptCount val="1"/>
                <c:pt idx="0">
                  <c:v>SPNF</c:v>
                </c:pt>
              </c:strCache>
            </c:strRef>
          </c:tx>
          <c:spPr>
            <a:solidFill>
              <a:srgbClr val="53A385"/>
            </a:solidFill>
            <a:ln w="15875"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Anual!$A$3:$A$23</c15:sqref>
                  </c15:fullRef>
                </c:ext>
              </c:extLst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GSPNF!$F$2:$F$22</c15:sqref>
                  </c15:fullRef>
                </c:ext>
              </c:extLst>
              <c:f>GSPNF!$F$10:$F$22</c:f>
              <c:numCache>
                <c:formatCode>_(* #,##0.0_);_(* \(#,##0.0\);_(* "-"??_);_(@_)</c:formatCode>
                <c:ptCount val="13"/>
                <c:pt idx="0">
                  <c:v>19.079875794800721</c:v>
                </c:pt>
                <c:pt idx="1">
                  <c:v>22.550113501428193</c:v>
                </c:pt>
                <c:pt idx="2">
                  <c:v>23.278886397111936</c:v>
                </c:pt>
                <c:pt idx="3">
                  <c:v>24.782963828758245</c:v>
                </c:pt>
                <c:pt idx="4">
                  <c:v>28.565062012795746</c:v>
                </c:pt>
                <c:pt idx="5">
                  <c:v>31.961113299880118</c:v>
                </c:pt>
                <c:pt idx="6">
                  <c:v>30.870974134613437</c:v>
                </c:pt>
                <c:pt idx="7">
                  <c:v>29.817247987363782</c:v>
                </c:pt>
                <c:pt idx="8">
                  <c:v>31.571113178309563</c:v>
                </c:pt>
                <c:pt idx="9">
                  <c:v>33.320036804977654</c:v>
                </c:pt>
                <c:pt idx="10">
                  <c:v>34.423145929935885</c:v>
                </c:pt>
                <c:pt idx="11">
                  <c:v>37.59352907049189</c:v>
                </c:pt>
                <c:pt idx="12">
                  <c:v>53.586147150465571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0-497B-BEC2-051BA69321CE}"/>
            </c:ext>
          </c:extLst>
        </c:ser>
        <c:ser>
          <c:idx val="2"/>
          <c:order val="1"/>
          <c:tx>
            <c:strRef>
              <c:f>GSPNF!$G$1</c:f>
              <c:strCache>
                <c:ptCount val="1"/>
                <c:pt idx="0">
                  <c:v>BCRD</c:v>
                </c:pt>
              </c:strCache>
            </c:strRef>
          </c:tx>
          <c:spPr>
            <a:solidFill>
              <a:srgbClr val="C1DAC0"/>
            </a:solidFill>
            <a:ln w="158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rIns="91440" anchor="ctr" anchorCtr="1"/>
              <a:lstStyle/>
              <a:p>
                <a:pPr>
                  <a:defRPr sz="1400" b="0" i="0" u="none" strike="noStrike" kern="1200" baseline="0">
                    <a:solidFill>
                      <a:srgbClr val="284E4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Anual!$A$3:$A$23</c15:sqref>
                  </c15:fullRef>
                </c:ext>
              </c:extLst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GSPNF!$G$2:$G$22</c15:sqref>
                  </c15:fullRef>
                </c:ext>
              </c:extLst>
              <c:f>GSPNF!$G$10:$G$22</c:f>
              <c:numCache>
                <c:formatCode>_(* #,##0.0_);_(* \(#,##0.0\);_(* "-"??_);_(@_)</c:formatCode>
                <c:ptCount val="13"/>
                <c:pt idx="0">
                  <c:v>12.946206693018475</c:v>
                </c:pt>
                <c:pt idx="1">
                  <c:v>13.816697353399688</c:v>
                </c:pt>
                <c:pt idx="2">
                  <c:v>13.287163561118884</c:v>
                </c:pt>
                <c:pt idx="3">
                  <c:v>13.065959557871237</c:v>
                </c:pt>
                <c:pt idx="4">
                  <c:v>12.700869772322987</c:v>
                </c:pt>
                <c:pt idx="5">
                  <c:v>13.105118241584671</c:v>
                </c:pt>
                <c:pt idx="6">
                  <c:v>12.737449483634409</c:v>
                </c:pt>
                <c:pt idx="7">
                  <c:v>13.195122156317792</c:v>
                </c:pt>
                <c:pt idx="8">
                  <c:v>13.443208372090334</c:v>
                </c:pt>
                <c:pt idx="9">
                  <c:v>13.184458724505452</c:v>
                </c:pt>
                <c:pt idx="10">
                  <c:v>13.480732582499838</c:v>
                </c:pt>
                <c:pt idx="11">
                  <c:v>12.914413708625879</c:v>
                </c:pt>
                <c:pt idx="12">
                  <c:v>15.511843187728811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0-497B-BEC2-051BA69321CE}"/>
            </c:ext>
          </c:extLst>
        </c:ser>
        <c:ser>
          <c:idx val="1"/>
          <c:order val="2"/>
          <c:tx>
            <c:strRef>
              <c:f>GSPNF!$H$1</c:f>
              <c:strCache>
                <c:ptCount val="1"/>
                <c:pt idx="0">
                  <c:v>Deuda Pública Consolidada (% PIB)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50" b="1" i="0" u="none" strike="noStrike" kern="1200" baseline="0">
                    <a:solidFill>
                      <a:srgbClr val="284E4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Anual!$A$3:$A$23</c15:sqref>
                  </c15:fullRef>
                </c:ext>
              </c:extLst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GSPNF!$H$2:$H$22</c15:sqref>
                  </c15:fullRef>
                </c:ext>
              </c:extLst>
              <c:f>GSPNF!$H$10:$H$22</c:f>
              <c:numCache>
                <c:formatCode>_(* #,##0.0_);_(* \(#,##0.0\);_(* "-"??_);_(@_)</c:formatCode>
                <c:ptCount val="13"/>
                <c:pt idx="0">
                  <c:v>32.026082487819195</c:v>
                </c:pt>
                <c:pt idx="1">
                  <c:v>36.366810854827882</c:v>
                </c:pt>
                <c:pt idx="2">
                  <c:v>36.56604995823082</c:v>
                </c:pt>
                <c:pt idx="3">
                  <c:v>37.84892338662948</c:v>
                </c:pt>
                <c:pt idx="4">
                  <c:v>41.265931785118731</c:v>
                </c:pt>
                <c:pt idx="5">
                  <c:v>45.066231541464788</c:v>
                </c:pt>
                <c:pt idx="6">
                  <c:v>43.608423618247848</c:v>
                </c:pt>
                <c:pt idx="7">
                  <c:v>43.012370143681572</c:v>
                </c:pt>
                <c:pt idx="8">
                  <c:v>45.014321550399899</c:v>
                </c:pt>
                <c:pt idx="9">
                  <c:v>46.504495529483108</c:v>
                </c:pt>
                <c:pt idx="10">
                  <c:v>47.903878512435725</c:v>
                </c:pt>
                <c:pt idx="11">
                  <c:v>50.507942779117769</c:v>
                </c:pt>
                <c:pt idx="12">
                  <c:v>69.097990338194379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0-497B-BEC2-051BA693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3272664"/>
        <c:axId val="223267568"/>
      </c:barChart>
      <c:catAx>
        <c:axId val="22327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23267568"/>
        <c:crosses val="autoZero"/>
        <c:auto val="1"/>
        <c:lblAlgn val="ctr"/>
        <c:lblOffset val="100"/>
        <c:noMultiLvlLbl val="0"/>
      </c:catAx>
      <c:valAx>
        <c:axId val="223267568"/>
        <c:scaling>
          <c:orientation val="minMax"/>
          <c:max val="75"/>
        </c:scaling>
        <c:delete val="1"/>
        <c:axPos val="l"/>
        <c:numFmt formatCode="_(* #,##0.0_);_(* \(#,##0.0\);_(* &quot;-&quot;??_);_(@_)" sourceLinked="1"/>
        <c:majorTickMark val="out"/>
        <c:minorTickMark val="none"/>
        <c:tickLblPos val="nextTo"/>
        <c:crossAx val="2232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1140051577165034"/>
          <c:y val="0.87469821937613745"/>
          <c:w val="0.37719896845669931"/>
          <c:h val="5.467079379033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Deuda pública y endeudamiento</a:t>
            </a:r>
            <a:r>
              <a:rPr lang="es-DO" baseline="0"/>
              <a:t> neto</a:t>
            </a:r>
            <a:r>
              <a:rPr lang="es-DO"/>
              <a:t> del SPNF </a:t>
            </a:r>
          </a:p>
          <a:p>
            <a:pPr>
              <a:defRPr/>
            </a:pPr>
            <a:r>
              <a:rPr lang="es-DO" b="0"/>
              <a:t>(%  PIB)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533447834491819E-2"/>
          <c:y val="6.2389077400862997E-2"/>
          <c:w val="0.90364422078283746"/>
          <c:h val="0.79334497946808935"/>
        </c:manualLayout>
      </c:layout>
      <c:barChart>
        <c:barDir val="col"/>
        <c:grouping val="clustered"/>
        <c:varyColors val="0"/>
        <c:ser>
          <c:idx val="0"/>
          <c:order val="0"/>
          <c:tx>
            <c:v>Deuda SPNF</c:v>
          </c:tx>
          <c:spPr>
            <a:solidFill>
              <a:srgbClr val="0070C0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Anual!$D$3:$D$23</c:f>
              <c:numCache>
                <c:formatCode>_(* #,##0.0_);_(* \(#,##0.0\);_(* "-"??_);_(@_)</c:formatCode>
                <c:ptCount val="21"/>
                <c:pt idx="0">
                  <c:v>13.454763302824713</c:v>
                </c:pt>
                <c:pt idx="1">
                  <c:v>15.666522716849688</c:v>
                </c:pt>
                <c:pt idx="2">
                  <c:v>17.084759205259108</c:v>
                </c:pt>
                <c:pt idx="3">
                  <c:v>27.555676703854026</c:v>
                </c:pt>
                <c:pt idx="4">
                  <c:v>28.39992457091174</c:v>
                </c:pt>
                <c:pt idx="5">
                  <c:v>18.99657471214822</c:v>
                </c:pt>
                <c:pt idx="6">
                  <c:v>19.461310044238981</c:v>
                </c:pt>
                <c:pt idx="7">
                  <c:v>17.141989982369481</c:v>
                </c:pt>
                <c:pt idx="8">
                  <c:v>23.270399789044671</c:v>
                </c:pt>
                <c:pt idx="9">
                  <c:v>27.433471167841027</c:v>
                </c:pt>
                <c:pt idx="10">
                  <c:v>27.497146272287544</c:v>
                </c:pt>
                <c:pt idx="11">
                  <c:v>28.572039766933887</c:v>
                </c:pt>
                <c:pt idx="12">
                  <c:v>32.043714703993345</c:v>
                </c:pt>
                <c:pt idx="13">
                  <c:v>36.99325622478343</c:v>
                </c:pt>
                <c:pt idx="14">
                  <c:v>35.401474819803511</c:v>
                </c:pt>
                <c:pt idx="15">
                  <c:v>33.903205111979915</c:v>
                </c:pt>
                <c:pt idx="16">
                  <c:v>35.319508699574179</c:v>
                </c:pt>
                <c:pt idx="17">
                  <c:v>36.918208285609126</c:v>
                </c:pt>
                <c:pt idx="18">
                  <c:v>37.595665770695</c:v>
                </c:pt>
                <c:pt idx="19">
                  <c:v>40.427469218857759</c:v>
                </c:pt>
                <c:pt idx="20">
                  <c:v>56.475528231409363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B-425D-9A49-29FE44F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206558720"/>
        <c:axId val="206560640"/>
      </c:barChart>
      <c:lineChart>
        <c:grouping val="standard"/>
        <c:varyColors val="0"/>
        <c:ser>
          <c:idx val="3"/>
          <c:order val="1"/>
          <c:tx>
            <c:v>Endeudamiento Neto SPNF (+Préstamo Neto/-Endeudamiento Neto)</c:v>
          </c:tx>
          <c:spPr>
            <a:ln>
              <a:solidFill>
                <a:srgbClr val="FF5050"/>
              </a:solidFill>
            </a:ln>
          </c:spPr>
          <c:marker>
            <c:symbol val="none"/>
          </c:marker>
          <c:cat>
            <c:numRef>
              <c:f>Anual!$A$3:$A$22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Anual!$I$3:$I$23</c:f>
              <c:numCache>
                <c:formatCode>_(* #,##0.00_);_(* \(#,##0.00\);_(* "-"??_);_(@_)</c:formatCode>
                <c:ptCount val="21"/>
                <c:pt idx="0">
                  <c:v>-1.1509407640719065</c:v>
                </c:pt>
                <c:pt idx="1">
                  <c:v>-1.7953218291587241</c:v>
                </c:pt>
                <c:pt idx="2">
                  <c:v>-1.6797570946839813</c:v>
                </c:pt>
                <c:pt idx="3">
                  <c:v>-4.5021888920789355</c:v>
                </c:pt>
                <c:pt idx="4">
                  <c:v>-3.0785931195940122</c:v>
                </c:pt>
                <c:pt idx="5">
                  <c:v>-0.26254869220808019</c:v>
                </c:pt>
                <c:pt idx="6">
                  <c:v>0.12273061359966728</c:v>
                </c:pt>
                <c:pt idx="7">
                  <c:v>0.3352608109310608</c:v>
                </c:pt>
                <c:pt idx="8">
                  <c:v>-3.7974900552469451</c:v>
                </c:pt>
                <c:pt idx="9">
                  <c:v>-2.7462177952196254</c:v>
                </c:pt>
                <c:pt idx="10">
                  <c:v>-3.0106488444994479</c:v>
                </c:pt>
                <c:pt idx="11">
                  <c:v>-3.2839594789683395</c:v>
                </c:pt>
                <c:pt idx="12">
                  <c:v>-6.4085665990648062</c:v>
                </c:pt>
                <c:pt idx="13">
                  <c:v>-3.919665924956659</c:v>
                </c:pt>
                <c:pt idx="14">
                  <c:v>-3.4889160585256858</c:v>
                </c:pt>
                <c:pt idx="15">
                  <c:v>-0.25900878623019397</c:v>
                </c:pt>
                <c:pt idx="16">
                  <c:v>-2.6819841560906648</c:v>
                </c:pt>
                <c:pt idx="17">
                  <c:v>-2.7831276544242294</c:v>
                </c:pt>
                <c:pt idx="18">
                  <c:v>-2.2770608657879032</c:v>
                </c:pt>
                <c:pt idx="19">
                  <c:v>-2.3200110083950896</c:v>
                </c:pt>
                <c:pt idx="20">
                  <c:v>-7.5872523336652939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2B-425D-9A49-29FE44F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6480"/>
        <c:axId val="207234560"/>
      </c:lineChart>
      <c:catAx>
        <c:axId val="2065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900" b="0" i="1"/>
                </a:pPr>
                <a:r>
                  <a:rPr lang="en-US" sz="900" b="0" i="0"/>
                  <a:t>Fuentes: BCRD y Crédito Público</a:t>
                </a:r>
              </a:p>
            </c:rich>
          </c:tx>
          <c:layout>
            <c:manualLayout>
              <c:xMode val="edge"/>
              <c:yMode val="edge"/>
              <c:x val="2.1412004115213597E-2"/>
              <c:y val="0.95105987290538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560640"/>
        <c:crosses val="autoZero"/>
        <c:auto val="1"/>
        <c:lblAlgn val="ctr"/>
        <c:lblOffset val="100"/>
        <c:noMultiLvlLbl val="0"/>
      </c:catAx>
      <c:valAx>
        <c:axId val="206560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Deuda SPNF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58720"/>
        <c:crosses val="autoZero"/>
        <c:crossBetween val="between"/>
      </c:valAx>
      <c:valAx>
        <c:axId val="207234560"/>
        <c:scaling>
          <c:orientation val="minMax"/>
          <c:max val="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Endeudamiento neto SPNF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7236480"/>
        <c:crosses val="max"/>
        <c:crossBetween val="between"/>
      </c:valAx>
      <c:catAx>
        <c:axId val="20723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34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489503248805092"/>
          <c:y val="0.94427769540321604"/>
          <c:w val="0.64428474041952855"/>
          <c:h val="5.5722304596783997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Deuda SPNF por origen </a:t>
            </a:r>
          </a:p>
          <a:p>
            <a:pPr>
              <a:defRPr/>
            </a:pPr>
            <a:r>
              <a:rPr lang="es-DO" b="0"/>
              <a:t>(%</a:t>
            </a:r>
            <a:r>
              <a:rPr lang="es-DO" b="0" baseline="0"/>
              <a:t> </a:t>
            </a:r>
            <a:r>
              <a:rPr lang="es-DO" b="0"/>
              <a:t>del total)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1.8588194061810469E-2"/>
          <c:y val="6.2389077400862997E-2"/>
          <c:w val="0.9628236118763791"/>
          <c:h val="0.82214380214668292"/>
        </c:manualLayout>
      </c:layout>
      <c:barChart>
        <c:barDir val="col"/>
        <c:grouping val="stacked"/>
        <c:varyColors val="0"/>
        <c:ser>
          <c:idx val="1"/>
          <c:order val="0"/>
          <c:tx>
            <c:v>Deuda Interna</c:v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Anual!$L$11:$L$23</c:f>
              <c:numCache>
                <c:formatCode>_(* #,##0.0_);_(* \(#,##0.0\);_(* "-"??_);_(@_)</c:formatCode>
                <c:ptCount val="13"/>
                <c:pt idx="0">
                  <c:v>35.656716830886218</c:v>
                </c:pt>
                <c:pt idx="1">
                  <c:v>38.021086869613775</c:v>
                </c:pt>
                <c:pt idx="2">
                  <c:v>32.872874005942379</c:v>
                </c:pt>
                <c:pt idx="3">
                  <c:v>29.937321757255837</c:v>
                </c:pt>
                <c:pt idx="4">
                  <c:v>33.867426313036574</c:v>
                </c:pt>
                <c:pt idx="5">
                  <c:v>34.66784834857485</c:v>
                </c:pt>
                <c:pt idx="6">
                  <c:v>30.968613365113288</c:v>
                </c:pt>
                <c:pt idx="7">
                  <c:v>32.738544061611094</c:v>
                </c:pt>
                <c:pt idx="8">
                  <c:v>34.34786873926037</c:v>
                </c:pt>
                <c:pt idx="9">
                  <c:v>36.293273098040395</c:v>
                </c:pt>
                <c:pt idx="10">
                  <c:v>32.942196895899684</c:v>
                </c:pt>
                <c:pt idx="11">
                  <c:v>34.942859150477638</c:v>
                </c:pt>
                <c:pt idx="12">
                  <c:v>31.035118077304279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9-4C3B-9C83-3F4141D6F9D6}"/>
            </c:ext>
          </c:extLst>
        </c:ser>
        <c:ser>
          <c:idx val="2"/>
          <c:order val="1"/>
          <c:tx>
            <c:v>Deuda Externa</c:v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Anual!$A$11:$A$23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Anual!$M$11:$M$23</c:f>
              <c:numCache>
                <c:formatCode>_(* #,##0.0_);_(* \(#,##0.0\);_(* "-"??_);_(@_)</c:formatCode>
                <c:ptCount val="13"/>
                <c:pt idx="0">
                  <c:v>64.343283169113789</c:v>
                </c:pt>
                <c:pt idx="1">
                  <c:v>61.978913130386225</c:v>
                </c:pt>
                <c:pt idx="2">
                  <c:v>67.127125994057607</c:v>
                </c:pt>
                <c:pt idx="3">
                  <c:v>70.06267824274417</c:v>
                </c:pt>
                <c:pt idx="4">
                  <c:v>66.13257368696344</c:v>
                </c:pt>
                <c:pt idx="5">
                  <c:v>65.332151651425136</c:v>
                </c:pt>
                <c:pt idx="6">
                  <c:v>69.031386634886715</c:v>
                </c:pt>
                <c:pt idx="7">
                  <c:v>67.26145593838892</c:v>
                </c:pt>
                <c:pt idx="8">
                  <c:v>65.652131260739637</c:v>
                </c:pt>
                <c:pt idx="9">
                  <c:v>63.706726901959613</c:v>
                </c:pt>
                <c:pt idx="10">
                  <c:v>67.057803104100316</c:v>
                </c:pt>
                <c:pt idx="11">
                  <c:v>65.057140849522327</c:v>
                </c:pt>
                <c:pt idx="12">
                  <c:v>68.96488192269571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9-4C3B-9C83-3F4141D6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07271040"/>
        <c:axId val="207272960"/>
      </c:barChart>
      <c:catAx>
        <c:axId val="2072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1"/>
                </a:pPr>
                <a:r>
                  <a:rPr lang="en-US" sz="900" b="0" i="0"/>
                  <a:t>Fuente: Crédito Público</a:t>
                </a:r>
              </a:p>
            </c:rich>
          </c:tx>
          <c:layout>
            <c:manualLayout>
              <c:xMode val="edge"/>
              <c:yMode val="edge"/>
              <c:x val="1.8725815367606403E-2"/>
              <c:y val="0.9515782253408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72960"/>
        <c:crosses val="autoZero"/>
        <c:auto val="1"/>
        <c:lblAlgn val="ctr"/>
        <c:lblOffset val="100"/>
        <c:noMultiLvlLbl val="0"/>
      </c:catAx>
      <c:valAx>
        <c:axId val="207272960"/>
        <c:scaling>
          <c:orientation val="minMax"/>
        </c:scaling>
        <c:delete val="1"/>
        <c:axPos val="l"/>
        <c:numFmt formatCode="_(* #,##0.0_);_(* \(#,##0.0\);_(* &quot;-&quot;??_);_(@_)" sourceLinked="1"/>
        <c:majorTickMark val="out"/>
        <c:minorTickMark val="none"/>
        <c:tickLblPos val="nextTo"/>
        <c:crossAx val="207271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542812330879867"/>
          <c:y val="0.94617165909816825"/>
          <c:w val="0.35106114376659348"/>
          <c:h val="5.3828272329072939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Deuda pública interna por acreedor</a:t>
            </a:r>
          </a:p>
          <a:p>
            <a:pPr>
              <a:defRPr/>
            </a:pPr>
            <a:r>
              <a:rPr lang="en-US" b="0"/>
              <a:t>(% del total)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396576115872564E-2"/>
          <c:y val="3.1494079113126731E-2"/>
          <c:w val="0.96043034338361066"/>
          <c:h val="0.7442541457509221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Anual!$O$2</c:f>
              <c:strCache>
                <c:ptCount val="1"/>
                <c:pt idx="0">
                  <c:v>Bonos de Subastas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(Anual!$A$16,Anual!$A$19,Anual!$A$23)</c:f>
              <c:numCache>
                <c:formatCode>General</c:formatCode>
                <c:ptCount val="3"/>
                <c:pt idx="0">
                  <c:v>2013</c:v>
                </c:pt>
                <c:pt idx="1">
                  <c:v>2016</c:v>
                </c:pt>
                <c:pt idx="2">
                  <c:v>2020</c:v>
                </c:pt>
              </c:numCache>
            </c:numRef>
          </c:cat>
          <c:val>
            <c:numRef>
              <c:f>(Anual!$O$16,Anual!$O$19,Anual!$O$23)</c:f>
              <c:numCache>
                <c:formatCode>_(* #,##0.00_);_(* \(#,##0.00\);_(* "-"??_);_(@_)</c:formatCode>
                <c:ptCount val="3"/>
                <c:pt idx="0">
                  <c:v>27.616428810646116</c:v>
                </c:pt>
                <c:pt idx="1">
                  <c:v>55.257215404299423</c:v>
                </c:pt>
                <c:pt idx="2">
                  <c:v>71.38600832817869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4-4A6C-BEE0-0627FDD1F126}"/>
            </c:ext>
          </c:extLst>
        </c:ser>
        <c:ser>
          <c:idx val="2"/>
          <c:order val="1"/>
          <c:tx>
            <c:strRef>
              <c:f>Anual!$N$2</c:f>
              <c:strCache>
                <c:ptCount val="1"/>
                <c:pt idx="0">
                  <c:v>Bonos de Recap BCRD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(Anual!$A$16,Anual!$A$19,Anual!$A$23)</c:f>
              <c:numCache>
                <c:formatCode>General</c:formatCode>
                <c:ptCount val="3"/>
                <c:pt idx="0">
                  <c:v>2013</c:v>
                </c:pt>
                <c:pt idx="1">
                  <c:v>2016</c:v>
                </c:pt>
                <c:pt idx="2">
                  <c:v>2020</c:v>
                </c:pt>
              </c:numCache>
            </c:numRef>
          </c:cat>
          <c:val>
            <c:numRef>
              <c:f>(Anual!$N$16,Anual!$N$19,Anual!$N$23)</c:f>
              <c:numCache>
                <c:formatCode>_(* #,##0.00_);_(* \(#,##0.00\);_(* "-"??_);_(@_)</c:formatCode>
                <c:ptCount val="3"/>
                <c:pt idx="0">
                  <c:v>38.559584287614577</c:v>
                </c:pt>
                <c:pt idx="1">
                  <c:v>30.896842597787877</c:v>
                </c:pt>
                <c:pt idx="2">
                  <c:v>16.485051868065334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4-4A6C-BEE0-0627FDD1F126}"/>
            </c:ext>
          </c:extLst>
        </c:ser>
        <c:ser>
          <c:idx val="5"/>
          <c:order val="2"/>
          <c:tx>
            <c:strRef>
              <c:f>Anual!$S$2</c:f>
              <c:strCache>
                <c:ptCount val="1"/>
                <c:pt idx="0">
                  <c:v>Banca Comercial u Otras Instituciones Financieras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(Anual!$A$16,Anual!$A$19,Anual!$A$23)</c:f>
              <c:numCache>
                <c:formatCode>General</c:formatCode>
                <c:ptCount val="3"/>
                <c:pt idx="0">
                  <c:v>2013</c:v>
                </c:pt>
                <c:pt idx="1">
                  <c:v>2016</c:v>
                </c:pt>
                <c:pt idx="2">
                  <c:v>2020</c:v>
                </c:pt>
              </c:numCache>
            </c:numRef>
          </c:cat>
          <c:val>
            <c:numRef>
              <c:f>(Anual!$S$16,Anual!$S$19,Anual!$S$23)</c:f>
              <c:numCache>
                <c:formatCode>_(* #,##0.00_);_(* \(#,##0.00\);_(* "-"??_);_(@_)</c:formatCode>
                <c:ptCount val="3"/>
                <c:pt idx="0">
                  <c:v>23.279148459855719</c:v>
                </c:pt>
                <c:pt idx="1">
                  <c:v>8.236358718986919</c:v>
                </c:pt>
                <c:pt idx="2">
                  <c:v>4.9708580832477312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4-4A6C-BEE0-0627FDD1F126}"/>
            </c:ext>
          </c:extLst>
        </c:ser>
        <c:ser>
          <c:idx val="4"/>
          <c:order val="3"/>
          <c:tx>
            <c:strRef>
              <c:f>Anual!$P$2</c:f>
              <c:strCache>
                <c:ptCount val="1"/>
                <c:pt idx="0">
                  <c:v>Bonos de CDEEE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(Anual!$A$16,Anual!$A$19,Anual!$A$23)</c:f>
              <c:numCache>
                <c:formatCode>General</c:formatCode>
                <c:ptCount val="3"/>
                <c:pt idx="0">
                  <c:v>2013</c:v>
                </c:pt>
                <c:pt idx="1">
                  <c:v>2016</c:v>
                </c:pt>
                <c:pt idx="2">
                  <c:v>2020</c:v>
                </c:pt>
              </c:numCache>
            </c:numRef>
          </c:cat>
          <c:val>
            <c:numRef>
              <c:f>(Anual!$P$16,Anual!$P$19,Anual!$P$23)</c:f>
              <c:numCache>
                <c:formatCode>_(* #,##0.00_);_(* \(#,##0.00\);_(* "-"??_);_(@_)</c:formatCode>
                <c:ptCount val="3"/>
                <c:pt idx="0">
                  <c:v>6.2156191857232628</c:v>
                </c:pt>
                <c:pt idx="1">
                  <c:v>5.4402489492143973</c:v>
                </c:pt>
                <c:pt idx="2">
                  <c:v>3.6188481903479506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4-4A6C-BEE0-0627FDD1F126}"/>
            </c:ext>
          </c:extLst>
        </c:ser>
        <c:ser>
          <c:idx val="3"/>
          <c:order val="4"/>
          <c:tx>
            <c:strRef>
              <c:f>Anual!$R$2</c:f>
              <c:strCache>
                <c:ptCount val="1"/>
                <c:pt idx="0">
                  <c:v>Bonos de Deuda Administrativa</c:v>
                </c:pt>
              </c:strCache>
            </c:strRef>
          </c:tx>
          <c:invertIfNegative val="0"/>
          <c:cat>
            <c:numRef>
              <c:f>(Anual!$A$16,Anual!$A$19,Anual!$A$23)</c:f>
              <c:numCache>
                <c:formatCode>General</c:formatCode>
                <c:ptCount val="3"/>
                <c:pt idx="0">
                  <c:v>2013</c:v>
                </c:pt>
                <c:pt idx="1">
                  <c:v>2016</c:v>
                </c:pt>
                <c:pt idx="2">
                  <c:v>2020</c:v>
                </c:pt>
              </c:numCache>
            </c:numRef>
          </c:cat>
          <c:val>
            <c:numRef>
              <c:f>(Anual!$R$16,Anual!$R$19,Anual!$R$23)</c:f>
              <c:numCache>
                <c:formatCode>_(* #,##0.00_);_(* \(#,##0.00\);_(* "-"??_);_(@_)</c:formatCode>
                <c:ptCount val="3"/>
                <c:pt idx="0">
                  <c:v>3.098491473402798</c:v>
                </c:pt>
                <c:pt idx="1">
                  <c:v>0.16933432971137652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4-4A6C-BEE0-0627FDD1F126}"/>
            </c:ext>
          </c:extLst>
        </c:ser>
        <c:ser>
          <c:idx val="0"/>
          <c:order val="5"/>
          <c:tx>
            <c:strRef>
              <c:f>Anual!$T$2</c:f>
              <c:strCache>
                <c:ptCount val="1"/>
                <c:pt idx="0">
                  <c:v>Bonos del Tesoro (Ley 121-05) </c:v>
                </c:pt>
              </c:strCache>
            </c:strRef>
          </c:tx>
          <c:invertIfNegative val="0"/>
          <c:cat>
            <c:numRef>
              <c:f>(Anual!$A$16,Anual!$A$19,Anual!$A$23)</c:f>
              <c:numCache>
                <c:formatCode>General</c:formatCode>
                <c:ptCount val="3"/>
                <c:pt idx="0">
                  <c:v>2013</c:v>
                </c:pt>
                <c:pt idx="1">
                  <c:v>2016</c:v>
                </c:pt>
                <c:pt idx="2">
                  <c:v>2020</c:v>
                </c:pt>
              </c:numCache>
            </c:numRef>
          </c:cat>
          <c:val>
            <c:numRef>
              <c:f>(Anual!$T$16,Anual!$T$19,Anual!$T$23)</c:f>
              <c:numCache>
                <c:formatCode>_(* #,##0.00_);_(* \(#,##0.00\);_(* "-"??_);_(@_)</c:formatCode>
                <c:ptCount val="3"/>
                <c:pt idx="0">
                  <c:v>1.1142939745601164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94-4A6C-BEE0-0627FDD1F126}"/>
            </c:ext>
          </c:extLst>
        </c:ser>
        <c:ser>
          <c:idx val="6"/>
          <c:order val="6"/>
          <c:tx>
            <c:strRef>
              <c:f>Anual!$Q$2</c:f>
              <c:strCache>
                <c:ptCount val="1"/>
                <c:pt idx="0">
                  <c:v>Título canjeado</c:v>
                </c:pt>
              </c:strCache>
            </c:strRef>
          </c:tx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(Anual!$Q$16,Anual!$Q$19,Anual!$Q$23)</c:f>
              <c:numCache>
                <c:formatCode>_(* #,##0.00_);_(* \(#,##0.00\);_(* "-"??_);_(@_)</c:formatCode>
                <c:ptCount val="3"/>
                <c:pt idx="2">
                  <c:v>3.5392335301602964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2-4A0C-9266-FF5AC9C3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201130752"/>
        <c:axId val="201132672"/>
      </c:barChart>
      <c:catAx>
        <c:axId val="20113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/>
                  <a:t>Fuente: Crédito Público</a:t>
                </a:r>
              </a:p>
            </c:rich>
          </c:tx>
          <c:layout>
            <c:manualLayout>
              <c:xMode val="edge"/>
              <c:yMode val="edge"/>
              <c:x val="2.3656279588004207E-2"/>
              <c:y val="0.956661419306713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132672"/>
        <c:crosses val="autoZero"/>
        <c:auto val="1"/>
        <c:lblAlgn val="ctr"/>
        <c:lblOffset val="100"/>
        <c:noMultiLvlLbl val="0"/>
      </c:catAx>
      <c:valAx>
        <c:axId val="2011326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201130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8862380320673222E-3"/>
          <c:y val="0.81983966677085118"/>
          <c:w val="0.98887069908145697"/>
          <c:h val="0.14171547322368475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Deuda pública externa por acreedor</a:t>
            </a:r>
          </a:p>
          <a:p>
            <a:pPr>
              <a:defRPr/>
            </a:pPr>
            <a:r>
              <a:rPr lang="en-US" b="0"/>
              <a:t>(% del total)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21340756365879"/>
          <c:y val="0.19253654116133515"/>
          <c:w val="0.72221917936433921"/>
          <c:h val="0.78257349316129754"/>
        </c:manualLayout>
      </c:layout>
      <c:radarChart>
        <c:radarStyle val="marker"/>
        <c:varyColors val="0"/>
        <c:ser>
          <c:idx val="0"/>
          <c:order val="0"/>
          <c:tx>
            <c:strRef>
              <c:f>Anual!$A$16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[27]Anual!$C$57:$C$59</c:f>
              <c:strCache>
                <c:ptCount val="3"/>
                <c:pt idx="0">
                  <c:v>Multilateral</c:v>
                </c:pt>
                <c:pt idx="1">
                  <c:v>Bilateral</c:v>
                </c:pt>
                <c:pt idx="2">
                  <c:v>Acreedores Privados</c:v>
                </c:pt>
              </c:strCache>
            </c:strRef>
          </c:cat>
          <c:val>
            <c:numRef>
              <c:f>Anual!$U$16:$W$16</c:f>
              <c:numCache>
                <c:formatCode>_(* #,##0.00_);_(* \(#,##0.00\);_(* "-"??_);_(@_)</c:formatCode>
                <c:ptCount val="3"/>
                <c:pt idx="0">
                  <c:v>30.073497759071994</c:v>
                </c:pt>
                <c:pt idx="1">
                  <c:v>41.159881706343953</c:v>
                </c:pt>
                <c:pt idx="2">
                  <c:v>28.76662053458406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7-4AA9-BA25-C8CF1D613C97}"/>
            </c:ext>
          </c:extLst>
        </c:ser>
        <c:ser>
          <c:idx val="1"/>
          <c:order val="1"/>
          <c:tx>
            <c:strRef>
              <c:f>Anual!$A$23</c:f>
              <c:strCache>
                <c:ptCount val="1"/>
                <c:pt idx="0">
                  <c:v>2020</c:v>
                </c:pt>
              </c:strCache>
            </c:strRef>
          </c:tx>
          <c:spPr>
            <a:ln>
              <a:solidFill>
                <a:srgbClr val="FF5050"/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[27]Anual!$C$57:$C$59</c:f>
              <c:strCache>
                <c:ptCount val="3"/>
                <c:pt idx="0">
                  <c:v>Multilateral</c:v>
                </c:pt>
                <c:pt idx="1">
                  <c:v>Bilateral</c:v>
                </c:pt>
                <c:pt idx="2">
                  <c:v>Acreedores Privados</c:v>
                </c:pt>
              </c:strCache>
            </c:strRef>
          </c:cat>
          <c:val>
            <c:numRef>
              <c:f>Anual!$U$23:$W$23</c:f>
              <c:numCache>
                <c:formatCode>_(* #,##0.00_);_(* \(#,##0.00\);_(* "-"??_);_(@_)</c:formatCode>
                <c:ptCount val="3"/>
                <c:pt idx="0">
                  <c:v>21.439098524148928</c:v>
                </c:pt>
                <c:pt idx="1">
                  <c:v>6.3371841216460307</c:v>
                </c:pt>
                <c:pt idx="2">
                  <c:v>72.223717354205036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7-4AA9-BA25-C8CF1D613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0376704"/>
        <c:axId val="200378240"/>
      </c:radarChart>
      <c:catAx>
        <c:axId val="20037670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crossAx val="200378240"/>
        <c:crosses val="autoZero"/>
        <c:auto val="1"/>
        <c:lblAlgn val="ctr"/>
        <c:lblOffset val="100"/>
        <c:noMultiLvlLbl val="0"/>
      </c:catAx>
      <c:valAx>
        <c:axId val="200378240"/>
        <c:scaling>
          <c:orientation val="minMax"/>
        </c:scaling>
        <c:delete val="0"/>
        <c:axPos val="l"/>
        <c:majorGridlines/>
        <c:numFmt formatCode="_(* #,##0_);_(* \(#,##0\);_(* &quot;-&quot;_);_(@_)" sourceLinked="0"/>
        <c:majorTickMark val="none"/>
        <c:minorTickMark val="none"/>
        <c:tickLblPos val="high"/>
        <c:spPr>
          <a:ln>
            <a:solidFill>
              <a:schemeClr val="lt1">
                <a:shade val="50000"/>
                <a:alpha val="60000"/>
              </a:schemeClr>
            </a:solidFill>
          </a:ln>
        </c:spPr>
        <c:crossAx val="200376704"/>
        <c:crosses val="autoZero"/>
        <c:crossBetween val="between"/>
        <c:majorUnit val="25"/>
      </c:valAx>
    </c:plotArea>
    <c:legend>
      <c:legendPos val="t"/>
      <c:layout>
        <c:manualLayout>
          <c:xMode val="edge"/>
          <c:yMode val="edge"/>
          <c:x val="0.34900258777730209"/>
          <c:y val="0.91790101371496724"/>
          <c:w val="0.27117722201326649"/>
          <c:h val="4.1691246554824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Deuda pública SPNF por</a:t>
            </a:r>
            <a:r>
              <a:rPr lang="en-US" baseline="0"/>
              <a:t> moneda</a:t>
            </a:r>
          </a:p>
          <a:p>
            <a:pPr>
              <a:defRPr/>
            </a:pPr>
            <a:r>
              <a:rPr lang="en-US" b="0" baseline="0"/>
              <a:t>(2020, % del total)</a:t>
            </a:r>
            <a:endParaRPr lang="en-US" b="0"/>
          </a:p>
        </c:rich>
      </c:tx>
      <c:layout>
        <c:manualLayout>
          <c:xMode val="edge"/>
          <c:yMode val="edge"/>
          <c:x val="0.2752668769226427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85845801609427"/>
          <c:y val="0.11341657893653102"/>
          <c:w val="0.74573020565883752"/>
          <c:h val="0.76420027999318341"/>
        </c:manualLayout>
      </c:layout>
      <c:pieChart>
        <c:varyColors val="1"/>
        <c:ser>
          <c:idx val="1"/>
          <c:order val="0"/>
          <c:spPr>
            <a:solidFill>
              <a:srgbClr val="FF5050"/>
            </a:solidFill>
          </c:spPr>
          <c:dPt>
            <c:idx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62A2-4762-A9FB-E5F8649DD18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62A2-4762-A9FB-E5F8649DD18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62A2-4762-A9FB-E5F8649DD18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62A2-4762-A9FB-E5F8649DD18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A2-4762-A9FB-E5F8649DD18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A2-4762-A9FB-E5F8649DD1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[27]Trimestral!$AS$65:$AS$66</c:f>
              <c:strCache>
                <c:ptCount val="2"/>
                <c:pt idx="0">
                  <c:v>Moneda Nacional</c:v>
                </c:pt>
                <c:pt idx="1">
                  <c:v>Moneda Extranjera</c:v>
                </c:pt>
              </c:strCache>
            </c:strRef>
          </c:cat>
          <c:val>
            <c:numRef>
              <c:f>Anual!$Z$23:$AA$23</c:f>
              <c:numCache>
                <c:formatCode>_(* #,##0.0_);_(* \(#,##0.0\);_(* "-"??_);_(@_)</c:formatCode>
                <c:ptCount val="2"/>
                <c:pt idx="0">
                  <c:v>28.028513254574161</c:v>
                </c:pt>
                <c:pt idx="1">
                  <c:v>71.971486745425835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2-4762-A9FB-E5F8649D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0349299884511993"/>
          <c:y val="0.91559078120686022"/>
          <c:w val="0.58784639486461254"/>
          <c:h val="4.0333033985293185E-2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Composición de la</a:t>
            </a:r>
            <a:r>
              <a:rPr lang="en-US" baseline="0"/>
              <a:t> deuda SPNF </a:t>
            </a:r>
            <a:r>
              <a:rPr lang="en-US"/>
              <a:t>por tasas </a:t>
            </a:r>
          </a:p>
          <a:p>
            <a:pPr>
              <a:defRPr/>
            </a:pPr>
            <a:r>
              <a:rPr lang="en-US" b="0"/>
              <a:t>(% del total)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5378368401624215E-2"/>
          <c:y val="7.1900982615268325E-2"/>
          <c:w val="0.94924326319675156"/>
          <c:h val="0.79517094093397045"/>
        </c:manualLayout>
      </c:layout>
      <c:barChart>
        <c:barDir val="col"/>
        <c:grouping val="stacked"/>
        <c:varyColors val="0"/>
        <c:ser>
          <c:idx val="0"/>
          <c:order val="0"/>
          <c:tx>
            <c:v>Tasa Fija</c:v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Anual!$A$16:$A$23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Anual!$AB$16:$AB$23</c:f>
              <c:numCache>
                <c:formatCode>_(* #,##0.00_);_(* \(#,##0.00\);_(* "-"??_);_(@_)</c:formatCode>
                <c:ptCount val="8"/>
                <c:pt idx="0">
                  <c:v>73.960089835473568</c:v>
                </c:pt>
                <c:pt idx="1">
                  <c:v>79.658878839173397</c:v>
                </c:pt>
                <c:pt idx="2">
                  <c:v>79.694754731802163</c:v>
                </c:pt>
                <c:pt idx="3">
                  <c:v>80.674778315496226</c:v>
                </c:pt>
                <c:pt idx="4">
                  <c:v>85.885751708835926</c:v>
                </c:pt>
                <c:pt idx="5">
                  <c:v>87.09588686703411</c:v>
                </c:pt>
                <c:pt idx="6">
                  <c:v>86.56725575474718</c:v>
                </c:pt>
                <c:pt idx="7">
                  <c:v>86.746328998539951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018-9799-A6A4FF3BBADF}"/>
            </c:ext>
          </c:extLst>
        </c:ser>
        <c:ser>
          <c:idx val="1"/>
          <c:order val="1"/>
          <c:tx>
            <c:v>Tasa Variable</c:v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Anual!$A$16:$A$23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Anual!$AC$16:$AC$23</c:f>
              <c:numCache>
                <c:formatCode>_(* #,##0.00_);_(* \(#,##0.00\);_(* "-"??_);_(@_)</c:formatCode>
                <c:ptCount val="8"/>
                <c:pt idx="0">
                  <c:v>25.480701958465552</c:v>
                </c:pt>
                <c:pt idx="1">
                  <c:v>19.825402671379983</c:v>
                </c:pt>
                <c:pt idx="2">
                  <c:v>20.168679701347077</c:v>
                </c:pt>
                <c:pt idx="3">
                  <c:v>18.687945860936672</c:v>
                </c:pt>
                <c:pt idx="4">
                  <c:v>13.964501762573732</c:v>
                </c:pt>
                <c:pt idx="5">
                  <c:v>12.824703725464905</c:v>
                </c:pt>
                <c:pt idx="6">
                  <c:v>13.356919652758394</c:v>
                </c:pt>
                <c:pt idx="7">
                  <c:v>13.197199430704801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2-4018-9799-A6A4FF3B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01163520"/>
        <c:axId val="201165440"/>
      </c:barChart>
      <c:catAx>
        <c:axId val="2011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/>
                  <a:t>Fuente: Crédito</a:t>
                </a:r>
                <a:r>
                  <a:rPr lang="en-US" sz="900" b="0" i="0" baseline="0"/>
                  <a:t> Público</a:t>
                </a:r>
                <a:endParaRPr lang="en-US" sz="900" b="0" i="0"/>
              </a:p>
            </c:rich>
          </c:tx>
          <c:layout>
            <c:manualLayout>
              <c:xMode val="edge"/>
              <c:yMode val="edge"/>
              <c:x val="2.1323642684199357E-2"/>
              <c:y val="0.946714993959088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165440"/>
        <c:crosses val="autoZero"/>
        <c:auto val="1"/>
        <c:lblAlgn val="ctr"/>
        <c:lblOffset val="100"/>
        <c:noMultiLvlLbl val="0"/>
      </c:catAx>
      <c:valAx>
        <c:axId val="2011654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201163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04243800920237"/>
          <c:y val="0.93235369388350264"/>
          <c:w val="0.41576507151722314"/>
          <c:h val="5.5048674471246652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Intereses de la deuda SPNF</a:t>
            </a:r>
          </a:p>
          <a:p>
            <a:pPr>
              <a:defRPr/>
            </a:pPr>
            <a:r>
              <a:rPr lang="es-DO" b="0"/>
              <a:t>(% impuestos)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3908676727478907E-2"/>
          <c:y val="0.17354173214337007"/>
          <c:w val="0.9010828507547668"/>
          <c:h val="0.68327074195090709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dLbls>
            <c:dLbl>
              <c:idx val="19"/>
              <c:layout>
                <c:manualLayout>
                  <c:x val="-5.7055219010988402E-2"/>
                  <c:y val="4.24416606412189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09-4308-AA7E-D19F35EE34EA}"/>
                </c:ext>
              </c:extLst>
            </c:dLbl>
            <c:dLbl>
              <c:idx val="20"/>
              <c:layout>
                <c:manualLayout>
                  <c:x val="-5.688876338520948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B8-4E07-94ED-32BAFD800B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Anual!$A$3:$A$23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Anual!$G$3:$G$23</c:f>
              <c:numCache>
                <c:formatCode>_(* #,##0.0_);_(* \(#,##0.0\);_(* "-"??_);_(@_)</c:formatCode>
                <c:ptCount val="21"/>
                <c:pt idx="0">
                  <c:v>6.2715349074523665</c:v>
                </c:pt>
                <c:pt idx="1">
                  <c:v>5.8818439705734109</c:v>
                </c:pt>
                <c:pt idx="2">
                  <c:v>8.4295350027762943</c:v>
                </c:pt>
                <c:pt idx="3">
                  <c:v>13.882385125573379</c:v>
                </c:pt>
                <c:pt idx="4">
                  <c:v>14.310784027221885</c:v>
                </c:pt>
                <c:pt idx="5">
                  <c:v>9.210450193287679</c:v>
                </c:pt>
                <c:pt idx="6">
                  <c:v>9.292549036151712</c:v>
                </c:pt>
                <c:pt idx="7">
                  <c:v>7.5896599585588014</c:v>
                </c:pt>
                <c:pt idx="8">
                  <c:v>10.784223350288153</c:v>
                </c:pt>
                <c:pt idx="9">
                  <c:v>14.708655053479808</c:v>
                </c:pt>
                <c:pt idx="10">
                  <c:v>15.213534125500983</c:v>
                </c:pt>
                <c:pt idx="11">
                  <c:v>16.683005167795606</c:v>
                </c:pt>
                <c:pt idx="12">
                  <c:v>14.488251316223749</c:v>
                </c:pt>
                <c:pt idx="13">
                  <c:v>16.623772468896643</c:v>
                </c:pt>
                <c:pt idx="14">
                  <c:v>17.703536862874543</c:v>
                </c:pt>
                <c:pt idx="15">
                  <c:v>18.090297748090798</c:v>
                </c:pt>
                <c:pt idx="16">
                  <c:v>19.688634028546467</c:v>
                </c:pt>
                <c:pt idx="17">
                  <c:v>19.627436136413593</c:v>
                </c:pt>
                <c:pt idx="18">
                  <c:v>19.938234575058861</c:v>
                </c:pt>
                <c:pt idx="19">
                  <c:v>20.689702944937729</c:v>
                </c:pt>
                <c:pt idx="20">
                  <c:v>26.224424971314313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09-4308-AA7E-D19F35EE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9136"/>
        <c:axId val="200811648"/>
      </c:lineChart>
      <c:catAx>
        <c:axId val="2005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/>
                  <a:t>Fuentes: Crédito</a:t>
                </a:r>
                <a:r>
                  <a:rPr lang="en-US" sz="900" b="0" i="0" baseline="0"/>
                  <a:t> Público, SIGEF, Dept. Internacional BCRD</a:t>
                </a:r>
                <a:endParaRPr lang="en-US" sz="900" b="0" i="0"/>
              </a:p>
            </c:rich>
          </c:tx>
          <c:layout>
            <c:manualLayout>
              <c:xMode val="edge"/>
              <c:yMode val="edge"/>
              <c:x val="6.3697987171172409E-3"/>
              <c:y val="0.94987456925027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811648"/>
        <c:crosses val="autoZero"/>
        <c:auto val="1"/>
        <c:lblAlgn val="ctr"/>
        <c:lblOffset val="100"/>
        <c:noMultiLvlLbl val="0"/>
      </c:catAx>
      <c:valAx>
        <c:axId val="200811648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crossAx val="200539136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noFill/>
    </a:ln>
  </c:spPr>
  <c:txPr>
    <a:bodyPr/>
    <a:lstStyle/>
    <a:p>
      <a:pPr>
        <a:defRPr sz="10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151038</xdr:colOff>
      <xdr:row>0</xdr:row>
      <xdr:rowOff>284389</xdr:rowOff>
    </xdr:from>
    <xdr:to>
      <xdr:col>19</xdr:col>
      <xdr:colOff>255814</xdr:colOff>
      <xdr:row>25</xdr:row>
      <xdr:rowOff>112939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6E857-D1BA-4A68-A6E1-4BD567738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544286</xdr:colOff>
      <xdr:row>0</xdr:row>
      <xdr:rowOff>217714</xdr:rowOff>
    </xdr:from>
    <xdr:to>
      <xdr:col>31</xdr:col>
      <xdr:colOff>36740</xdr:colOff>
      <xdr:row>25</xdr:row>
      <xdr:rowOff>46264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38B6B-ACC2-4CB2-BDED-421CF439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9525</xdr:rowOff>
    </xdr:from>
    <xdr:to>
      <xdr:col>15</xdr:col>
      <xdr:colOff>310862</xdr:colOff>
      <xdr:row>19</xdr:row>
      <xdr:rowOff>108448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111579</xdr:colOff>
      <xdr:row>22</xdr:row>
      <xdr:rowOff>129268</xdr:rowOff>
    </xdr:from>
    <xdr:to>
      <xdr:col>9</xdr:col>
      <xdr:colOff>83345</xdr:colOff>
      <xdr:row>43</xdr:row>
      <xdr:rowOff>161272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22</xdr:row>
      <xdr:rowOff>136071</xdr:rowOff>
    </xdr:from>
    <xdr:to>
      <xdr:col>19</xdr:col>
      <xdr:colOff>127631</xdr:colOff>
      <xdr:row>43</xdr:row>
      <xdr:rowOff>168075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68035</xdr:rowOff>
    </xdr:from>
    <xdr:to>
      <xdr:col>9</xdr:col>
      <xdr:colOff>159213</xdr:colOff>
      <xdr:row>68</xdr:row>
      <xdr:rowOff>100039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605116</xdr:colOff>
      <xdr:row>47</xdr:row>
      <xdr:rowOff>54428</xdr:rowOff>
    </xdr:from>
    <xdr:to>
      <xdr:col>19</xdr:col>
      <xdr:colOff>159212</xdr:colOff>
      <xdr:row>68</xdr:row>
      <xdr:rowOff>86432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156882</xdr:colOff>
      <xdr:row>71</xdr:row>
      <xdr:rowOff>100853</xdr:rowOff>
    </xdr:from>
    <xdr:to>
      <xdr:col>9</xdr:col>
      <xdr:colOff>215511</xdr:colOff>
      <xdr:row>92</xdr:row>
      <xdr:rowOff>132857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515471</xdr:colOff>
      <xdr:row>71</xdr:row>
      <xdr:rowOff>128245</xdr:rowOff>
    </xdr:from>
    <xdr:to>
      <xdr:col>18</xdr:col>
      <xdr:colOff>583244</xdr:colOff>
      <xdr:row>92</xdr:row>
      <xdr:rowOff>160249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134470</xdr:colOff>
      <xdr:row>95</xdr:row>
      <xdr:rowOff>11206</xdr:rowOff>
    </xdr:from>
    <xdr:to>
      <xdr:col>9</xdr:col>
      <xdr:colOff>193099</xdr:colOff>
      <xdr:row>116</xdr:row>
      <xdr:rowOff>43210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44824</xdr:colOff>
      <xdr:row>93</xdr:row>
      <xdr:rowOff>112058</xdr:rowOff>
    </xdr:from>
    <xdr:to>
      <xdr:col>19</xdr:col>
      <xdr:colOff>359485</xdr:colOff>
      <xdr:row>116</xdr:row>
      <xdr:rowOff>110969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246530</xdr:colOff>
      <xdr:row>119</xdr:row>
      <xdr:rowOff>11206</xdr:rowOff>
    </xdr:from>
    <xdr:to>
      <xdr:col>9</xdr:col>
      <xdr:colOff>360825</xdr:colOff>
      <xdr:row>140</xdr:row>
      <xdr:rowOff>43210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122642</xdr:colOff>
      <xdr:row>119</xdr:row>
      <xdr:rowOff>23035</xdr:rowOff>
    </xdr:from>
    <xdr:to>
      <xdr:col>19</xdr:col>
      <xdr:colOff>185032</xdr:colOff>
      <xdr:row>140</xdr:row>
      <xdr:rowOff>55039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219225</xdr:colOff>
      <xdr:row>142</xdr:row>
      <xdr:rowOff>104320</xdr:rowOff>
    </xdr:from>
    <xdr:to>
      <xdr:col>9</xdr:col>
      <xdr:colOff>436563</xdr:colOff>
      <xdr:row>160</xdr:row>
      <xdr:rowOff>138906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455897</xdr:colOff>
      <xdr:row>164</xdr:row>
      <xdr:rowOff>146538</xdr:rowOff>
    </xdr:from>
    <xdr:to>
      <xdr:col>10</xdr:col>
      <xdr:colOff>598773</xdr:colOff>
      <xdr:row>186</xdr:row>
      <xdr:rowOff>171938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A775FC-4387-4D29-BBA1-B9644F603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610576</xdr:colOff>
      <xdr:row>165</xdr:row>
      <xdr:rowOff>0</xdr:rowOff>
    </xdr:from>
    <xdr:to>
      <xdr:col>20</xdr:col>
      <xdr:colOff>374487</xdr:colOff>
      <xdr:row>187</xdr:row>
      <xdr:rowOff>65128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D1699D-B4F1-4DD8-9EF9-8F16E9216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555626</xdr:colOff>
      <xdr:row>164</xdr:row>
      <xdr:rowOff>119061</xdr:rowOff>
    </xdr:from>
    <xdr:to>
      <xdr:col>30</xdr:col>
      <xdr:colOff>383646</xdr:colOff>
      <xdr:row>187</xdr:row>
      <xdr:rowOff>105833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4DC0F5-4F6F-4017-917D-72D9C20EF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1.78403E-7</cdr:x>
      <cdr:y>0.93907</cdr:y>
    </cdr:from>
    <cdr:to>
      <cdr:x>0.2339</cdr:x>
      <cdr:y>0.99187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3786789"/>
          <a:ext cx="1311088" cy="212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Gill Sans MT" panose="020B0502020104020203" pitchFamily="34" charset="0"/>
              <a:ea typeface="Cambria" panose="02040503050406030204" pitchFamily="18" charset="0"/>
            </a:rPr>
            <a:t>Fuente: Crédito Público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0.9472</cdr:y>
    </cdr:from>
    <cdr:to>
      <cdr:x>0.2339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3819593"/>
          <a:ext cx="1311088" cy="212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Gill Sans MT" panose="020B0502020104020203" pitchFamily="34" charset="0"/>
              <a:ea typeface="Cambria" panose="02040503050406030204" pitchFamily="18" charset="0"/>
            </a:rPr>
            <a:t>Fuente: Crédito Público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0.87639</cdr:x>
      <cdr:y>0.40406</cdr:y>
    </cdr:from>
    <cdr:to>
      <cdr:x>0.94674</cdr:x>
      <cdr:y>0.45812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51FDB8-7288-4B63-8E60-73DA941B2CB8}"/>
            </a:ext>
          </a:extLst>
        </cdr:cNvPr>
        <cdr:cNvSpPr txBox="1"/>
      </cdr:nvSpPr>
      <cdr:spPr>
        <a:xfrm xmlns:a="http://schemas.openxmlformats.org/drawingml/2006/main">
          <a:off x="5085573" y="1732465"/>
          <a:ext cx="408214" cy="231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  <a:latin typeface="Gill Sans MT" panose="020B0502020104020203" pitchFamily="34" charset="0"/>
            </a:rPr>
            <a:t>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Sector%20Externo/Balanza%20de%20Pagos%20trimestr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Infograf&#237;as/Deuda%20P&#250;blica/2019/Insumos/Saldo%20Deuda%20Hist&#243;rico%20Sector%20P&#250;blico%20no%20Financiero%20por%20Acreedor%20(2015-Mayo%202019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euda%20por%20Moneda/20190219_SalxMon_Dic18%20(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diaz\Desktop\Deuda\Insumos%20(Feb.%202021)\Saldo%20hist&#243;rico%20(1970-2019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Poblaci&#243;n/Estimaciones%20Poblacion%20-%20ONE%20(18%20febrero%20202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euda%20por%20Acreedor/20200122_salxacree_Dic%201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euda%20por%20Moneda/20200122_salxmon_Di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euda%20por%20Tipo%20de%20Inter&#233;s/20200122_salxtipint_Dic1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euda%20por%20Acreedor/20210203_salacre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diaz\Desktop\Deuda\Insumos%20(Feb.%202021)\ONE_Estimaciones%20de%20la%20poblaci&#243;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euda_Consolidada_Por_Fuen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Base%20de%20Datos%20EO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Nuevo%20Sector%20Publico/Marco%20Macroeconomico/Serie%20del%20PI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diaz\Desktop\Deuda\Insumos%20(Feb.%202021)\Deuda%20por%20acreedo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diaz\Desktop\Deuda\Insumos%20(Feb.%202021)\Deuda%20por%20moned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fs1\PROMIECO\Users\vdiaz\Downloads\20210119_salxtipIn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diaz\Desktop\Deuda\Insumos%20(Feb.%202021)\Situaci&#243;n%20de%20los%20bonos%20emitidos%20en%20el%20mercado%20extern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euda_Consolidada_Por_Secto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Debt%20Sustainability%20Analysis%20(DSA)/DSA_Dominican%20Republic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Infograf&#237;as/Deuda%20P&#250;blica/2017/Base%20de%20Datos%20Deud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fs1\Departamento\promieco\politica%20fiscal\Nuevo%20Sector%20Publico\Estudios%20Fiscales\Base%20de%20Datos\Insumos\Deuda\Insumos\Deuda%20Am&#233;rica%20Latina%20y%20el%20Caribe%20(WEO,%20IMF)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Tipo%20de%20Cambio/Tipo%20de%20Cambio%20(Internet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ado%20de%20Operaciones%20(Manual%202014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Infograf&#237;as/Deuda%20P&#250;blica/2019/Insumos/20190219_DeudaPubHist1970_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Marco%20Macroeconomico/Serie%20del%20PI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Estudios%20Fiscales/Base%20de%20Datos/Insumos/Deuda/Insumos/Datos%20Deuda%20BC/Deuda_Consolidada_Por_Fuen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Servicio%20de%20la%20Deuda/Servicio%20de%20la%20Deuda%20Gobierno%20Central%20MEFP%202014%20(%25%20Impuestos,PIB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olitica%20Fiscal/Nuevo%20Sector%20Publico/Infograf&#237;as/Deuda%20P&#250;blica/2019/Insumos/Saldo%20Deuda%20Hist&#243;rico%20Sector%20P&#250;blico%20no%20Financiero%20por%20Acreedor%20(2007-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P_TRIM"/>
    </sheetNames>
    <sheetDataSet>
      <sheetData sheetId="0">
        <row r="16">
          <cell r="P16">
            <v>958.80000000000018</v>
          </cell>
          <cell r="Q16">
            <v>1017.5999999999997</v>
          </cell>
          <cell r="S16">
            <v>952.7</v>
          </cell>
          <cell r="U16">
            <v>1087.5</v>
          </cell>
          <cell r="W16">
            <v>1081.3000000000002</v>
          </cell>
          <cell r="X16">
            <v>1199.6000000000001</v>
          </cell>
          <cell r="Z16">
            <v>1066.5</v>
          </cell>
          <cell r="AB16">
            <v>1100.6000000000001</v>
          </cell>
          <cell r="AD16">
            <v>1188.6000000000001</v>
          </cell>
          <cell r="AE16">
            <v>1198.8999999999999</v>
          </cell>
          <cell r="AG16">
            <v>1161.8999999999999</v>
          </cell>
          <cell r="AI16">
            <v>1087.8000000000002</v>
          </cell>
          <cell r="AK16">
            <v>993.8</v>
          </cell>
          <cell r="AL16">
            <v>1096.7</v>
          </cell>
          <cell r="AN16">
            <v>1044.6000000000001</v>
          </cell>
          <cell r="AP16">
            <v>883.10000000000014</v>
          </cell>
          <cell r="AR16">
            <v>993.3</v>
          </cell>
          <cell r="AS16">
            <v>1069.8000000000002</v>
          </cell>
          <cell r="AU16">
            <v>1180.3000000000002</v>
          </cell>
          <cell r="AW16">
            <v>1092.3</v>
          </cell>
          <cell r="AY16">
            <v>1078.0000000000002</v>
          </cell>
          <cell r="AZ16">
            <v>1158.5999999999997</v>
          </cell>
          <cell r="BB16">
            <v>1018</v>
          </cell>
          <cell r="BD16">
            <v>1170.4000000000003</v>
          </cell>
          <cell r="BF16">
            <v>1150.4000000000001</v>
          </cell>
          <cell r="BG16">
            <v>1146.7000000000003</v>
          </cell>
          <cell r="BI16">
            <v>1161.2999999999997</v>
          </cell>
          <cell r="BK16">
            <v>1144.5</v>
          </cell>
          <cell r="BM16">
            <v>1199.3000000000002</v>
          </cell>
          <cell r="BN16">
            <v>1225.0999999999999</v>
          </cell>
          <cell r="BP16">
            <v>1184.0000000000002</v>
          </cell>
          <cell r="BR16">
            <v>1334.8000000000002</v>
          </cell>
          <cell r="BT16">
            <v>1223.1000000000001</v>
          </cell>
          <cell r="BU16">
            <v>912.7</v>
          </cell>
          <cell r="BW16">
            <v>1079.1000000000001</v>
          </cell>
          <cell r="BY16">
            <v>1184.3</v>
          </cell>
        </row>
        <row r="17">
          <cell r="P17">
            <v>1104.0999999999999</v>
          </cell>
          <cell r="Q17">
            <v>1278.8</v>
          </cell>
          <cell r="S17">
            <v>1305.3999999999999</v>
          </cell>
          <cell r="U17">
            <v>1230.5999999999999</v>
          </cell>
          <cell r="W17">
            <v>1129.4000000000001</v>
          </cell>
          <cell r="X17">
            <v>1320.1000000000001</v>
          </cell>
          <cell r="Z17">
            <v>1311.1</v>
          </cell>
          <cell r="AB17">
            <v>1215.8</v>
          </cell>
          <cell r="AD17">
            <v>1190.9999999999998</v>
          </cell>
          <cell r="AE17">
            <v>1339.0999999999997</v>
          </cell>
          <cell r="AG17">
            <v>1384.1000000000001</v>
          </cell>
          <cell r="AI17">
            <v>1347.5</v>
          </cell>
          <cell r="AK17">
            <v>1272.0000000000002</v>
          </cell>
          <cell r="AL17">
            <v>1409.0000000000002</v>
          </cell>
          <cell r="AN17">
            <v>1427.9000000000003</v>
          </cell>
          <cell r="AP17">
            <v>1314.7</v>
          </cell>
          <cell r="AR17">
            <v>1261.1000000000001</v>
          </cell>
          <cell r="AS17">
            <v>1419.7999999999997</v>
          </cell>
          <cell r="AU17">
            <v>1438.6</v>
          </cell>
          <cell r="AW17">
            <v>1384.3999999999999</v>
          </cell>
          <cell r="AY17">
            <v>1335.5000000000002</v>
          </cell>
          <cell r="AZ17">
            <v>1450.1000000000001</v>
          </cell>
          <cell r="BB17">
            <v>1456.8000000000002</v>
          </cell>
          <cell r="BD17">
            <v>1467.2</v>
          </cell>
          <cell r="BF17">
            <v>1369.4</v>
          </cell>
          <cell r="BG17">
            <v>1622.9</v>
          </cell>
          <cell r="BI17">
            <v>1567.2999999999997</v>
          </cell>
          <cell r="BK17">
            <v>1475.6</v>
          </cell>
          <cell r="BM17">
            <v>1458.4</v>
          </cell>
          <cell r="BN17">
            <v>1591.5</v>
          </cell>
          <cell r="BP17">
            <v>1623.7</v>
          </cell>
          <cell r="BR17">
            <v>1575.8999999999996</v>
          </cell>
          <cell r="BT17">
            <v>1470.3999999999999</v>
          </cell>
          <cell r="BU17">
            <v>1142.7</v>
          </cell>
          <cell r="BW17">
            <v>1634.3</v>
          </cell>
          <cell r="BY17">
            <v>1650.7</v>
          </cell>
        </row>
        <row r="24">
          <cell r="P24">
            <v>1441.7</v>
          </cell>
          <cell r="Q24">
            <v>1079.7</v>
          </cell>
          <cell r="S24">
            <v>1096.2</v>
          </cell>
          <cell r="U24">
            <v>1062.5</v>
          </cell>
          <cell r="W24">
            <v>1418.0000000000002</v>
          </cell>
          <cell r="X24">
            <v>1170.5000000000002</v>
          </cell>
          <cell r="Z24">
            <v>1246.8999999999999</v>
          </cell>
          <cell r="AB24">
            <v>1219.2999999999997</v>
          </cell>
          <cell r="AD24">
            <v>1548.9999999999995</v>
          </cell>
          <cell r="AE24">
            <v>1344.8</v>
          </cell>
          <cell r="AG24">
            <v>1384.2</v>
          </cell>
          <cell r="AI24">
            <v>1351.8000000000004</v>
          </cell>
          <cell r="AK24">
            <v>1664.7000000000003</v>
          </cell>
          <cell r="AL24">
            <v>1467.8999999999996</v>
          </cell>
          <cell r="AN24">
            <v>1489</v>
          </cell>
          <cell r="AP24">
            <v>1494.3000000000002</v>
          </cell>
          <cell r="AR24">
            <v>1800.8</v>
          </cell>
          <cell r="AS24">
            <v>1591.1</v>
          </cell>
          <cell r="AU24">
            <v>1693.9</v>
          </cell>
          <cell r="AW24">
            <v>1633.8000000000002</v>
          </cell>
          <cell r="AY24">
            <v>1978.6000000000001</v>
          </cell>
          <cell r="AZ24">
            <v>1790.1000000000001</v>
          </cell>
          <cell r="BB24">
            <v>1724.8</v>
          </cell>
          <cell r="BD24">
            <v>1690.6</v>
          </cell>
          <cell r="BF24">
            <v>2067.9</v>
          </cell>
          <cell r="BG24">
            <v>1885.1999999999998</v>
          </cell>
          <cell r="BI24">
            <v>1848.3999999999999</v>
          </cell>
          <cell r="BK24">
            <v>1746.2</v>
          </cell>
          <cell r="BM24">
            <v>2176.8999999999996</v>
          </cell>
          <cell r="BN24">
            <v>1905.9999999999998</v>
          </cell>
          <cell r="BP24">
            <v>1671.6999999999998</v>
          </cell>
          <cell r="BR24">
            <v>1716.9</v>
          </cell>
          <cell r="BT24">
            <v>1623.2</v>
          </cell>
          <cell r="BU24">
            <v>30.6</v>
          </cell>
          <cell r="BW24">
            <v>358.20000000000005</v>
          </cell>
          <cell r="BY24">
            <v>661.8</v>
          </cell>
        </row>
        <row r="36">
          <cell r="P36">
            <v>-485.8</v>
          </cell>
          <cell r="Q36">
            <v>-411.8</v>
          </cell>
          <cell r="S36">
            <v>-527.09999999999991</v>
          </cell>
          <cell r="U36">
            <v>-500.6</v>
          </cell>
          <cell r="W36">
            <v>-526.69999999999993</v>
          </cell>
          <cell r="X36">
            <v>-587.5</v>
          </cell>
          <cell r="Z36">
            <v>-870.6</v>
          </cell>
          <cell r="AB36">
            <v>-526.4</v>
          </cell>
          <cell r="AD36">
            <v>-544</v>
          </cell>
          <cell r="AE36">
            <v>-773.1</v>
          </cell>
          <cell r="AG36">
            <v>-698.69999999999993</v>
          </cell>
          <cell r="AI36">
            <v>-729.49999999999989</v>
          </cell>
          <cell r="AK36">
            <v>-470.5</v>
          </cell>
          <cell r="AL36">
            <v>-556.4</v>
          </cell>
          <cell r="AN36">
            <v>-533</v>
          </cell>
          <cell r="AP36">
            <v>-776.40000000000009</v>
          </cell>
          <cell r="AR36">
            <v>-471.9</v>
          </cell>
          <cell r="AS36">
            <v>-650.5</v>
          </cell>
          <cell r="AU36">
            <v>-739.90000000000009</v>
          </cell>
          <cell r="AW36">
            <v>-577.20000000000005</v>
          </cell>
          <cell r="AY36">
            <v>-599.6</v>
          </cell>
          <cell r="AZ36">
            <v>-745.89999999999986</v>
          </cell>
          <cell r="BB36">
            <v>-636.20000000000005</v>
          </cell>
          <cell r="BD36">
            <v>-742.80000000000007</v>
          </cell>
          <cell r="BF36">
            <v>-550.9</v>
          </cell>
          <cell r="BG36">
            <v>-790.80000000000007</v>
          </cell>
          <cell r="BI36">
            <v>-766</v>
          </cell>
          <cell r="BK36">
            <v>-653.29999999999995</v>
          </cell>
          <cell r="BM36">
            <v>-638.29999999999995</v>
          </cell>
          <cell r="BN36">
            <v>-739.9</v>
          </cell>
          <cell r="BP36">
            <v>-892.19999999999993</v>
          </cell>
          <cell r="BR36">
            <v>-590.29999999999995</v>
          </cell>
          <cell r="BT36">
            <v>-584.70000000000005</v>
          </cell>
          <cell r="BU36">
            <v>-183.5</v>
          </cell>
          <cell r="BW36">
            <v>-777.1</v>
          </cell>
          <cell r="BY36">
            <v>-807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9"/>
    </sheetNames>
    <sheetDataSet>
      <sheetData sheetId="0">
        <row r="25">
          <cell r="D25">
            <v>25.747671996974393</v>
          </cell>
          <cell r="F25">
            <v>25.225701772981061</v>
          </cell>
          <cell r="H25">
            <v>23.621111233230298</v>
          </cell>
          <cell r="J25">
            <v>21.775149152742753</v>
          </cell>
        </row>
        <row r="37">
          <cell r="D37">
            <v>15.563552000127704</v>
          </cell>
          <cell r="F37">
            <v>14.195325262671762</v>
          </cell>
          <cell r="H37">
            <v>12.846851461210349</v>
          </cell>
          <cell r="J37">
            <v>9.7118343461652223</v>
          </cell>
        </row>
        <row r="45">
          <cell r="D45">
            <v>58.68730658559457</v>
          </cell>
          <cell r="F45">
            <v>60.57897296434718</v>
          </cell>
          <cell r="H45">
            <v>63.532037305559363</v>
          </cell>
          <cell r="J45">
            <v>68.513016501092025</v>
          </cell>
        </row>
        <row r="50">
          <cell r="D50">
            <v>36.813352144679442</v>
          </cell>
          <cell r="F50">
            <v>30.896842597787877</v>
          </cell>
          <cell r="H50">
            <v>25.616880851721437</v>
          </cell>
          <cell r="J50">
            <v>24.888769180913702</v>
          </cell>
        </row>
        <row r="51">
          <cell r="D51">
            <v>44.303780076535787</v>
          </cell>
          <cell r="F51">
            <v>55.257215404299423</v>
          </cell>
          <cell r="H51">
            <v>61.029701968991709</v>
          </cell>
          <cell r="J51">
            <v>61.77942849174535</v>
          </cell>
        </row>
        <row r="52">
          <cell r="D52">
            <v>6.3230661753741382</v>
          </cell>
          <cell r="F52">
            <v>5.4402489492143973</v>
          </cell>
          <cell r="H52">
            <v>4.663158381216971</v>
          </cell>
          <cell r="J52">
            <v>4.7199496299982791</v>
          </cell>
        </row>
        <row r="53">
          <cell r="D53">
            <v>2.9748964539451848</v>
          </cell>
          <cell r="F53">
            <v>0.16933432971137652</v>
          </cell>
          <cell r="H53">
            <v>0</v>
          </cell>
          <cell r="J53">
            <v>0</v>
          </cell>
        </row>
        <row r="54">
          <cell r="D54">
            <v>9.584905149465456</v>
          </cell>
          <cell r="F54">
            <v>8.236358718986919</v>
          </cell>
          <cell r="H54">
            <v>8.6902587980698893</v>
          </cell>
          <cell r="J54">
            <v>8.6118526973426608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MONEDA"/>
    </sheetNames>
    <sheetDataSet>
      <sheetData sheetId="0">
        <row r="16">
          <cell r="D16">
            <v>20239.574729538006</v>
          </cell>
        </row>
        <row r="17">
          <cell r="D17">
            <v>796.76830774399991</v>
          </cell>
        </row>
        <row r="18">
          <cell r="D18">
            <v>443.06373228199999</v>
          </cell>
        </row>
        <row r="19">
          <cell r="D19">
            <v>36.445503130000006</v>
          </cell>
        </row>
        <row r="20">
          <cell r="D20">
            <v>26.566690444999999</v>
          </cell>
        </row>
        <row r="21">
          <cell r="D21">
            <v>21.207777677999999</v>
          </cell>
        </row>
        <row r="22">
          <cell r="D22">
            <v>0.83963492399999995</v>
          </cell>
        </row>
        <row r="23">
          <cell r="D23">
            <v>9.2556681000000002E-2</v>
          </cell>
        </row>
        <row r="30">
          <cell r="D30">
            <v>9272.6000565611685</v>
          </cell>
        </row>
        <row r="31">
          <cell r="D31">
            <v>1321.0059585700008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órico"/>
    </sheetNames>
    <sheetDataSet>
      <sheetData sheetId="0" refreshError="1">
        <row r="14">
          <cell r="N14">
            <v>35942.486211186901</v>
          </cell>
          <cell r="O14">
            <v>40.427469218857759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0-15"/>
    </sheetNames>
    <sheetDataSet>
      <sheetData sheetId="0">
        <row r="9">
          <cell r="BJ9">
            <v>10448499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-19"/>
    </sheetNames>
    <sheetDataSet>
      <sheetData sheetId="0">
        <row r="25">
          <cell r="L25">
            <v>21.54709120782848</v>
          </cell>
        </row>
        <row r="37">
          <cell r="L37">
            <v>7.7784113615974624</v>
          </cell>
        </row>
        <row r="45">
          <cell r="L45">
            <v>70.674497430574064</v>
          </cell>
        </row>
        <row r="47">
          <cell r="K47">
            <v>23383.153879232003</v>
          </cell>
        </row>
        <row r="50">
          <cell r="L50">
            <v>19.921577028104291</v>
          </cell>
        </row>
        <row r="51">
          <cell r="L51">
            <v>65.008327146624353</v>
          </cell>
        </row>
        <row r="52">
          <cell r="L52">
            <v>3.9811033483670384</v>
          </cell>
        </row>
        <row r="53">
          <cell r="L53">
            <v>0</v>
          </cell>
        </row>
        <row r="54">
          <cell r="L54">
            <v>11.088992476904318</v>
          </cell>
        </row>
        <row r="56">
          <cell r="K56">
            <v>12559.332331954885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MONEDA"/>
    </sheetNames>
    <sheetDataSet>
      <sheetData sheetId="0">
        <row r="16">
          <cell r="D16">
            <v>21229.483674198978</v>
          </cell>
        </row>
        <row r="17">
          <cell r="D17">
            <v>1711.1386672009999</v>
          </cell>
        </row>
        <row r="18">
          <cell r="D18">
            <v>364.02269873199981</v>
          </cell>
        </row>
        <row r="19">
          <cell r="D19">
            <v>36.063961081999999</v>
          </cell>
        </row>
        <row r="20">
          <cell r="D20">
            <v>24.063547761999999</v>
          </cell>
        </row>
        <row r="21">
          <cell r="D21">
            <v>17.623735337000003</v>
          </cell>
        </row>
        <row r="22">
          <cell r="D22">
            <v>0.706712754</v>
          </cell>
        </row>
        <row r="23">
          <cell r="D23">
            <v>6.0821038000000001E-2</v>
          </cell>
        </row>
        <row r="30">
          <cell r="D30">
            <v>10086.728689404896</v>
          </cell>
        </row>
        <row r="31">
          <cell r="D31">
            <v>2472.6036425500001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TIPO DE INTERES"/>
    </sheetNames>
    <sheetDataSet>
      <sheetData sheetId="0">
        <row r="32">
          <cell r="E32">
            <v>86.56725575474718</v>
          </cell>
        </row>
        <row r="33">
          <cell r="E33">
            <v>13.356919652758394</v>
          </cell>
        </row>
        <row r="34">
          <cell r="E34">
            <v>7.5824592494432339E-2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-20"/>
    </sheetNames>
    <sheetDataSet>
      <sheetData sheetId="0">
        <row r="64">
          <cell r="J64">
            <v>44519.085780271707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0-15"/>
    </sheetNames>
    <sheetDataSet>
      <sheetData sheetId="0" refreshError="1">
        <row r="9">
          <cell r="BJ9">
            <v>10448499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Fuente (US$)"/>
      <sheetName val="Por Fuente (% PIB)"/>
    </sheetNames>
    <sheetDataSet>
      <sheetData sheetId="0">
        <row r="12">
          <cell r="V12">
            <v>54469.249726722548</v>
          </cell>
        </row>
        <row r="15">
          <cell r="V15">
            <v>30696.55</v>
          </cell>
        </row>
        <row r="16">
          <cell r="V16">
            <v>5.99</v>
          </cell>
        </row>
        <row r="17">
          <cell r="V17">
            <v>305.32</v>
          </cell>
        </row>
        <row r="19">
          <cell r="V19">
            <v>13286.34</v>
          </cell>
        </row>
        <row r="20">
          <cell r="V20">
            <v>530.21</v>
          </cell>
        </row>
        <row r="21">
          <cell r="V21">
            <v>11922.509726722546</v>
          </cell>
        </row>
        <row r="22">
          <cell r="V22">
            <v>-2277.67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 1"/>
      <sheetName val="Menú"/>
      <sheetName val="EO-Mensual"/>
      <sheetName val="EO-Acumulado"/>
      <sheetName val="EO-Trimestral"/>
      <sheetName val="EO-Anual"/>
      <sheetName val="EO-PIB"/>
      <sheetName val="Para Graph"/>
      <sheetName val="Data Deuda"/>
      <sheetName val="Ingresos"/>
      <sheetName val="Data-Anual"/>
      <sheetName val="Indicadores-Anuales  "/>
      <sheetName val="Gráficos-Mensuales"/>
      <sheetName val="Gráficos-Anuales"/>
      <sheetName val="Gráficos Dinámicos"/>
    </sheetNames>
    <sheetDataSet>
      <sheetData sheetId="0"/>
      <sheetData sheetId="1"/>
      <sheetData sheetId="2"/>
      <sheetData sheetId="3"/>
      <sheetData sheetId="4">
        <row r="52">
          <cell r="AJ52">
            <v>3445.6968099407163</v>
          </cell>
          <cell r="EZ52">
            <v>0</v>
          </cell>
          <cell r="FF52">
            <v>-4481.2011515138729</v>
          </cell>
        </row>
        <row r="53">
          <cell r="AJ53">
            <v>5161.9721807719343</v>
          </cell>
          <cell r="EZ53">
            <v>0</v>
          </cell>
          <cell r="FF53">
            <v>-7318.0807970494861</v>
          </cell>
        </row>
        <row r="54">
          <cell r="AJ54">
            <v>3745.2408688313099</v>
          </cell>
          <cell r="EZ54">
            <v>0</v>
          </cell>
          <cell r="FF54">
            <v>-4704.015894567312</v>
          </cell>
        </row>
        <row r="55">
          <cell r="AJ55">
            <v>5320.4286585010786</v>
          </cell>
          <cell r="EZ55">
            <v>0</v>
          </cell>
          <cell r="FF55">
            <v>-7570.9722484924241</v>
          </cell>
        </row>
        <row r="56">
          <cell r="AJ56">
            <v>4045.2101798076123</v>
          </cell>
          <cell r="EZ56">
            <v>-550.20311560000005</v>
          </cell>
          <cell r="FF56">
            <v>-6803.7722870363159</v>
          </cell>
        </row>
        <row r="57">
          <cell r="AJ57">
            <v>5472.2787450027918</v>
          </cell>
          <cell r="EZ57">
            <v>0</v>
          </cell>
          <cell r="FF57">
            <v>-9590.483862015004</v>
          </cell>
        </row>
        <row r="58">
          <cell r="AJ58">
            <v>4180.4038752459919</v>
          </cell>
          <cell r="EZ58">
            <v>-2686.4754521926857</v>
          </cell>
          <cell r="FF58">
            <v>-15355.033935371563</v>
          </cell>
        </row>
        <row r="59">
          <cell r="AJ59">
            <v>6836.2703103741069</v>
          </cell>
          <cell r="EZ59">
            <v>0</v>
          </cell>
          <cell r="FF59">
            <v>-10306.250543046224</v>
          </cell>
        </row>
        <row r="60">
          <cell r="AJ60">
            <v>4278.7134671757158</v>
          </cell>
          <cell r="EZ60">
            <v>-2750.4786813852957</v>
          </cell>
          <cell r="FF60">
            <v>-17849.192914087525</v>
          </cell>
        </row>
        <row r="61">
          <cell r="AJ61">
            <v>7137.3501393338793</v>
          </cell>
          <cell r="EZ61">
            <v>0</v>
          </cell>
          <cell r="FF61">
            <v>-13135.838001307104</v>
          </cell>
        </row>
        <row r="62">
          <cell r="AJ62">
            <v>4373.2080572887626</v>
          </cell>
          <cell r="EZ62">
            <v>-2786.7589294804557</v>
          </cell>
          <cell r="FF62">
            <v>-18074.921616362306</v>
          </cell>
        </row>
        <row r="63">
          <cell r="AJ63">
            <v>9351.3450373232063</v>
          </cell>
          <cell r="EZ63">
            <v>0</v>
          </cell>
          <cell r="FF63">
            <v>-13293.380848984149</v>
          </cell>
        </row>
        <row r="64">
          <cell r="AJ64">
            <v>4206.5371567526809</v>
          </cell>
          <cell r="EZ64">
            <v>-2853.4286928086822</v>
          </cell>
          <cell r="FF64">
            <v>-191065.16807281494</v>
          </cell>
        </row>
        <row r="65">
          <cell r="AJ65">
            <v>9698.1938084063549</v>
          </cell>
          <cell r="EZ65">
            <v>0</v>
          </cell>
          <cell r="FF65">
            <v>-10893.200202087932</v>
          </cell>
        </row>
        <row r="66">
          <cell r="AJ66">
            <v>8179.8643483766982</v>
          </cell>
          <cell r="EZ66">
            <v>-2880.3183819887518</v>
          </cell>
          <cell r="FF66">
            <v>-10112.816981388565</v>
          </cell>
        </row>
        <row r="67">
          <cell r="AJ67">
            <v>10015.264124309251</v>
          </cell>
          <cell r="EZ67">
            <v>0</v>
          </cell>
          <cell r="FF67">
            <v>-10576.014342457527</v>
          </cell>
        </row>
        <row r="68">
          <cell r="AJ68">
            <v>8947.8517066789063</v>
          </cell>
          <cell r="EZ68">
            <v>-2917.5857605091155</v>
          </cell>
          <cell r="FF68">
            <v>-9802.952440198751</v>
          </cell>
        </row>
        <row r="69">
          <cell r="AJ69">
            <v>10526.197884151614</v>
          </cell>
          <cell r="EZ69">
            <v>0</v>
          </cell>
          <cell r="FF69">
            <v>-8811.2320325272449</v>
          </cell>
        </row>
        <row r="70">
          <cell r="AJ70">
            <v>11104.622554824948</v>
          </cell>
          <cell r="EZ70">
            <v>-2944.6933875752702</v>
          </cell>
          <cell r="FF70">
            <v>-8311.9023018707921</v>
          </cell>
        </row>
        <row r="71">
          <cell r="AJ71">
            <v>10532.480438141507</v>
          </cell>
          <cell r="EZ71">
            <v>0</v>
          </cell>
          <cell r="FF71">
            <v>-8393.5241487766216</v>
          </cell>
        </row>
        <row r="72">
          <cell r="AJ72">
            <v>11168.839370433376</v>
          </cell>
          <cell r="EZ72">
            <v>-2990.52444303117</v>
          </cell>
          <cell r="FF72">
            <v>-8667.5067456896995</v>
          </cell>
        </row>
        <row r="73">
          <cell r="AJ73">
            <v>11027.921258234574</v>
          </cell>
          <cell r="EZ73">
            <v>0</v>
          </cell>
          <cell r="FF73">
            <v>-9223.7803750594558</v>
          </cell>
        </row>
        <row r="74">
          <cell r="AJ74">
            <v>12788.078658650571</v>
          </cell>
          <cell r="EZ74">
            <v>-3443.8540643384399</v>
          </cell>
          <cell r="FF74">
            <v>-8689.3316702668872</v>
          </cell>
        </row>
        <row r="75">
          <cell r="AJ75">
            <v>11100.674140163692</v>
          </cell>
          <cell r="EZ75">
            <v>-174.86234658466</v>
          </cell>
          <cell r="FF75">
            <v>-9118.9847629730066</v>
          </cell>
        </row>
        <row r="76">
          <cell r="AJ76">
            <v>13502.732970248086</v>
          </cell>
          <cell r="EZ76">
            <v>-3099.4549264462144</v>
          </cell>
          <cell r="FF76">
            <v>-9453.3299657208863</v>
          </cell>
        </row>
        <row r="77">
          <cell r="AJ77">
            <v>11255.62042529093</v>
          </cell>
          <cell r="EZ77">
            <v>0</v>
          </cell>
          <cell r="FF77">
            <v>-9920.3263082782069</v>
          </cell>
        </row>
        <row r="78">
          <cell r="AJ78">
            <v>16920.058788403247</v>
          </cell>
          <cell r="EZ78">
            <v>0</v>
          </cell>
          <cell r="FF78">
            <v>-9662.7030279217579</v>
          </cell>
        </row>
        <row r="79">
          <cell r="AJ79">
            <v>11752.860479625142</v>
          </cell>
          <cell r="EZ79">
            <v>0</v>
          </cell>
          <cell r="FF79">
            <v>-11078.459055693718</v>
          </cell>
        </row>
        <row r="80">
          <cell r="AJ80">
            <v>18957.346885995514</v>
          </cell>
          <cell r="EZ80">
            <v>0</v>
          </cell>
          <cell r="FF80">
            <v>-8389.6520189216753</v>
          </cell>
        </row>
        <row r="81">
          <cell r="AJ81">
            <v>12035.126321470441</v>
          </cell>
          <cell r="EZ81">
            <v>-25228.85</v>
          </cell>
          <cell r="FF81">
            <v>-9435.6915551854563</v>
          </cell>
        </row>
        <row r="82">
          <cell r="AJ82">
            <v>19031.736715097559</v>
          </cell>
          <cell r="EZ82">
            <v>0</v>
          </cell>
          <cell r="FF82">
            <v>-8358.7232638485839</v>
          </cell>
        </row>
        <row r="83">
          <cell r="AJ83">
            <v>16244.933710923286</v>
          </cell>
          <cell r="EZ83">
            <v>0</v>
          </cell>
          <cell r="FF83">
            <v>-9301.3213331679253</v>
          </cell>
        </row>
        <row r="84">
          <cell r="AJ84">
            <v>19606.116995454977</v>
          </cell>
          <cell r="EZ84">
            <v>0</v>
          </cell>
          <cell r="FF84">
            <v>-6248.8287506729866</v>
          </cell>
        </row>
        <row r="85">
          <cell r="AJ85">
            <v>16430.345914770824</v>
          </cell>
          <cell r="EZ85">
            <v>-27253.200000000001</v>
          </cell>
          <cell r="FF85">
            <v>-8488.8498364894513</v>
          </cell>
        </row>
        <row r="86">
          <cell r="AJ86">
            <v>25191.200776918315</v>
          </cell>
          <cell r="EZ86">
            <v>0</v>
          </cell>
          <cell r="FF86">
            <v>-6729.837444303439</v>
          </cell>
        </row>
        <row r="87">
          <cell r="AJ87">
            <v>16464.904110376312</v>
          </cell>
          <cell r="EZ87">
            <v>-73207.767953268194</v>
          </cell>
          <cell r="FF87">
            <v>-8422.6125095633615</v>
          </cell>
        </row>
      </sheetData>
      <sheetData sheetId="5"/>
      <sheetData sheetId="6"/>
      <sheetData sheetId="7"/>
      <sheetData sheetId="8">
        <row r="5">
          <cell r="E5">
            <v>5109.7311745863335</v>
          </cell>
          <cell r="F5">
            <v>14353.600196832302</v>
          </cell>
          <cell r="G5">
            <v>13724.959593952328</v>
          </cell>
          <cell r="H5">
            <v>5604.4892695189992</v>
          </cell>
          <cell r="I5">
            <v>95.004619833000007</v>
          </cell>
          <cell r="J5">
            <v>38.87788811429818</v>
          </cell>
        </row>
        <row r="9">
          <cell r="E9">
            <v>6345.6456597076367</v>
          </cell>
          <cell r="F9">
            <v>16858.131273541239</v>
          </cell>
          <cell r="G9">
            <v>17161.53568339067</v>
          </cell>
          <cell r="H9">
            <v>5912.4857321132149</v>
          </cell>
          <cell r="I9">
            <v>89.636602666999991</v>
          </cell>
          <cell r="J9">
            <v>40.118915078000001</v>
          </cell>
        </row>
        <row r="13">
          <cell r="E13">
            <v>6530.0305443817615</v>
          </cell>
          <cell r="F13">
            <v>17279.031936358009</v>
          </cell>
          <cell r="G13">
            <v>18966.032449580776</v>
          </cell>
          <cell r="H13">
            <v>4720.2425626719996</v>
          </cell>
          <cell r="I13">
            <v>86.532001004000008</v>
          </cell>
          <cell r="J13">
            <v>36.255467482999997</v>
          </cell>
        </row>
        <row r="17">
          <cell r="E17">
            <v>6949.4440184550513</v>
          </cell>
          <cell r="F17">
            <v>17205.110032045988</v>
          </cell>
          <cell r="G17">
            <v>19249.198631335021</v>
          </cell>
          <cell r="H17">
            <v>4871.4739509459987</v>
          </cell>
          <cell r="I17">
            <v>0</v>
          </cell>
          <cell r="J17">
            <v>33.881468220000009</v>
          </cell>
        </row>
        <row r="21">
          <cell r="E21">
            <v>8212.953014196868</v>
          </cell>
          <cell r="F21">
            <v>18544.349263631007</v>
          </cell>
          <cell r="G21">
            <v>21586.847164309813</v>
          </cell>
          <cell r="H21">
            <v>5000.4950684500036</v>
          </cell>
          <cell r="I21"/>
          <cell r="J21">
            <v>169.96004506800006</v>
          </cell>
        </row>
        <row r="25">
          <cell r="E25">
            <v>9507.0957760021902</v>
          </cell>
          <cell r="F25">
            <v>20036.966707792995</v>
          </cell>
          <cell r="G25">
            <v>25373.759696710178</v>
          </cell>
          <cell r="H25">
            <v>4125.6192669660013</v>
          </cell>
          <cell r="I25"/>
          <cell r="J25">
            <v>44.683520118999994</v>
          </cell>
        </row>
        <row r="29">
          <cell r="G29">
            <v>28008.438961235111</v>
          </cell>
          <cell r="H29">
            <v>4124.1893780699984</v>
          </cell>
          <cell r="I29"/>
          <cell r="J29">
            <v>25.536608248000004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 per Cápita"/>
    </sheetNames>
    <sheetDataSet>
      <sheetData sheetId="0">
        <row r="38">
          <cell r="E38">
            <v>78828.992652503104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-20"/>
    </sheetNames>
    <sheetDataSet>
      <sheetData sheetId="0" refreshError="1">
        <row r="23">
          <cell r="H23">
            <v>5038.3894936250026</v>
          </cell>
          <cell r="J23">
            <v>6582.3467155039998</v>
          </cell>
          <cell r="K23">
            <v>21.439098524148928</v>
          </cell>
        </row>
        <row r="35">
          <cell r="H35">
            <v>1818.8378980419998</v>
          </cell>
          <cell r="J35">
            <v>1945.6761692509999</v>
          </cell>
          <cell r="K35">
            <v>6.3371841216460307</v>
          </cell>
        </row>
        <row r="43">
          <cell r="H43">
            <v>16525.926487565001</v>
          </cell>
          <cell r="J43">
            <v>22174.512056673004</v>
          </cell>
          <cell r="K43">
            <v>72.223717354205036</v>
          </cell>
        </row>
        <row r="48">
          <cell r="K48">
            <v>16.485051868065334</v>
          </cell>
        </row>
        <row r="49">
          <cell r="K49">
            <v>71.38600832817869</v>
          </cell>
        </row>
        <row r="50">
          <cell r="K50">
            <v>3.5392335301602964</v>
          </cell>
        </row>
        <row r="51">
          <cell r="K51">
            <v>3.6188481903479506</v>
          </cell>
        </row>
        <row r="53">
          <cell r="K53">
            <v>4.9708580832477312</v>
          </cell>
        </row>
        <row r="55">
          <cell r="H55">
            <v>12559.332331954885</v>
          </cell>
          <cell r="J55">
            <v>13816.550838843703</v>
          </cell>
        </row>
        <row r="60">
          <cell r="J60">
            <v>30702.534941427999</v>
          </cell>
        </row>
        <row r="62">
          <cell r="J62">
            <v>13816.550838843703</v>
          </cell>
        </row>
        <row r="64">
          <cell r="H64">
            <v>35942.486211186886</v>
          </cell>
          <cell r="J64">
            <v>44519.085780271707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MONEDA"/>
    </sheetNames>
    <sheetDataSet>
      <sheetData sheetId="0">
        <row r="17">
          <cell r="D17">
            <v>1858.840777725</v>
          </cell>
        </row>
        <row r="30">
          <cell r="D30">
            <v>10619.197081013695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TIPO DE INTERES"/>
    </sheetNames>
    <sheetDataSet>
      <sheetData sheetId="0">
        <row r="33">
          <cell r="E33">
            <v>86.746328998539951</v>
          </cell>
        </row>
        <row r="34">
          <cell r="E34">
            <v>13.197199430704801</v>
          </cell>
        </row>
        <row r="35">
          <cell r="E35">
            <v>5.6471570755257675E-2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s Ext"/>
      <sheetName val="Data"/>
    </sheetNames>
    <sheetDataSet>
      <sheetData sheetId="0">
        <row r="16">
          <cell r="L16">
            <v>77.433666000000002</v>
          </cell>
        </row>
        <row r="17">
          <cell r="L17">
            <v>611.49199999999996</v>
          </cell>
        </row>
        <row r="22">
          <cell r="L22">
            <v>272.202</v>
          </cell>
        </row>
        <row r="23">
          <cell r="L23">
            <v>1000</v>
          </cell>
        </row>
        <row r="31">
          <cell r="L31">
            <v>688.31296199999997</v>
          </cell>
        </row>
        <row r="34">
          <cell r="L34">
            <v>869.390894</v>
          </cell>
        </row>
        <row r="35">
          <cell r="L35">
            <v>301.13691999999998</v>
          </cell>
        </row>
        <row r="39">
          <cell r="L39">
            <v>1800</v>
          </cell>
        </row>
        <row r="40">
          <cell r="L40">
            <v>1266</v>
          </cell>
        </row>
        <row r="55">
          <cell r="K55">
            <v>278.959</v>
          </cell>
        </row>
      </sheetData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Sector (US$)"/>
      <sheetName val="Por Sector (% PIB)"/>
    </sheetNames>
    <sheetDataSet>
      <sheetData sheetId="0"/>
      <sheetData sheetId="1">
        <row r="14">
          <cell r="B14">
            <v>0.13405234993985149</v>
          </cell>
          <cell r="C14">
            <v>0.15664005130417918</v>
          </cell>
          <cell r="D14">
            <v>0.1708484994295737</v>
          </cell>
          <cell r="E14">
            <v>0.27517425656130523</v>
          </cell>
          <cell r="F14">
            <v>0.28399592868294621</v>
          </cell>
          <cell r="G14">
            <v>0.18996594424658261</v>
          </cell>
          <cell r="H14">
            <v>0.19461311486608987</v>
          </cell>
          <cell r="I14">
            <v>0.1714176318547094</v>
          </cell>
          <cell r="J14">
            <v>0.23270690896975421</v>
          </cell>
          <cell r="K14">
            <v>0.27433242708526084</v>
          </cell>
          <cell r="L14">
            <v>0.27496954031710469</v>
          </cell>
          <cell r="M14">
            <v>0.28571885469657016</v>
          </cell>
          <cell r="N14">
            <v>0.32043663055240651</v>
          </cell>
          <cell r="O14">
            <v>0.36993130514502043</v>
          </cell>
          <cell r="P14">
            <v>0.3540153020496119</v>
          </cell>
          <cell r="Q14">
            <v>0.3390326383710115</v>
          </cell>
          <cell r="R14">
            <v>0.35319424711936637</v>
          </cell>
          <cell r="S14">
            <v>0.36918308869391103</v>
          </cell>
          <cell r="T14">
            <v>0.37595671677440712</v>
          </cell>
          <cell r="U14">
            <v>0.40406279768970055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1.896317913103529E-3</v>
          </cell>
          <cell r="H18">
            <v>1.8234797985238749E-3</v>
          </cell>
          <cell r="I18">
            <v>1.5535587550008724E-3</v>
          </cell>
          <cell r="J18">
            <v>4.1908151021747005E-2</v>
          </cell>
          <cell r="K18">
            <v>4.8831292070978902E-2</v>
          </cell>
          <cell r="L18">
            <v>4.2180676345985331E-2</v>
          </cell>
          <cell r="M18">
            <v>3.7889216408987708E-2</v>
          </cell>
          <cell r="N18">
            <v>3.4786010424449079E-2</v>
          </cell>
          <cell r="O18">
            <v>5.0320172146219269E-2</v>
          </cell>
          <cell r="P18">
            <v>4.5305560703477549E-2</v>
          </cell>
          <cell r="Q18">
            <v>4.0860158497373671E-2</v>
          </cell>
          <cell r="R18">
            <v>3.7483115336270724E-2</v>
          </cell>
          <cell r="S18">
            <v>3.5982720644134512E-2</v>
          </cell>
          <cell r="T18">
            <v>3.1725257475048271E-2</v>
          </cell>
          <cell r="U18">
            <v>2.8127506984781663E-2</v>
          </cell>
        </row>
        <row r="24">
          <cell r="B24">
            <v>4.7957024930518101E-2</v>
          </cell>
          <cell r="C24">
            <v>4.0932500959974034E-2</v>
          </cell>
          <cell r="D24">
            <v>4.8645334533686191E-2</v>
          </cell>
          <cell r="E24">
            <v>0.12023103086008147</v>
          </cell>
          <cell r="F24">
            <v>0.18502065848377944</v>
          </cell>
          <cell r="G24">
            <v>0.13678271983782447</v>
          </cell>
          <cell r="H24">
            <v>0.15026629636538963</v>
          </cell>
          <cell r="I24">
            <v>0.1416958983010066</v>
          </cell>
          <cell r="J24">
            <v>0.12946206693018475</v>
          </cell>
          <cell r="K24">
            <v>0.13816697353399687</v>
          </cell>
          <cell r="L24">
            <v>0.13287163561118884</v>
          </cell>
          <cell r="M24">
            <v>0.13065959557871237</v>
          </cell>
          <cell r="N24">
            <v>0.12700869772322987</v>
          </cell>
          <cell r="O24">
            <v>0.13105118241584671</v>
          </cell>
          <cell r="P24">
            <v>0.12737449483634408</v>
          </cell>
          <cell r="Q24">
            <v>0.13195122156317793</v>
          </cell>
          <cell r="R24">
            <v>0.13443208372090334</v>
          </cell>
          <cell r="S24">
            <v>0.13184458724505452</v>
          </cell>
          <cell r="T24">
            <v>0.13480732582499838</v>
          </cell>
          <cell r="U24">
            <v>0.1291441370862588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- Instructions"/>
      <sheetName val="Input 1 - Basics"/>
      <sheetName val="Input 2 - Data"/>
      <sheetName val="Input 3 - Debt and Banking"/>
      <sheetName val="Input 4 - Forecast"/>
      <sheetName val="Input 5 - Scenario Design"/>
      <sheetName val="Fan Chart"/>
      <sheetName val="Output - Instructions"/>
      <sheetName val="Output - Basic1"/>
      <sheetName val="Output - Basic2"/>
      <sheetName val="Output - Realism"/>
      <sheetName val="Output - Shocks"/>
      <sheetName val="Output - Heat Map"/>
      <sheetName val="Baseline"/>
      <sheetName val="Baseline debt"/>
      <sheetName val="Benchmarks"/>
      <sheetName val="Lists-Modules-ChartData"/>
      <sheetName val="HeatMap"/>
      <sheetName val="primary"/>
      <sheetName val="growth"/>
      <sheetName val="interest"/>
      <sheetName val="exchange"/>
      <sheetName val="combo"/>
      <sheetName val="contingent"/>
      <sheetName val="historical"/>
      <sheetName val="constant pb"/>
      <sheetName val="custom1"/>
      <sheetName val="custom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E3">
            <v>2010</v>
          </cell>
          <cell r="F3">
            <v>2011</v>
          </cell>
          <cell r="G3">
            <v>2012</v>
          </cell>
          <cell r="H3">
            <v>2013</v>
          </cell>
          <cell r="I3">
            <v>2014</v>
          </cell>
          <cell r="J3">
            <v>2015</v>
          </cell>
          <cell r="K3">
            <v>2016</v>
          </cell>
          <cell r="L3">
            <v>2017</v>
          </cell>
          <cell r="M3">
            <v>2018</v>
          </cell>
          <cell r="N3">
            <v>2019</v>
          </cell>
          <cell r="O3">
            <v>2020</v>
          </cell>
        </row>
        <row r="146">
          <cell r="E146">
            <v>0.45749714542125375</v>
          </cell>
          <cell r="F146">
            <v>1.0976534664525097</v>
          </cell>
          <cell r="G146">
            <v>3.8069322328917679</v>
          </cell>
          <cell r="H146">
            <v>4.947460127739113</v>
          </cell>
          <cell r="I146">
            <v>-1.8029020517761225</v>
          </cell>
          <cell r="J146">
            <v>-1.771997930254031</v>
          </cell>
          <cell r="K146">
            <v>1.511580046413485</v>
          </cell>
          <cell r="L146">
            <v>1.6885493037204071</v>
          </cell>
          <cell r="M146">
            <v>0.64394742899708035</v>
          </cell>
          <cell r="N146">
            <v>3.5541337205481582</v>
          </cell>
          <cell r="O146">
            <v>16.540381409558492</v>
          </cell>
        </row>
        <row r="148">
          <cell r="E148">
            <v>0.28520369282017</v>
          </cell>
          <cell r="F148">
            <v>0.5956376788620058</v>
          </cell>
          <cell r="G148">
            <v>5.1200429247887698</v>
          </cell>
          <cell r="H148">
            <v>3.0875416610877546</v>
          </cell>
          <cell r="I148">
            <v>-0.26977498773649999</v>
          </cell>
          <cell r="J148">
            <v>-2.5128447860002971</v>
          </cell>
          <cell r="K148">
            <v>0.84453725268771895</v>
          </cell>
          <cell r="L148">
            <v>1.1967223994514669</v>
          </cell>
          <cell r="M148">
            <v>-0.49183250894093622</v>
          </cell>
          <cell r="N148">
            <v>1.0239468098067235</v>
          </cell>
          <cell r="O148">
            <v>12.481537831765561</v>
          </cell>
        </row>
        <row r="149">
          <cell r="E149">
            <v>1.2328118376752801</v>
          </cell>
          <cell r="F149">
            <v>0.81738193854569019</v>
          </cell>
          <cell r="G149">
            <v>4.5736569679314183</v>
          </cell>
          <cell r="H149">
            <v>2.4443416281433681</v>
          </cell>
          <cell r="I149">
            <v>0.40577306691767312</v>
          </cell>
          <cell r="J149">
            <v>-2.3461445941852563</v>
          </cell>
          <cell r="K149">
            <v>0.48575906786217793</v>
          </cell>
          <cell r="L149">
            <v>0.80414610833533828</v>
          </cell>
          <cell r="M149">
            <v>-0.22955903291100377</v>
          </cell>
          <cell r="N149">
            <v>-0.41463620656619327</v>
          </cell>
          <cell r="O149">
            <v>5.1692141793907016</v>
          </cell>
        </row>
        <row r="150">
          <cell r="E150">
            <v>13.077968393132144</v>
          </cell>
          <cell r="F150">
            <v>12.901455212978401</v>
          </cell>
          <cell r="G150">
            <v>13.532494032042072</v>
          </cell>
          <cell r="H150">
            <v>14.073289663684237</v>
          </cell>
          <cell r="I150">
            <v>14.247678048449247</v>
          </cell>
          <cell r="J150">
            <v>16.648164850279226</v>
          </cell>
          <cell r="K150">
            <v>13.871207593329993</v>
          </cell>
          <cell r="L150">
            <v>14.013822833939876</v>
          </cell>
          <cell r="M150">
            <v>14.155838199110507</v>
          </cell>
          <cell r="N150">
            <v>14.396072919810207</v>
          </cell>
          <cell r="O150">
            <v>14.074240832595022</v>
          </cell>
        </row>
        <row r="151">
          <cell r="E151">
            <v>14.310780230807424</v>
          </cell>
          <cell r="F151">
            <v>13.718837151524092</v>
          </cell>
          <cell r="G151">
            <v>18.10615099997349</v>
          </cell>
          <cell r="H151">
            <v>16.517631291827605</v>
          </cell>
          <cell r="I151">
            <v>14.65345111536692</v>
          </cell>
          <cell r="J151">
            <v>14.30202025609397</v>
          </cell>
          <cell r="K151">
            <v>14.356966661192171</v>
          </cell>
          <cell r="L151">
            <v>14.817968942275215</v>
          </cell>
          <cell r="M151">
            <v>13.926279166199503</v>
          </cell>
          <cell r="N151">
            <v>13.981436713244014</v>
          </cell>
          <cell r="O151">
            <v>19.243455011985724</v>
          </cell>
        </row>
        <row r="152">
          <cell r="E152">
            <v>-0.94760814485511013</v>
          </cell>
          <cell r="F152">
            <v>-0.22174425968368439</v>
          </cell>
          <cell r="G152">
            <v>0.5463859568573517</v>
          </cell>
          <cell r="H152">
            <v>0.64320003294438666</v>
          </cell>
          <cell r="I152">
            <v>-0.67554805465417311</v>
          </cell>
          <cell r="J152">
            <v>-0.16670019181504059</v>
          </cell>
          <cell r="K152">
            <v>0.35877818482554102</v>
          </cell>
          <cell r="L152">
            <v>0.39257629111612846</v>
          </cell>
          <cell r="M152">
            <v>-0.26227347602993245</v>
          </cell>
          <cell r="N152">
            <v>1.4385830163729167</v>
          </cell>
          <cell r="O152">
            <v>7.31232365237486</v>
          </cell>
        </row>
        <row r="153">
          <cell r="E153">
            <v>-1.6020947335047966</v>
          </cell>
          <cell r="F153">
            <v>-0.8524678513423195</v>
          </cell>
          <cell r="G153">
            <v>-0.27741396819313791</v>
          </cell>
          <cell r="H153">
            <v>-0.71462882537326566</v>
          </cell>
          <cell r="I153">
            <v>-1.609409329996468</v>
          </cell>
          <cell r="J153">
            <v>-0.83954398650733131</v>
          </cell>
          <cell r="K153">
            <v>-0.23928757371090592</v>
          </cell>
          <cell r="L153">
            <v>-0.42566584541051133</v>
          </cell>
          <cell r="M153">
            <v>-1.2490426971771833</v>
          </cell>
          <cell r="N153">
            <v>1.4714679279274945E-2</v>
          </cell>
          <cell r="O153">
            <v>4.2286618193943859</v>
          </cell>
        </row>
        <row r="154">
          <cell r="E154">
            <v>0.41209700886594408</v>
          </cell>
          <cell r="F154">
            <v>-6.3873436456911417E-2</v>
          </cell>
          <cell r="G154">
            <v>0.45622661475126591</v>
          </cell>
          <cell r="H154">
            <v>0.74853461787732589</v>
          </cell>
          <cell r="I154">
            <v>0.78333374015007773</v>
          </cell>
          <cell r="J154">
            <v>1.4425166106221146</v>
          </cell>
          <cell r="K154">
            <v>1.8618914325495202</v>
          </cell>
          <cell r="L154">
            <v>1.1080332599322946</v>
          </cell>
          <cell r="M154">
            <v>1.1032072572954892</v>
          </cell>
          <cell r="N154">
            <v>1.8051301843702787</v>
          </cell>
          <cell r="O154">
            <v>1.3669718133557227</v>
          </cell>
        </row>
        <row r="155">
          <cell r="E155">
            <v>-2.0141917423707407</v>
          </cell>
          <cell r="F155">
            <v>-0.78859441488540805</v>
          </cell>
          <cell r="G155">
            <v>-0.73364058294440382</v>
          </cell>
          <cell r="H155">
            <v>-1.4631634432505916</v>
          </cell>
          <cell r="I155">
            <v>-2.3927430701465457</v>
          </cell>
          <cell r="J155">
            <v>-2.2820605971294459</v>
          </cell>
          <cell r="K155">
            <v>-2.1011790062604261</v>
          </cell>
          <cell r="L155">
            <v>-1.533699105342806</v>
          </cell>
          <cell r="M155">
            <v>-2.3522499544726725</v>
          </cell>
          <cell r="N155">
            <v>-1.7904155050910038</v>
          </cell>
          <cell r="O155">
            <v>2.8616900060386636</v>
          </cell>
        </row>
        <row r="156">
          <cell r="E156">
            <v>0.65448658864968645</v>
          </cell>
          <cell r="F156">
            <v>0.63072359165863512</v>
          </cell>
          <cell r="G156">
            <v>0.8237999250504896</v>
          </cell>
          <cell r="H156">
            <v>1.3578288583176523</v>
          </cell>
          <cell r="I156">
            <v>0.93386127534229491</v>
          </cell>
          <cell r="J156">
            <v>0.67284379469229072</v>
          </cell>
          <cell r="K156">
            <v>0.59806575853644695</v>
          </cell>
          <cell r="L156">
            <v>0.8182421365266398</v>
          </cell>
          <cell r="M156">
            <v>0.98676922114725085</v>
          </cell>
          <cell r="N156">
            <v>1.4238683370936418</v>
          </cell>
          <cell r="O156">
            <v>3.0836618329804741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61">
          <cell r="E161">
            <v>0.17229345260108375</v>
          </cell>
          <cell r="F161">
            <v>0.50201578759050391</v>
          </cell>
          <cell r="G161">
            <v>-1.3131106918970019</v>
          </cell>
          <cell r="H161">
            <v>1.8599184666513584</v>
          </cell>
          <cell r="I161">
            <v>-1.5331270640396224</v>
          </cell>
          <cell r="J161">
            <v>0.74084685574626619</v>
          </cell>
          <cell r="K161">
            <v>0.66704279372576603</v>
          </cell>
          <cell r="L161">
            <v>0.49182690426894027</v>
          </cell>
          <cell r="M161">
            <v>1.1357799379380165</v>
          </cell>
          <cell r="N161">
            <v>2.5301869107414348</v>
          </cell>
          <cell r="O161">
            <v>4.0588435777929313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ual"/>
      <sheetName val="Trimestral"/>
      <sheetName val="Mensual"/>
      <sheetName val="Vencimiento Deuda por Plazos"/>
      <sheetName val="Indicadores"/>
      <sheetName val="Indicadores-#"/>
      <sheetName val="Composición de la Deuda"/>
      <sheetName val="Tenedores Domésticos"/>
      <sheetName val="Por Sector (% PIB)"/>
      <sheetName val="Gráficos"/>
      <sheetName val="Sheet1"/>
    </sheetNames>
    <sheetDataSet>
      <sheetData sheetId="0">
        <row r="57">
          <cell r="C57" t="str">
            <v>Multilateral</v>
          </cell>
        </row>
        <row r="58">
          <cell r="C58" t="str">
            <v>Bilateral</v>
          </cell>
        </row>
        <row r="59">
          <cell r="C59" t="str">
            <v>Acreedores Privados</v>
          </cell>
        </row>
      </sheetData>
      <sheetData sheetId="1">
        <row r="65">
          <cell r="AS65" t="str">
            <v>Moneda Nacional</v>
          </cell>
        </row>
        <row r="66">
          <cell r="AS66" t="str">
            <v>Moneda Extranjera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América Latina y el Carib"/>
    </sheetNames>
    <sheetDataSet>
      <sheetData sheetId="0">
        <row r="2">
          <cell r="H2">
            <v>84.468000000000004</v>
          </cell>
          <cell r="I2">
            <v>113.687</v>
          </cell>
        </row>
        <row r="3">
          <cell r="H3">
            <v>90.382000000000005</v>
          </cell>
          <cell r="I3">
            <v>96.692999999999998</v>
          </cell>
        </row>
        <row r="4">
          <cell r="H4">
            <v>81.286000000000001</v>
          </cell>
          <cell r="I4">
            <v>127.142</v>
          </cell>
        </row>
        <row r="5">
          <cell r="H5">
            <v>58.841000000000001</v>
          </cell>
          <cell r="I5">
            <v>68.709000000000003</v>
          </cell>
        </row>
        <row r="6">
          <cell r="H6">
            <v>122.22199999999999</v>
          </cell>
          <cell r="I6">
            <v>134.09399999999999</v>
          </cell>
        </row>
        <row r="7">
          <cell r="H7">
            <v>105.081</v>
          </cell>
          <cell r="I7">
            <v>134.60900000000001</v>
          </cell>
        </row>
        <row r="8">
          <cell r="H8">
            <v>59</v>
          </cell>
          <cell r="I8">
            <v>69.447000000000003</v>
          </cell>
        </row>
        <row r="9">
          <cell r="H9">
            <v>89.471000000000004</v>
          </cell>
          <cell r="I9">
            <v>101.399</v>
          </cell>
        </row>
        <row r="10">
          <cell r="H10">
            <v>27.907</v>
          </cell>
          <cell r="I10">
            <v>32.805999999999997</v>
          </cell>
        </row>
        <row r="11">
          <cell r="H11">
            <v>52.284999999999997</v>
          </cell>
          <cell r="I11">
            <v>68.230999999999995</v>
          </cell>
        </row>
        <row r="12">
          <cell r="H12">
            <v>58.38</v>
          </cell>
          <cell r="I12">
            <v>70.052000000000007</v>
          </cell>
        </row>
        <row r="13">
          <cell r="H13">
            <v>85.718000000000004</v>
          </cell>
          <cell r="I13">
            <v>90.757999999999996</v>
          </cell>
        </row>
        <row r="14">
          <cell r="H14">
            <v>53.758000000000003</v>
          </cell>
          <cell r="I14">
            <v>68.771000000000001</v>
          </cell>
        </row>
        <row r="15">
          <cell r="H15">
            <v>51.825000000000003</v>
          </cell>
          <cell r="I15">
            <v>68.921000000000006</v>
          </cell>
        </row>
        <row r="16">
          <cell r="H16">
            <v>69.402000000000001</v>
          </cell>
          <cell r="I16">
            <v>88.986999999999995</v>
          </cell>
        </row>
        <row r="17">
          <cell r="H17">
            <v>59.079000000000001</v>
          </cell>
          <cell r="I17">
            <v>71.495999999999995</v>
          </cell>
        </row>
        <row r="18">
          <cell r="H18">
            <v>26.591000000000001</v>
          </cell>
          <cell r="I18">
            <v>32.228999999999999</v>
          </cell>
        </row>
        <row r="19">
          <cell r="H19">
            <v>39.792000000000002</v>
          </cell>
          <cell r="I19">
            <v>36.981000000000002</v>
          </cell>
        </row>
        <row r="20">
          <cell r="H20">
            <v>47.686</v>
          </cell>
          <cell r="I20">
            <v>54.363</v>
          </cell>
        </row>
        <row r="21">
          <cell r="H21">
            <v>40.286999999999999</v>
          </cell>
          <cell r="I21">
            <v>45.957000000000001</v>
          </cell>
        </row>
        <row r="22">
          <cell r="H22">
            <v>93.861000000000004</v>
          </cell>
          <cell r="I22">
            <v>101.334</v>
          </cell>
        </row>
        <row r="23">
          <cell r="H23">
            <v>53.749000000000002</v>
          </cell>
          <cell r="I23">
            <v>65.540999999999997</v>
          </cell>
        </row>
        <row r="24">
          <cell r="H24">
            <v>42.139000000000003</v>
          </cell>
          <cell r="I24">
            <v>48.255000000000003</v>
          </cell>
        </row>
        <row r="25">
          <cell r="H25">
            <v>41.036999999999999</v>
          </cell>
          <cell r="I25">
            <v>54.951000000000001</v>
          </cell>
        </row>
        <row r="26">
          <cell r="H26">
            <v>26.106999999999999</v>
          </cell>
          <cell r="I26">
            <v>35.453000000000003</v>
          </cell>
        </row>
        <row r="27">
          <cell r="H27">
            <v>27.122</v>
          </cell>
          <cell r="I27">
            <v>39.481999999999999</v>
          </cell>
        </row>
        <row r="28">
          <cell r="H28">
            <v>56.22</v>
          </cell>
          <cell r="I28">
            <v>69.069000000000003</v>
          </cell>
        </row>
        <row r="29">
          <cell r="H29">
            <v>61.320999999999998</v>
          </cell>
          <cell r="I29">
            <v>85.096000000000004</v>
          </cell>
        </row>
        <row r="30">
          <cell r="H30">
            <v>75.195999999999998</v>
          </cell>
          <cell r="I30">
            <v>87.927000000000007</v>
          </cell>
        </row>
        <row r="31">
          <cell r="H31">
            <v>82.295000000000002</v>
          </cell>
          <cell r="I31">
            <v>145.268</v>
          </cell>
        </row>
        <row r="32">
          <cell r="H32">
            <v>45.116</v>
          </cell>
          <cell r="I32">
            <v>57.46</v>
          </cell>
        </row>
        <row r="33">
          <cell r="H33">
            <v>65.911000000000001</v>
          </cell>
          <cell r="I33">
            <v>69.495999999999995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a"/>
      <sheetName val="PromMensual"/>
      <sheetName val="PromTrimestral"/>
      <sheetName val="PromAnual"/>
      <sheetName val="FPMensual"/>
      <sheetName val="FPTrimestral"/>
      <sheetName val="FPAnual"/>
    </sheetNames>
    <sheetDataSet>
      <sheetData sheetId="0"/>
      <sheetData sheetId="1"/>
      <sheetData sheetId="2">
        <row r="112">
          <cell r="C112">
            <v>38.933770967741935</v>
          </cell>
          <cell r="D112">
            <v>39.01472258064517</v>
          </cell>
        </row>
        <row r="113">
          <cell r="C113">
            <v>39.034959016393437</v>
          </cell>
          <cell r="D113">
            <v>39.105208196721321</v>
          </cell>
        </row>
        <row r="114">
          <cell r="C114">
            <v>39.128607936507947</v>
          </cell>
          <cell r="D114">
            <v>39.202793650793666</v>
          </cell>
        </row>
        <row r="115">
          <cell r="C115">
            <v>39.826631249999998</v>
          </cell>
          <cell r="D115">
            <v>39.937693749999987</v>
          </cell>
        </row>
        <row r="116">
          <cell r="C116">
            <v>40.762915254237299</v>
          </cell>
          <cell r="D116">
            <v>40.879866101694915</v>
          </cell>
        </row>
        <row r="117">
          <cell r="C117">
            <v>41.197553968253978</v>
          </cell>
          <cell r="D117">
            <v>41.30180952380951</v>
          </cell>
        </row>
        <row r="118">
          <cell r="C118">
            <v>42.280764062500012</v>
          </cell>
          <cell r="D118">
            <v>42.386803124999993</v>
          </cell>
        </row>
        <row r="119">
          <cell r="C119">
            <v>42.500260937500009</v>
          </cell>
          <cell r="D119">
            <v>42.578996875000009</v>
          </cell>
        </row>
        <row r="120">
          <cell r="C120">
            <v>43.022300000000001</v>
          </cell>
          <cell r="D120">
            <v>43.123899999999999</v>
          </cell>
        </row>
        <row r="121">
          <cell r="C121">
            <v>43.214599999999997</v>
          </cell>
          <cell r="D121">
            <v>43.322000000000003</v>
          </cell>
        </row>
        <row r="122">
          <cell r="C122">
            <v>43.535699999999999</v>
          </cell>
          <cell r="D122">
            <v>43.645000000000003</v>
          </cell>
        </row>
        <row r="123">
          <cell r="C123">
            <v>43.985799999999998</v>
          </cell>
          <cell r="D123">
            <v>44.100499999999997</v>
          </cell>
        </row>
        <row r="124">
          <cell r="C124">
            <v>44.627099999999999</v>
          </cell>
          <cell r="D124">
            <v>44.75</v>
          </cell>
        </row>
        <row r="125">
          <cell r="C125">
            <v>44.75641451612902</v>
          </cell>
          <cell r="D125">
            <v>44.858927419354828</v>
          </cell>
        </row>
        <row r="126">
          <cell r="C126">
            <v>45.01746</v>
          </cell>
          <cell r="D126">
            <v>45.141419999999989</v>
          </cell>
        </row>
        <row r="127">
          <cell r="C127">
            <v>45.331899999999997</v>
          </cell>
          <cell r="D127">
            <v>45.431600000000003</v>
          </cell>
        </row>
        <row r="128">
          <cell r="C128">
            <v>45.6417</v>
          </cell>
          <cell r="D128">
            <v>45.737400000000001</v>
          </cell>
        </row>
        <row r="129">
          <cell r="C129">
            <v>45.815819047619044</v>
          </cell>
          <cell r="D129">
            <v>45.903717460317473</v>
          </cell>
        </row>
        <row r="130">
          <cell r="C130">
            <v>45.983507692307683</v>
          </cell>
          <cell r="D130">
            <v>46.059390769230774</v>
          </cell>
        </row>
        <row r="131">
          <cell r="C131">
            <v>46.4754</v>
          </cell>
          <cell r="D131">
            <v>46.568800000000003</v>
          </cell>
        </row>
        <row r="132">
          <cell r="C132">
            <v>46.985500000000002</v>
          </cell>
          <cell r="D132">
            <v>47.087000000000003</v>
          </cell>
        </row>
        <row r="133">
          <cell r="C133">
            <v>47.346499999999999</v>
          </cell>
          <cell r="D133">
            <v>47.448399999999999</v>
          </cell>
        </row>
        <row r="134">
          <cell r="C134">
            <v>47.508800000000001</v>
          </cell>
          <cell r="D134">
            <v>47.609099999999998</v>
          </cell>
        </row>
        <row r="135">
          <cell r="C135">
            <v>47.902087301587301</v>
          </cell>
          <cell r="D135">
            <v>47.995415873015865</v>
          </cell>
        </row>
        <row r="136">
          <cell r="C136">
            <v>48.729500000000002</v>
          </cell>
          <cell r="D136">
            <v>48.820900000000002</v>
          </cell>
        </row>
        <row r="137">
          <cell r="C137">
            <v>49.306100000000001</v>
          </cell>
          <cell r="D137">
            <v>49.399900000000002</v>
          </cell>
        </row>
        <row r="138">
          <cell r="C138">
            <v>49.6235</v>
          </cell>
          <cell r="D138">
            <v>49.705599999999997</v>
          </cell>
        </row>
        <row r="139">
          <cell r="C139">
            <v>50.031599999999997</v>
          </cell>
          <cell r="D139">
            <v>50.102400000000003</v>
          </cell>
        </row>
        <row r="140">
          <cell r="C140">
            <v>50.374400000000001</v>
          </cell>
          <cell r="D140">
            <v>50.469000000000001</v>
          </cell>
        </row>
        <row r="141">
          <cell r="C141">
            <v>50.508699999999997</v>
          </cell>
          <cell r="D141">
            <v>50.611600000000003</v>
          </cell>
        </row>
        <row r="142">
          <cell r="C142">
            <v>51.119199999999999</v>
          </cell>
          <cell r="D142">
            <v>51.235500000000002</v>
          </cell>
        </row>
        <row r="143">
          <cell r="C143">
            <v>52.737000000000002</v>
          </cell>
          <cell r="D143">
            <v>52.839300000000001</v>
          </cell>
        </row>
        <row r="144">
          <cell r="C144">
            <v>53.341299999999997</v>
          </cell>
          <cell r="D144">
            <v>53.417400000000001</v>
          </cell>
        </row>
        <row r="145">
          <cell r="C145">
            <v>55.770099999999999</v>
          </cell>
          <cell r="D145">
            <v>55.850200000000001</v>
          </cell>
        </row>
        <row r="146">
          <cell r="C146">
            <v>58.321899999999999</v>
          </cell>
          <cell r="D146">
            <v>58.430399999999999</v>
          </cell>
        </row>
        <row r="147">
          <cell r="C147">
            <v>58.232100000000003</v>
          </cell>
          <cell r="D147">
            <v>58.415300000000002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s"/>
      <sheetName val="Acumulado"/>
      <sheetName val="Anual"/>
      <sheetName val="Anual (% PIB)"/>
      <sheetName val="Internet-Flujos"/>
      <sheetName val="Internet-Anual"/>
      <sheetName val="Internet-% PIB"/>
      <sheetName val="Resumen-Gobernador"/>
      <sheetName val="Resumen Informe Economía"/>
      <sheetName val="Informe Economía"/>
      <sheetName val="Formato Completo"/>
    </sheetNames>
    <sheetDataSet>
      <sheetData sheetId="0">
        <row r="164">
          <cell r="GA164">
            <v>-183679.17460656184</v>
          </cell>
        </row>
      </sheetData>
      <sheetData sheetId="1"/>
      <sheetData sheetId="2">
        <row r="6">
          <cell r="C6">
            <v>46876.854980501004</v>
          </cell>
          <cell r="D6">
            <v>56413.066942129997</v>
          </cell>
          <cell r="E6">
            <v>61966.763715680005</v>
          </cell>
          <cell r="F6">
            <v>73347.963566949882</v>
          </cell>
          <cell r="G6">
            <v>115961.45438214924</v>
          </cell>
          <cell r="H6">
            <v>144659.41068025253</v>
          </cell>
          <cell r="I6">
            <v>174609.68583768999</v>
          </cell>
          <cell r="J6">
            <v>215402.25918326</v>
          </cell>
          <cell r="K6">
            <v>234065.32939916299</v>
          </cell>
          <cell r="L6">
            <v>217249.62425513004</v>
          </cell>
          <cell r="M6">
            <v>239392.89586293002</v>
          </cell>
          <cell r="N6">
            <v>268722.94467641</v>
          </cell>
          <cell r="O6">
            <v>307971.00554863998</v>
          </cell>
          <cell r="P6">
            <v>350739.92286153004</v>
          </cell>
          <cell r="Q6">
            <v>388897.49519757007</v>
          </cell>
          <cell r="R6">
            <v>409918.93940197001</v>
          </cell>
          <cell r="S6">
            <v>448623.39895464008</v>
          </cell>
          <cell r="T6">
            <v>493336.47243391996</v>
          </cell>
          <cell r="U6">
            <v>549941.54041881999</v>
          </cell>
          <cell r="V6">
            <v>605379.59958098002</v>
          </cell>
          <cell r="W6">
            <v>550605.11969921004</v>
          </cell>
        </row>
        <row r="37">
          <cell r="C37">
            <v>2939.8983236179438</v>
          </cell>
          <cell r="D37">
            <v>3318.1285765512152</v>
          </cell>
          <cell r="E37">
            <v>5223.510037500926</v>
          </cell>
          <cell r="F37">
            <v>10182.446784129232</v>
          </cell>
          <cell r="G37">
            <v>16594.993291454804</v>
          </cell>
          <cell r="H37">
            <v>13323.782970608137</v>
          </cell>
          <cell r="I37">
            <v>16225.690678337793</v>
          </cell>
          <cell r="J37">
            <v>16348.299015062934</v>
          </cell>
          <cell r="K37">
            <v>25242.127907993414</v>
          </cell>
          <cell r="L37">
            <v>31954.497836668081</v>
          </cell>
          <cell r="M37">
            <v>36420.119906131891</v>
          </cell>
          <cell r="N37">
            <v>44831.062747418007</v>
          </cell>
          <cell r="O37">
            <v>44619.613264988344</v>
          </cell>
          <cell r="P37">
            <v>58306.206734084357</v>
          </cell>
          <cell r="Q37">
            <v>68848.611421097565</v>
          </cell>
          <cell r="R37">
            <v>74155.556663632262</v>
          </cell>
          <cell r="S37">
            <v>88327.819186605047</v>
          </cell>
          <cell r="T37">
            <v>96829.301064603293</v>
          </cell>
          <cell r="U37">
            <v>109648.63435439646</v>
          </cell>
          <cell r="V37">
            <v>125251.24084255824</v>
          </cell>
          <cell r="W37">
            <v>144393.0265037347</v>
          </cell>
        </row>
        <row r="85">
          <cell r="C85">
            <v>12641.327497783766</v>
          </cell>
          <cell r="D85">
            <v>20931.815095062415</v>
          </cell>
          <cell r="E85">
            <v>24367.335170503153</v>
          </cell>
          <cell r="F85">
            <v>36696.289103069321</v>
          </cell>
          <cell r="G85">
            <v>37036.71334961</v>
          </cell>
          <cell r="H85">
            <v>42470.251212496391</v>
          </cell>
          <cell r="I85">
            <v>46865.592732013502</v>
          </cell>
          <cell r="J85">
            <v>64182.158226896085</v>
          </cell>
          <cell r="K85">
            <v>82914.703533711174</v>
          </cell>
          <cell r="L85">
            <v>62496.823166586189</v>
          </cell>
          <cell r="M85">
            <v>76459.288066449531</v>
          </cell>
          <cell r="N85">
            <v>76373.895881605</v>
          </cell>
          <cell r="O85">
            <v>154259.419537696</v>
          </cell>
          <cell r="P85">
            <v>111865.21958257307</v>
          </cell>
          <cell r="Q85">
            <v>86120.507974799359</v>
          </cell>
          <cell r="R85">
            <v>104866.03214804971</v>
          </cell>
          <cell r="S85">
            <v>105568.29094310869</v>
          </cell>
          <cell r="T85">
            <v>129531.23099508809</v>
          </cell>
          <cell r="U85">
            <v>112445.54102943998</v>
          </cell>
          <cell r="V85">
            <v>106232.659741176</v>
          </cell>
          <cell r="W85">
            <v>131255.219271318</v>
          </cell>
        </row>
        <row r="230">
          <cell r="C230">
            <v>-1.1509407640719066E-2</v>
          </cell>
          <cell r="D230">
            <v>-1.795321829158724E-2</v>
          </cell>
          <cell r="E230">
            <v>-1.6797570946839813E-2</v>
          </cell>
          <cell r="F230">
            <v>-4.5021888920789357E-2</v>
          </cell>
          <cell r="G230">
            <v>-3.0785931195940121E-2</v>
          </cell>
          <cell r="H230">
            <v>-2.6254869220808017E-3</v>
          </cell>
          <cell r="I230">
            <v>1.2273061359966727E-3</v>
          </cell>
          <cell r="J230">
            <v>3.3526081093106079E-3</v>
          </cell>
          <cell r="K230">
            <v>-3.7974900552469451E-2</v>
          </cell>
          <cell r="L230">
            <v>-2.7462177952196253E-2</v>
          </cell>
          <cell r="M230">
            <v>-3.0106488444994479E-2</v>
          </cell>
          <cell r="N230">
            <v>-3.2839594789683395E-2</v>
          </cell>
          <cell r="O230">
            <v>-6.4085665990648064E-2</v>
          </cell>
          <cell r="P230">
            <v>-3.9196659249566591E-2</v>
          </cell>
          <cell r="Q230">
            <v>-3.4889160585256859E-2</v>
          </cell>
          <cell r="R230">
            <v>-2.5900878623019395E-3</v>
          </cell>
          <cell r="S230">
            <v>-2.6819841560906648E-2</v>
          </cell>
          <cell r="T230">
            <v>-2.7831276544242292E-2</v>
          </cell>
          <cell r="U230">
            <v>-2.2770608657879034E-2</v>
          </cell>
          <cell r="V230">
            <v>-2.3200110083950894E-2</v>
          </cell>
          <cell r="W230">
            <v>-7.5872523336652939E-2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órico"/>
    </sheetNames>
    <sheetDataSet>
      <sheetData sheetId="0">
        <row r="14">
          <cell r="L14">
            <v>10593.606015131154</v>
          </cell>
          <cell r="M14">
            <v>21564.558932421998</v>
          </cell>
          <cell r="N14">
            <v>32158.164947553152</v>
          </cell>
        </row>
        <row r="15">
          <cell r="L15">
            <v>10722.34651119682</v>
          </cell>
          <cell r="M15">
            <v>18821.272997112996</v>
          </cell>
          <cell r="N15">
            <v>29543.619508309814</v>
          </cell>
        </row>
        <row r="16">
          <cell r="L16">
            <v>9190.7558765707363</v>
          </cell>
          <cell r="M16">
            <v>17567.107751996999</v>
          </cell>
          <cell r="N16">
            <v>26757.863628567735</v>
          </cell>
        </row>
        <row r="17">
          <cell r="L17">
            <v>7907.5560200097843</v>
          </cell>
          <cell r="M17">
            <v>16246.102142456</v>
          </cell>
          <cell r="N17">
            <v>24153.658162465785</v>
          </cell>
        </row>
        <row r="18">
          <cell r="L18">
            <v>7373.3365892217516</v>
          </cell>
          <cell r="M18">
            <v>16435.726161802002</v>
          </cell>
          <cell r="N18">
            <v>23809.062751023754</v>
          </cell>
        </row>
        <row r="19">
          <cell r="L19">
            <v>8044.2508631876408</v>
          </cell>
          <cell r="M19">
            <v>15159.527987767002</v>
          </cell>
          <cell r="N19">
            <v>23203.778850954644</v>
          </cell>
        </row>
        <row r="20">
          <cell r="L20">
            <v>6591.7294102773376</v>
          </cell>
          <cell r="M20">
            <v>12871.601961141301</v>
          </cell>
          <cell r="N20">
            <v>19463.331371418637</v>
          </cell>
        </row>
        <row r="21">
          <cell r="L21">
            <v>4967.5266252616893</v>
          </cell>
          <cell r="M21">
            <v>11625.56298222039</v>
          </cell>
          <cell r="N21">
            <v>16593.089607482078</v>
          </cell>
        </row>
        <row r="22">
          <cell r="L22">
            <v>4871.1365257380667</v>
          </cell>
          <cell r="M22">
            <v>9946.9670719501628</v>
          </cell>
          <cell r="N22">
            <v>14818.10359768823</v>
          </cell>
        </row>
        <row r="23">
          <cell r="L23">
            <v>5039.3187988402769</v>
          </cell>
          <cell r="M23">
            <v>8214.6915773535457</v>
          </cell>
          <cell r="N23">
            <v>13254.010376193823</v>
          </cell>
        </row>
        <row r="24">
          <cell r="L24">
            <v>4000.4196436948223</v>
          </cell>
          <cell r="M24">
            <v>7218.8400056670007</v>
          </cell>
          <cell r="N24">
            <v>11219.259649361822</v>
          </cell>
        </row>
        <row r="25">
          <cell r="L25">
            <v>1002.6</v>
          </cell>
          <cell r="M25">
            <v>6555.7</v>
          </cell>
          <cell r="N25">
            <v>7558.3</v>
          </cell>
        </row>
        <row r="26">
          <cell r="L26">
            <v>1111.3</v>
          </cell>
          <cell r="M26">
            <v>6295.5</v>
          </cell>
          <cell r="N26">
            <v>7406.8</v>
          </cell>
        </row>
        <row r="27">
          <cell r="L27">
            <v>974.9</v>
          </cell>
          <cell r="M27">
            <v>5847.1</v>
          </cell>
          <cell r="N27">
            <v>6822</v>
          </cell>
        </row>
        <row r="28">
          <cell r="L28">
            <v>1040.8699999999999</v>
          </cell>
          <cell r="M28">
            <v>5544.11</v>
          </cell>
          <cell r="N28">
            <v>6584.98</v>
          </cell>
        </row>
        <row r="29">
          <cell r="L29">
            <v>558.6</v>
          </cell>
          <cell r="M29">
            <v>5185.58</v>
          </cell>
          <cell r="N29">
            <v>5744.18</v>
          </cell>
        </row>
        <row r="30">
          <cell r="L30">
            <v>733.25</v>
          </cell>
          <cell r="M30">
            <v>3669.52</v>
          </cell>
          <cell r="N30">
            <v>4402.7700000000004</v>
          </cell>
        </row>
        <row r="31">
          <cell r="L31">
            <v>619.01</v>
          </cell>
          <cell r="M31">
            <v>3338.53</v>
          </cell>
          <cell r="N31">
            <v>3957.54</v>
          </cell>
        </row>
        <row r="32">
          <cell r="L32">
            <v>465.67</v>
          </cell>
          <cell r="M32">
            <v>2777.87</v>
          </cell>
          <cell r="N32">
            <v>3243.54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 per Cápita"/>
    </sheetNames>
    <sheetDataSet>
      <sheetData sheetId="0">
        <row r="18">
          <cell r="B18">
            <v>8397.8019999999997</v>
          </cell>
          <cell r="E18">
            <v>24107.001565156086</v>
          </cell>
        </row>
        <row r="19">
          <cell r="B19">
            <v>8512.9959999999992</v>
          </cell>
          <cell r="E19">
            <v>25261.12572347391</v>
          </cell>
        </row>
        <row r="20">
          <cell r="B20">
            <v>8627.509</v>
          </cell>
          <cell r="E20">
            <v>25770.161271249992</v>
          </cell>
        </row>
        <row r="21">
          <cell r="B21">
            <v>8745.0840000000007</v>
          </cell>
          <cell r="E21">
            <v>20845.722867682653</v>
          </cell>
        </row>
        <row r="22">
          <cell r="B22">
            <v>8857.6479999999992</v>
          </cell>
          <cell r="E22">
            <v>23186.610878342195</v>
          </cell>
        </row>
        <row r="23">
          <cell r="B23">
            <v>8968.1440000000002</v>
          </cell>
          <cell r="E23">
            <v>35911.737265125819</v>
          </cell>
        </row>
        <row r="24">
          <cell r="B24">
            <v>9071.4580000000005</v>
          </cell>
          <cell r="E24">
            <v>38059.102820740438</v>
          </cell>
        </row>
        <row r="25">
          <cell r="B25">
            <v>9174.0580000000009</v>
          </cell>
          <cell r="E25">
            <v>44092.313714882017</v>
          </cell>
        </row>
        <row r="26">
          <cell r="B26">
            <v>9279.6020000000008</v>
          </cell>
          <cell r="E26">
            <v>48212.578000673922</v>
          </cell>
        </row>
        <row r="27">
          <cell r="B27">
            <v>9380.152</v>
          </cell>
          <cell r="E27">
            <v>48313.28232254793</v>
          </cell>
        </row>
        <row r="28">
          <cell r="B28">
            <v>9478.6119999999992</v>
          </cell>
          <cell r="E28">
            <v>53889.605310142186</v>
          </cell>
        </row>
        <row r="29">
          <cell r="B29">
            <v>9580.1389999999992</v>
          </cell>
          <cell r="E29">
            <v>58074.571304093872</v>
          </cell>
        </row>
        <row r="30">
          <cell r="B30">
            <v>9680.9629999999997</v>
          </cell>
          <cell r="E30">
            <v>60739.934652436161</v>
          </cell>
        </row>
        <row r="31">
          <cell r="B31">
            <v>9784.68</v>
          </cell>
          <cell r="E31">
            <v>62724.348216228114</v>
          </cell>
        </row>
        <row r="32">
          <cell r="B32">
            <v>9883.4860000000008</v>
          </cell>
          <cell r="E32">
            <v>67254.437483788148</v>
          </cell>
        </row>
        <row r="33">
          <cell r="B33">
            <v>9980.2430000000004</v>
          </cell>
          <cell r="E33">
            <v>71242.993347348558</v>
          </cell>
        </row>
        <row r="34">
          <cell r="B34">
            <v>10075.045</v>
          </cell>
          <cell r="E34">
            <v>75759.444606573292</v>
          </cell>
        </row>
        <row r="35">
          <cell r="B35">
            <v>10169.172</v>
          </cell>
          <cell r="E35">
            <v>80024.521449558117</v>
          </cell>
        </row>
        <row r="36">
          <cell r="B36">
            <v>10266.148999999999</v>
          </cell>
          <cell r="E36">
            <v>85536.894448667386</v>
          </cell>
        </row>
        <row r="38">
          <cell r="E38">
            <v>78828.992652503104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Fuente (US$)"/>
      <sheetName val="Por Fuente (% PIB)"/>
    </sheetNames>
    <sheetDataSet>
      <sheetData sheetId="0"/>
      <sheetData sheetId="1">
        <row r="11">
          <cell r="B11">
            <v>0.18200937487036958</v>
          </cell>
          <cell r="C11">
            <v>0.19757255226415318</v>
          </cell>
          <cell r="D11">
            <v>0.21949383396325986</v>
          </cell>
          <cell r="E11">
            <v>0.39540528742138664</v>
          </cell>
          <cell r="F11">
            <v>0.46901658716672562</v>
          </cell>
          <cell r="G11">
            <v>0.32485234617130354</v>
          </cell>
          <cell r="H11">
            <v>0.34305566868370507</v>
          </cell>
          <cell r="I11">
            <v>0.31155997140071517</v>
          </cell>
          <cell r="J11">
            <v>0.32026082487819191</v>
          </cell>
          <cell r="K11">
            <v>0.3636681085482788</v>
          </cell>
          <cell r="L11">
            <v>0.36566049958230817</v>
          </cell>
          <cell r="M11">
            <v>0.37848923386629479</v>
          </cell>
          <cell r="N11">
            <v>0.41265931785118731</v>
          </cell>
          <cell r="O11">
            <v>0.45066231541464785</v>
          </cell>
          <cell r="P11">
            <v>0.43608423618247844</v>
          </cell>
          <cell r="Q11">
            <v>0.43012370143681572</v>
          </cell>
          <cell r="R11">
            <v>0.45014321550399905</v>
          </cell>
          <cell r="S11">
            <v>0.46504495529483103</v>
          </cell>
          <cell r="T11">
            <v>0.47903866666201389</v>
          </cell>
          <cell r="U11">
            <v>0.50534440591242802</v>
          </cell>
          <cell r="V11">
            <v>0.6909802230143729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 de la Deuda"/>
      <sheetName val="Sheet1"/>
      <sheetName val="Gráfico"/>
    </sheetNames>
    <sheetDataSet>
      <sheetData sheetId="0">
        <row r="15">
          <cell r="M15">
            <v>10022.802826216888</v>
          </cell>
          <cell r="Y15">
            <v>12020.931414528908</v>
          </cell>
          <cell r="AK15">
            <v>15670.256185843204</v>
          </cell>
          <cell r="AW15">
            <v>29619.844654898548</v>
          </cell>
          <cell r="BI15">
            <v>46411.895536235548</v>
          </cell>
          <cell r="BU15">
            <v>42390.309286079399</v>
          </cell>
          <cell r="CG15">
            <v>49773.782945683939</v>
          </cell>
          <cell r="CS15">
            <v>55228.162816560653</v>
          </cell>
          <cell r="DE15">
            <v>63463.717744397945</v>
          </cell>
          <cell r="DQ15">
            <v>75506.636011147464</v>
          </cell>
          <cell r="EC15">
            <v>94995.92789846033</v>
          </cell>
          <cell r="EO15">
            <v>106763.27527210269</v>
          </cell>
          <cell r="FA15">
            <v>107420.97927667639</v>
          </cell>
          <cell r="FM15">
            <v>144068.59782007613</v>
          </cell>
          <cell r="FY15">
            <v>177395.63451060111</v>
          </cell>
          <cell r="GK15">
            <v>262931.00849679444</v>
          </cell>
          <cell r="GW15">
            <v>182047.84739267992</v>
          </cell>
          <cell r="HI15">
            <v>185222.89436984606</v>
          </cell>
          <cell r="HU15">
            <v>233561.46121151224</v>
          </cell>
          <cell r="IG15">
            <v>269846.91750127089</v>
          </cell>
          <cell r="IS15">
            <v>392875.11119685986</v>
          </cell>
        </row>
        <row r="22">
          <cell r="M22">
            <v>46876.854980501004</v>
          </cell>
          <cell r="Y22">
            <v>56413.066942129997</v>
          </cell>
          <cell r="AK22">
            <v>61966.763715680005</v>
          </cell>
          <cell r="AW22">
            <v>73347.963566949882</v>
          </cell>
          <cell r="BI22">
            <v>115961.45438214924</v>
          </cell>
          <cell r="BU22">
            <v>144659.41068025253</v>
          </cell>
          <cell r="CG22">
            <v>174609.68583768999</v>
          </cell>
          <cell r="CS22">
            <v>215402.25918326</v>
          </cell>
          <cell r="DE22">
            <v>234065.32939916299</v>
          </cell>
          <cell r="DQ22">
            <v>217249.62425513004</v>
          </cell>
          <cell r="EC22">
            <v>239392.89586293002</v>
          </cell>
          <cell r="EO22">
            <v>268722.94467641</v>
          </cell>
          <cell r="FA22">
            <v>307971.00554863998</v>
          </cell>
          <cell r="FM22">
            <v>350739.92286153004</v>
          </cell>
          <cell r="FY22">
            <v>388897.49519757007</v>
          </cell>
          <cell r="GK22">
            <v>409918.93940197001</v>
          </cell>
          <cell r="GW22">
            <v>448623.39895464008</v>
          </cell>
          <cell r="HI22">
            <v>493336.47243391996</v>
          </cell>
          <cell r="HU22">
            <v>549941.54041881999</v>
          </cell>
        </row>
        <row r="38">
          <cell r="IG38">
            <v>0.44574828370174402</v>
          </cell>
          <cell r="IS38">
            <v>0.71353334202828245</v>
          </cell>
        </row>
      </sheetData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GRANDES ACREEDORES"/>
    </sheetNames>
    <sheetDataSet>
      <sheetData sheetId="0">
        <row r="25">
          <cell r="T25">
            <v>30.073497759071994</v>
          </cell>
          <cell r="V25">
            <v>23.524807351840685</v>
          </cell>
        </row>
        <row r="35">
          <cell r="T35">
            <v>41.159881706343953</v>
          </cell>
          <cell r="V35">
            <v>38.292563297245692</v>
          </cell>
        </row>
        <row r="43">
          <cell r="T43">
            <v>28.76662053458406</v>
          </cell>
          <cell r="V43">
            <v>38.182629350913636</v>
          </cell>
        </row>
        <row r="52">
          <cell r="T52">
            <v>1.1142939745601164</v>
          </cell>
          <cell r="V52">
            <v>1.1735799655544188</v>
          </cell>
        </row>
        <row r="54">
          <cell r="T54">
            <v>38.559584287614577</v>
          </cell>
          <cell r="V54">
            <v>40.611146280317243</v>
          </cell>
        </row>
        <row r="56">
          <cell r="T56">
            <v>6.2156191857232628</v>
          </cell>
          <cell r="V56">
            <v>6.781190495642007</v>
          </cell>
        </row>
        <row r="57">
          <cell r="T57">
            <v>27.616428810646116</v>
          </cell>
          <cell r="V57">
            <v>37.650286204946084</v>
          </cell>
        </row>
        <row r="58">
          <cell r="T58">
            <v>3.098491473402798</v>
          </cell>
          <cell r="V58">
            <v>3.2817971747786503</v>
          </cell>
        </row>
        <row r="59">
          <cell r="T59">
            <v>23.279148459855719</v>
          </cell>
          <cell r="V59">
            <v>10.501999878761605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pane xSplit="2" ySplit="1" topLeftCell="C23" activePane="bottomRight" state="frozen"/>
      <selection pane="topRight" activeCell="C1" sqref="C1"/>
      <selection pane="bottomLeft" activeCell="A3" sqref="A3"/>
      <selection pane="bottomRight" activeCell="G37" sqref="G37"/>
    </sheetView>
  </sheetViews>
  <sheetFormatPr defaultRowHeight="15" x14ac:dyDescent="0.25"/>
  <cols>
    <col min="2" max="3" width="10.7109375" customWidth="1"/>
    <col min="4" max="9" width="17.28515625" customWidth="1"/>
    <col min="10" max="11" width="13.85546875" customWidth="1"/>
    <col min="12" max="12" width="16.85546875" customWidth="1"/>
  </cols>
  <sheetData>
    <row r="1" spans="1:12" ht="75" x14ac:dyDescent="0.25">
      <c r="A1" s="22" t="s">
        <v>20</v>
      </c>
      <c r="B1" s="22" t="s">
        <v>21</v>
      </c>
      <c r="C1" s="22" t="s">
        <v>72</v>
      </c>
      <c r="D1" s="3" t="s">
        <v>26</v>
      </c>
      <c r="E1" s="3" t="s">
        <v>27</v>
      </c>
      <c r="F1" s="3" t="s">
        <v>28</v>
      </c>
      <c r="G1" s="32" t="s">
        <v>83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</row>
    <row r="2" spans="1:12" x14ac:dyDescent="0.25">
      <c r="A2" s="54">
        <v>2012</v>
      </c>
      <c r="B2" t="s">
        <v>73</v>
      </c>
      <c r="C2" s="50" t="str">
        <f>+A2&amp;"-"&amp;B2</f>
        <v>2012-T1</v>
      </c>
      <c r="D2" s="2">
        <f>+[1]BOP_TRIM!$P$16</f>
        <v>958.80000000000018</v>
      </c>
      <c r="E2" s="2">
        <f>+[1]BOP_TRIM!$P$17</f>
        <v>1104.0999999999999</v>
      </c>
      <c r="F2" s="2"/>
      <c r="G2" s="2">
        <f>+[1]BOP_TRIM!$P$24</f>
        <v>1441.7</v>
      </c>
      <c r="H2" s="2">
        <f>(+[1]BOP_TRIM!$P$36)*-1</f>
        <v>485.8</v>
      </c>
      <c r="I2" s="2">
        <f>+[1]BOP_TRIM!$P$48</f>
        <v>0</v>
      </c>
      <c r="J2" s="14">
        <f>+'[2]EO-Trimestral'!AJ52-'[2]EO-Trimestral'!EZ52-'[2]EO-Trimestral'!FF52</f>
        <v>7926.8979614545897</v>
      </c>
      <c r="K2" s="1">
        <f>+J2/AVERAGE([3]PromTrimestral!C112:D112)</f>
        <v>203.38809900242418</v>
      </c>
      <c r="L2" s="14">
        <f>+(K2/SUM(D2:E2,G2,H2,I2))*100</f>
        <v>5.0969351193470365</v>
      </c>
    </row>
    <row r="3" spans="1:12" x14ac:dyDescent="0.25">
      <c r="A3" s="54">
        <v>2012</v>
      </c>
      <c r="B3" t="s">
        <v>74</v>
      </c>
      <c r="C3" s="50" t="str">
        <f t="shared" ref="C3:C37" si="0">+A3&amp;"-"&amp;B3</f>
        <v>2012-T2</v>
      </c>
      <c r="D3" s="2">
        <f>+[1]BOP_TRIM!$Q$16</f>
        <v>1017.5999999999997</v>
      </c>
      <c r="E3" s="2">
        <f>+[1]BOP_TRIM!$Q$17</f>
        <v>1278.8</v>
      </c>
      <c r="F3" s="2"/>
      <c r="G3" s="2">
        <f>+[1]BOP_TRIM!$Q$24</f>
        <v>1079.7</v>
      </c>
      <c r="H3" s="2">
        <f>(+[1]BOP_TRIM!$Q$36)*-1</f>
        <v>411.8</v>
      </c>
      <c r="I3" s="2">
        <f>+[1]BOP_TRIM!$Q$48</f>
        <v>0</v>
      </c>
      <c r="J3" s="14">
        <f>+'[2]EO-Trimestral'!AJ53-'[2]EO-Trimestral'!EZ53-'[2]EO-Trimestral'!FF53</f>
        <v>12480.05297782142</v>
      </c>
      <c r="K3" s="1">
        <f>+J3/AVERAGE([3]PromTrimestral!C113:D113)</f>
        <v>319.42734250322451</v>
      </c>
      <c r="L3" s="14">
        <f t="shared" ref="L3:L31" si="1">+(K3/SUM(D3:E3,G3,H3,I3))*100</f>
        <v>8.432834618211265</v>
      </c>
    </row>
    <row r="4" spans="1:12" x14ac:dyDescent="0.25">
      <c r="A4" s="54">
        <v>2012</v>
      </c>
      <c r="B4" t="s">
        <v>75</v>
      </c>
      <c r="C4" s="50" t="str">
        <f t="shared" si="0"/>
        <v>2012-T3</v>
      </c>
      <c r="D4" s="2">
        <f>+[1]BOP_TRIM!$S$16</f>
        <v>952.7</v>
      </c>
      <c r="E4" s="2">
        <f>+[1]BOP_TRIM!$S$17</f>
        <v>1305.3999999999999</v>
      </c>
      <c r="F4" s="2"/>
      <c r="G4" s="2">
        <f>+[1]BOP_TRIM!$S$24</f>
        <v>1096.2</v>
      </c>
      <c r="H4" s="2">
        <f>(+[1]BOP_TRIM!$S$36)*-1</f>
        <v>527.09999999999991</v>
      </c>
      <c r="I4" s="2">
        <f>+[1]BOP_TRIM!$S$48</f>
        <v>0</v>
      </c>
      <c r="J4" s="14">
        <f>+'[2]EO-Trimestral'!AJ54-'[2]EO-Trimestral'!EZ54-'[2]EO-Trimestral'!FF54</f>
        <v>8449.2567633986218</v>
      </c>
      <c r="K4" s="1">
        <f>+J4/AVERAGE([3]PromTrimestral!C114:D114)</f>
        <v>215.73102465125149</v>
      </c>
      <c r="L4" s="14">
        <f t="shared" si="1"/>
        <v>5.5580724648645194</v>
      </c>
    </row>
    <row r="5" spans="1:12" x14ac:dyDescent="0.25">
      <c r="A5" s="54">
        <v>2012</v>
      </c>
      <c r="B5" t="s">
        <v>76</v>
      </c>
      <c r="C5" s="50" t="str">
        <f t="shared" si="0"/>
        <v>2012-T4</v>
      </c>
      <c r="D5" s="2">
        <f>+[1]BOP_TRIM!$U$16</f>
        <v>1087.5</v>
      </c>
      <c r="E5" s="2">
        <f>+[1]BOP_TRIM!$U$17</f>
        <v>1230.5999999999999</v>
      </c>
      <c r="F5" s="2"/>
      <c r="G5" s="2">
        <f>+[1]BOP_TRIM!$U$24</f>
        <v>1062.5</v>
      </c>
      <c r="H5" s="2">
        <f>(+[1]BOP_TRIM!$U$36)*-1</f>
        <v>500.6</v>
      </c>
      <c r="I5" s="2">
        <f>+[1]BOP_TRIM!$U$48</f>
        <v>0</v>
      </c>
      <c r="J5" s="14">
        <f>+'[2]EO-Trimestral'!AJ55-'[2]EO-Trimestral'!EZ55-'[2]EO-Trimestral'!FF55</f>
        <v>12891.400906993502</v>
      </c>
      <c r="K5" s="1">
        <f>+J5/AVERAGE([3]PromTrimestral!C115:D115)</f>
        <v>323.23725943881567</v>
      </c>
      <c r="L5" s="14">
        <f t="shared" si="1"/>
        <v>8.3282814448834301</v>
      </c>
    </row>
    <row r="6" spans="1:12" x14ac:dyDescent="0.25">
      <c r="A6" s="54">
        <f>+A2+1</f>
        <v>2013</v>
      </c>
      <c r="B6" t="s">
        <v>73</v>
      </c>
      <c r="C6" s="50" t="str">
        <f t="shared" si="0"/>
        <v>2013-T1</v>
      </c>
      <c r="D6" s="2">
        <f>+[1]BOP_TRIM!$W$16</f>
        <v>1081.3000000000002</v>
      </c>
      <c r="E6" s="2">
        <f>+[1]BOP_TRIM!$W$17</f>
        <v>1129.4000000000001</v>
      </c>
      <c r="F6" s="2"/>
      <c r="G6" s="2">
        <f>+[1]BOP_TRIM!$W$24</f>
        <v>1418.0000000000002</v>
      </c>
      <c r="H6" s="2">
        <f>(+[1]BOP_TRIM!$W$36)*-1</f>
        <v>526.69999999999993</v>
      </c>
      <c r="I6" s="2">
        <f>+[1]BOP_TRIM!$W$48</f>
        <v>0</v>
      </c>
      <c r="J6" s="14">
        <f>+'[2]EO-Trimestral'!AJ56-'[2]EO-Trimestral'!EZ56-'[2]EO-Trimestral'!FF56</f>
        <v>11399.185582443928</v>
      </c>
      <c r="K6" s="1">
        <f>+J6/AVERAGE([3]PromTrimestral!C116:D116)</f>
        <v>279.24540034342317</v>
      </c>
      <c r="L6" s="14">
        <f t="shared" si="1"/>
        <v>6.7200606522458282</v>
      </c>
    </row>
    <row r="7" spans="1:12" x14ac:dyDescent="0.25">
      <c r="A7" s="54">
        <f t="shared" ref="A7:A9" si="2">+A3+1</f>
        <v>2013</v>
      </c>
      <c r="B7" t="s">
        <v>74</v>
      </c>
      <c r="C7" s="50" t="str">
        <f t="shared" si="0"/>
        <v>2013-T2</v>
      </c>
      <c r="D7" s="2">
        <f>+[1]BOP_TRIM!$X$16</f>
        <v>1199.6000000000001</v>
      </c>
      <c r="E7" s="2">
        <f>+[1]BOP_TRIM!$X$17</f>
        <v>1320.1000000000001</v>
      </c>
      <c r="F7" s="2"/>
      <c r="G7" s="2">
        <f>+[1]BOP_TRIM!$X$24</f>
        <v>1170.5000000000002</v>
      </c>
      <c r="H7" s="2">
        <f>(+[1]BOP_TRIM!$X$36)*-1</f>
        <v>587.5</v>
      </c>
      <c r="I7" s="2">
        <f>+[1]BOP_TRIM!$X$48</f>
        <v>0</v>
      </c>
      <c r="J7" s="14">
        <f>+'[2]EO-Trimestral'!AJ57-'[2]EO-Trimestral'!EZ57-'[2]EO-Trimestral'!FF57</f>
        <v>15062.762607017796</v>
      </c>
      <c r="K7" s="1">
        <f>+J7/AVERAGE([3]PromTrimestral!C117:D117)</f>
        <v>365.16069868749588</v>
      </c>
      <c r="L7" s="14">
        <f t="shared" si="1"/>
        <v>8.5363793320591874</v>
      </c>
    </row>
    <row r="8" spans="1:12" x14ac:dyDescent="0.25">
      <c r="A8" s="54">
        <f t="shared" si="2"/>
        <v>2013</v>
      </c>
      <c r="B8" t="s">
        <v>75</v>
      </c>
      <c r="C8" s="50" t="str">
        <f t="shared" si="0"/>
        <v>2013-T3</v>
      </c>
      <c r="D8" s="2">
        <f>+[1]BOP_TRIM!$Z$16</f>
        <v>1066.5</v>
      </c>
      <c r="E8" s="2">
        <f>+[1]BOP_TRIM!$Z$17</f>
        <v>1311.1</v>
      </c>
      <c r="F8" s="2"/>
      <c r="G8" s="2">
        <f>+[1]BOP_TRIM!$Z$24</f>
        <v>1246.8999999999999</v>
      </c>
      <c r="H8" s="2">
        <f>(+[1]BOP_TRIM!$Z$36)*-1</f>
        <v>870.6</v>
      </c>
      <c r="I8" s="2">
        <f>+[1]BOP_TRIM!$Z$48</f>
        <v>0</v>
      </c>
      <c r="J8" s="14">
        <f>+'[2]EO-Trimestral'!AJ58-'[2]EO-Trimestral'!EZ58-'[2]EO-Trimestral'!FF58</f>
        <v>22221.913262810238</v>
      </c>
      <c r="K8" s="1">
        <f>+J8/AVERAGE([3]PromTrimestral!C118:D118)</f>
        <v>524.92150184494722</v>
      </c>
      <c r="L8" s="14">
        <f t="shared" si="1"/>
        <v>11.67763791339341</v>
      </c>
    </row>
    <row r="9" spans="1:12" x14ac:dyDescent="0.25">
      <c r="A9" s="54">
        <f t="shared" si="2"/>
        <v>2013</v>
      </c>
      <c r="B9" t="s">
        <v>76</v>
      </c>
      <c r="C9" s="50" t="str">
        <f t="shared" si="0"/>
        <v>2013-T4</v>
      </c>
      <c r="D9" s="2">
        <f>+[1]BOP_TRIM!$AB$16</f>
        <v>1100.6000000000001</v>
      </c>
      <c r="E9" s="2">
        <f>+[1]BOP_TRIM!$AB$17</f>
        <v>1215.8</v>
      </c>
      <c r="F9" s="2"/>
      <c r="G9" s="2">
        <f>+[1]BOP_TRIM!$AB$24</f>
        <v>1219.2999999999997</v>
      </c>
      <c r="H9" s="2">
        <f>(+[1]BOP_TRIM!$AB$36)*-1</f>
        <v>526.4</v>
      </c>
      <c r="I9" s="2">
        <f>+[1]BOP_TRIM!$AB$48</f>
        <v>0</v>
      </c>
      <c r="J9" s="14">
        <f>+'[2]EO-Trimestral'!AJ59-'[2]EO-Trimestral'!EZ59-'[2]EO-Trimestral'!FF59</f>
        <v>17142.52085342033</v>
      </c>
      <c r="K9" s="1">
        <f>+J9/AVERAGE([3]PromTrimestral!C119:D119)</f>
        <v>402.97767738405719</v>
      </c>
      <c r="L9" s="14">
        <f t="shared" si="1"/>
        <v>9.9204273007571739</v>
      </c>
    </row>
    <row r="10" spans="1:12" x14ac:dyDescent="0.25">
      <c r="A10" s="54">
        <f t="shared" ref="A10:A13" si="3">+A6+1</f>
        <v>2014</v>
      </c>
      <c r="B10" t="s">
        <v>73</v>
      </c>
      <c r="C10" s="50" t="str">
        <f t="shared" si="0"/>
        <v>2014-T1</v>
      </c>
      <c r="D10" s="2">
        <f>+[1]BOP_TRIM!$AD$16</f>
        <v>1188.6000000000001</v>
      </c>
      <c r="E10" s="2">
        <f>+[1]BOP_TRIM!$AD$17</f>
        <v>1190.9999999999998</v>
      </c>
      <c r="F10" s="2"/>
      <c r="G10" s="2">
        <f>+[1]BOP_TRIM!$AD$24</f>
        <v>1548.9999999999995</v>
      </c>
      <c r="H10" s="2">
        <f>(+[1]BOP_TRIM!$AD$36)*-1</f>
        <v>544</v>
      </c>
      <c r="I10" s="2">
        <f>+[1]BOP_TRIM!$AD$48</f>
        <v>0</v>
      </c>
      <c r="J10" s="14">
        <f>+'[2]EO-Trimestral'!AJ60-'[2]EO-Trimestral'!EZ60-'[2]EO-Trimestral'!FF60</f>
        <v>24878.385062648536</v>
      </c>
      <c r="K10" s="1">
        <f>+J10/AVERAGE([3]PromTrimestral!C120:D120)</f>
        <v>577.58519964080915</v>
      </c>
      <c r="L10" s="14">
        <f t="shared" si="1"/>
        <v>12.913857703367377</v>
      </c>
    </row>
    <row r="11" spans="1:12" x14ac:dyDescent="0.25">
      <c r="A11" s="54">
        <f t="shared" si="3"/>
        <v>2014</v>
      </c>
      <c r="B11" t="s">
        <v>74</v>
      </c>
      <c r="C11" s="50" t="str">
        <f t="shared" si="0"/>
        <v>2014-T2</v>
      </c>
      <c r="D11" s="2">
        <f>+[1]BOP_TRIM!$AE$16</f>
        <v>1198.8999999999999</v>
      </c>
      <c r="E11" s="2">
        <f>+[1]BOP_TRIM!$AE$17</f>
        <v>1339.0999999999997</v>
      </c>
      <c r="F11" s="2"/>
      <c r="G11" s="2">
        <f>+[1]BOP_TRIM!$AE$24</f>
        <v>1344.8</v>
      </c>
      <c r="H11" s="2">
        <f>(+[1]BOP_TRIM!$AE$36)*-1</f>
        <v>773.1</v>
      </c>
      <c r="I11" s="2">
        <f>+[1]BOP_TRIM!$AE$48</f>
        <v>0</v>
      </c>
      <c r="J11" s="14">
        <f>+'[2]EO-Trimestral'!AJ61-'[2]EO-Trimestral'!EZ61-'[2]EO-Trimestral'!FF61</f>
        <v>20273.188140640981</v>
      </c>
      <c r="K11" s="1">
        <f>+J11/AVERAGE([3]PromTrimestral!C121:D121)</f>
        <v>468.54598263950703</v>
      </c>
      <c r="L11" s="14">
        <f t="shared" si="1"/>
        <v>10.063488963240342</v>
      </c>
    </row>
    <row r="12" spans="1:12" x14ac:dyDescent="0.25">
      <c r="A12" s="54">
        <f t="shared" si="3"/>
        <v>2014</v>
      </c>
      <c r="B12" t="s">
        <v>75</v>
      </c>
      <c r="C12" s="50" t="str">
        <f t="shared" si="0"/>
        <v>2014-T3</v>
      </c>
      <c r="D12" s="2">
        <f>+[1]BOP_TRIM!$AG$16</f>
        <v>1161.8999999999999</v>
      </c>
      <c r="E12" s="2">
        <f>+[1]BOP_TRIM!$AG$17</f>
        <v>1384.1000000000001</v>
      </c>
      <c r="F12" s="2"/>
      <c r="G12" s="2">
        <f>+[1]BOP_TRIM!$AG$24</f>
        <v>1384.2</v>
      </c>
      <c r="H12" s="2">
        <f>(+[1]BOP_TRIM!$AG$36)*-1</f>
        <v>698.69999999999993</v>
      </c>
      <c r="I12" s="2">
        <f>+[1]BOP_TRIM!$AG$48</f>
        <v>0</v>
      </c>
      <c r="J12" s="14">
        <f>+'[2]EO-Trimestral'!AJ62-'[2]EO-Trimestral'!EZ62-'[2]EO-Trimestral'!FF62</f>
        <v>25234.888603131523</v>
      </c>
      <c r="K12" s="1">
        <f>+J12/AVERAGE([3]PromTrimestral!C122:D122)</f>
        <v>578.90997900066236</v>
      </c>
      <c r="L12" s="14">
        <f t="shared" si="1"/>
        <v>12.506426559240044</v>
      </c>
    </row>
    <row r="13" spans="1:12" x14ac:dyDescent="0.25">
      <c r="A13" s="54">
        <f t="shared" si="3"/>
        <v>2014</v>
      </c>
      <c r="B13" t="s">
        <v>76</v>
      </c>
      <c r="C13" s="50" t="str">
        <f t="shared" si="0"/>
        <v>2014-T4</v>
      </c>
      <c r="D13" s="2">
        <f>+[1]BOP_TRIM!$AI$16</f>
        <v>1087.8000000000002</v>
      </c>
      <c r="E13" s="2">
        <f>+[1]BOP_TRIM!$AI$17</f>
        <v>1347.5</v>
      </c>
      <c r="F13" s="2"/>
      <c r="G13" s="2">
        <f>+[1]BOP_TRIM!$AI$24</f>
        <v>1351.8000000000004</v>
      </c>
      <c r="H13" s="2">
        <f>(+[1]BOP_TRIM!$AI$36)*-1</f>
        <v>729.49999999999989</v>
      </c>
      <c r="I13" s="2">
        <f>+[1]BOP_TRIM!$AI$48</f>
        <v>0</v>
      </c>
      <c r="J13" s="14">
        <f>+'[2]EO-Trimestral'!AJ63-'[2]EO-Trimestral'!EZ63-'[2]EO-Trimestral'!FF63</f>
        <v>22644.725886307355</v>
      </c>
      <c r="K13" s="1">
        <f>+J13/AVERAGE([3]PromTrimestral!C123:D123)</f>
        <v>514.14864482461758</v>
      </c>
      <c r="L13" s="14">
        <f t="shared" si="1"/>
        <v>11.383532852690465</v>
      </c>
    </row>
    <row r="14" spans="1:12" x14ac:dyDescent="0.25">
      <c r="A14" s="54">
        <f t="shared" ref="A14:A17" si="4">+A10+1</f>
        <v>2015</v>
      </c>
      <c r="B14" t="s">
        <v>73</v>
      </c>
      <c r="C14" s="50" t="str">
        <f t="shared" si="0"/>
        <v>2015-T1</v>
      </c>
      <c r="D14" s="2">
        <f>+[1]BOP_TRIM!$AK$16</f>
        <v>993.8</v>
      </c>
      <c r="E14" s="2">
        <f>+[1]BOP_TRIM!$AK$17</f>
        <v>1272.0000000000002</v>
      </c>
      <c r="F14" s="2"/>
      <c r="G14" s="2">
        <f>+[1]BOP_TRIM!$AK$24</f>
        <v>1664.7000000000003</v>
      </c>
      <c r="H14" s="2">
        <f>(+[1]BOP_TRIM!$AK$36)*-1</f>
        <v>470.5</v>
      </c>
      <c r="I14" s="2">
        <f>+[1]BOP_TRIM!$AK$48</f>
        <v>0</v>
      </c>
      <c r="J14" s="14">
        <f>+'[2]EO-Trimestral'!AJ64-'[2]EO-Trimestral'!EZ64-'[2]EO-Trimestral'!FF64+[4]Flujos!$GA$164</f>
        <v>14445.959315814456</v>
      </c>
      <c r="K14" s="1">
        <f>+J14/AVERAGE([3]PromTrimestral!C124:D124)</f>
        <v>323.25862700433237</v>
      </c>
      <c r="L14" s="14">
        <f t="shared" si="1"/>
        <v>7.3451176324547234</v>
      </c>
    </row>
    <row r="15" spans="1:12" x14ac:dyDescent="0.25">
      <c r="A15" s="54">
        <f t="shared" si="4"/>
        <v>2015</v>
      </c>
      <c r="B15" t="s">
        <v>74</v>
      </c>
      <c r="C15" s="50" t="str">
        <f t="shared" si="0"/>
        <v>2015-T2</v>
      </c>
      <c r="D15" s="2">
        <f>+[1]BOP_TRIM!$AL$16</f>
        <v>1096.7</v>
      </c>
      <c r="E15" s="2">
        <f>+[1]BOP_TRIM!$AL$17</f>
        <v>1409.0000000000002</v>
      </c>
      <c r="F15" s="2"/>
      <c r="G15" s="2">
        <f>+[1]BOP_TRIM!$AL$24</f>
        <v>1467.8999999999996</v>
      </c>
      <c r="H15" s="2">
        <f>(+[1]BOP_TRIM!$AL$36)*-1</f>
        <v>556.4</v>
      </c>
      <c r="I15" s="2">
        <f>+[1]BOP_TRIM!$AL$48</f>
        <v>0</v>
      </c>
      <c r="J15" s="14">
        <f>+'[2]EO-Trimestral'!AJ65-'[2]EO-Trimestral'!EZ65-'[2]EO-Trimestral'!FF65</f>
        <v>20591.394010494289</v>
      </c>
      <c r="K15" s="1">
        <f>+J15/AVERAGE([3]PromTrimestral!C125:D125)</f>
        <v>459.55064313247851</v>
      </c>
      <c r="L15" s="14">
        <f t="shared" si="1"/>
        <v>10.144605808663986</v>
      </c>
    </row>
    <row r="16" spans="1:12" x14ac:dyDescent="0.25">
      <c r="A16" s="54">
        <f t="shared" si="4"/>
        <v>2015</v>
      </c>
      <c r="B16" t="s">
        <v>75</v>
      </c>
      <c r="C16" s="50" t="str">
        <f t="shared" si="0"/>
        <v>2015-T3</v>
      </c>
      <c r="D16" s="2">
        <f>+[1]BOP_TRIM!$AN$16</f>
        <v>1044.6000000000001</v>
      </c>
      <c r="E16" s="2">
        <f>+[1]BOP_TRIM!$AN$17</f>
        <v>1427.9000000000003</v>
      </c>
      <c r="F16" s="2"/>
      <c r="G16" s="2">
        <f>+[1]BOP_TRIM!$AN$24</f>
        <v>1489</v>
      </c>
      <c r="H16" s="2">
        <f>(+[1]BOP_TRIM!$AN$36)*-1</f>
        <v>533</v>
      </c>
      <c r="I16" s="2">
        <f>+[1]BOP_TRIM!$AN$48</f>
        <v>0</v>
      </c>
      <c r="J16" s="14">
        <f>+'[2]EO-Trimestral'!AJ66-'[2]EO-Trimestral'!EZ66-'[2]EO-Trimestral'!FF66</f>
        <v>21172.999711754015</v>
      </c>
      <c r="K16" s="1">
        <f>+J16/AVERAGE([3]PromTrimestral!C126:D126)</f>
        <v>469.68195948649804</v>
      </c>
      <c r="L16" s="14">
        <f t="shared" si="1"/>
        <v>10.450149282155925</v>
      </c>
    </row>
    <row r="17" spans="1:12" x14ac:dyDescent="0.25">
      <c r="A17" s="54">
        <f t="shared" si="4"/>
        <v>2015</v>
      </c>
      <c r="B17" t="s">
        <v>76</v>
      </c>
      <c r="C17" s="50" t="str">
        <f t="shared" si="0"/>
        <v>2015-T4</v>
      </c>
      <c r="D17" s="2">
        <f>+[1]BOP_TRIM!$AP$16</f>
        <v>883.10000000000014</v>
      </c>
      <c r="E17" s="2">
        <f>+[1]BOP_TRIM!$AP$17</f>
        <v>1314.7</v>
      </c>
      <c r="F17" s="2"/>
      <c r="G17" s="2">
        <f>+[1]BOP_TRIM!$AP$24</f>
        <v>1494.3000000000002</v>
      </c>
      <c r="H17" s="2">
        <f>(+[1]BOP_TRIM!$AP$36)*-1</f>
        <v>776.40000000000009</v>
      </c>
      <c r="I17" s="2">
        <f>+[1]BOP_TRIM!$AP$48</f>
        <v>0</v>
      </c>
      <c r="J17" s="14">
        <f>+'[2]EO-Trimestral'!AJ67-'[2]EO-Trimestral'!EZ67-'[2]EO-Trimestral'!FF67</f>
        <v>20591.27846676678</v>
      </c>
      <c r="K17" s="1">
        <f>+J17/AVERAGE([3]PromTrimestral!C127:D127)</f>
        <v>453.7347825230799</v>
      </c>
      <c r="L17" s="14">
        <f t="shared" si="1"/>
        <v>10.154073682960275</v>
      </c>
    </row>
    <row r="18" spans="1:12" x14ac:dyDescent="0.25">
      <c r="A18" s="54">
        <f>+A14+1</f>
        <v>2016</v>
      </c>
      <c r="B18" t="s">
        <v>73</v>
      </c>
      <c r="C18" s="50" t="str">
        <f t="shared" si="0"/>
        <v>2016-T1</v>
      </c>
      <c r="D18" s="2">
        <f>+[1]BOP_TRIM!$AR$16</f>
        <v>993.3</v>
      </c>
      <c r="E18" s="2">
        <f>+[1]BOP_TRIM!$AR$17</f>
        <v>1261.1000000000001</v>
      </c>
      <c r="F18" s="2"/>
      <c r="G18" s="2">
        <f>+[1]BOP_TRIM!$AR$24</f>
        <v>1800.8</v>
      </c>
      <c r="H18" s="2">
        <f>(+[1]BOP_TRIM!$AR$36)*-1</f>
        <v>471.9</v>
      </c>
      <c r="I18" s="2">
        <f>+[1]BOP_TRIM!$AR$48</f>
        <v>0</v>
      </c>
      <c r="J18" s="14">
        <f>+'[2]EO-Trimestral'!AJ68-'[2]EO-Trimestral'!EZ68-'[2]EO-Trimestral'!FF68</f>
        <v>21668.389907386772</v>
      </c>
      <c r="K18" s="1">
        <f>+J18/AVERAGE([3]PromTrimestral!C128:D128)</f>
        <v>474.25264436587304</v>
      </c>
      <c r="L18" s="14">
        <f t="shared" si="1"/>
        <v>10.475859697507744</v>
      </c>
    </row>
    <row r="19" spans="1:12" x14ac:dyDescent="0.25">
      <c r="A19" s="54">
        <f t="shared" ref="A19:A21" si="5">+A15+1</f>
        <v>2016</v>
      </c>
      <c r="B19" t="s">
        <v>74</v>
      </c>
      <c r="C19" s="50" t="str">
        <f t="shared" si="0"/>
        <v>2016-T2</v>
      </c>
      <c r="D19" s="2">
        <f>+[1]BOP_TRIM!$AS$16</f>
        <v>1069.8000000000002</v>
      </c>
      <c r="E19" s="2">
        <f>+[1]BOP_TRIM!$AS$17</f>
        <v>1419.7999999999997</v>
      </c>
      <c r="F19" s="2"/>
      <c r="G19" s="2">
        <f>+[1]BOP_TRIM!$AS$24</f>
        <v>1591.1</v>
      </c>
      <c r="H19" s="2">
        <f>(+[1]BOP_TRIM!$AS$36)*-1</f>
        <v>650.5</v>
      </c>
      <c r="I19" s="2">
        <f>+[1]BOP_TRIM!$AS$48</f>
        <v>0</v>
      </c>
      <c r="J19" s="14">
        <f>+'[2]EO-Trimestral'!AJ69-'[2]EO-Trimestral'!EZ69-'[2]EO-Trimestral'!FF69</f>
        <v>19337.429916678859</v>
      </c>
      <c r="K19" s="1">
        <f>+J19/AVERAGE([3]PromTrimestral!C129:D129)</f>
        <v>421.6643618779209</v>
      </c>
      <c r="L19" s="14">
        <f t="shared" si="1"/>
        <v>8.912418876351051</v>
      </c>
    </row>
    <row r="20" spans="1:12" x14ac:dyDescent="0.25">
      <c r="A20" s="54">
        <f t="shared" si="5"/>
        <v>2016</v>
      </c>
      <c r="B20" t="s">
        <v>75</v>
      </c>
      <c r="C20" s="50" t="str">
        <f t="shared" si="0"/>
        <v>2016-T3</v>
      </c>
      <c r="D20" s="2">
        <f>+[1]BOP_TRIM!$AU$16</f>
        <v>1180.3000000000002</v>
      </c>
      <c r="E20" s="2">
        <f>+[1]BOP_TRIM!$AU$17</f>
        <v>1438.6</v>
      </c>
      <c r="F20" s="2"/>
      <c r="G20" s="2">
        <f>+[1]BOP_TRIM!$AU$24</f>
        <v>1693.9</v>
      </c>
      <c r="H20" s="2">
        <f>(+[1]BOP_TRIM!$AU$36)*-1</f>
        <v>739.90000000000009</v>
      </c>
      <c r="I20" s="2">
        <f>+[1]BOP_TRIM!$AU$48</f>
        <v>0</v>
      </c>
      <c r="J20" s="14">
        <f>+'[2]EO-Trimestral'!AJ70-'[2]EO-Trimestral'!EZ70-'[2]EO-Trimestral'!FF70</f>
        <v>22361.218244271011</v>
      </c>
      <c r="K20" s="1">
        <f>+J20/AVERAGE([3]PromTrimestral!C130:D130)</f>
        <v>485.88687705472444</v>
      </c>
      <c r="L20" s="14">
        <f t="shared" si="1"/>
        <v>9.6163808865502478</v>
      </c>
    </row>
    <row r="21" spans="1:12" x14ac:dyDescent="0.25">
      <c r="A21" s="54">
        <f t="shared" si="5"/>
        <v>2016</v>
      </c>
      <c r="B21" t="s">
        <v>76</v>
      </c>
      <c r="C21" s="50" t="str">
        <f t="shared" si="0"/>
        <v>2016-T4</v>
      </c>
      <c r="D21" s="2">
        <f>+[1]BOP_TRIM!$AW$16</f>
        <v>1092.3</v>
      </c>
      <c r="E21" s="2">
        <f>+[1]BOP_TRIM!$AW$17</f>
        <v>1384.3999999999999</v>
      </c>
      <c r="F21" s="2"/>
      <c r="G21" s="2">
        <f>+[1]BOP_TRIM!$AW$24</f>
        <v>1633.8000000000002</v>
      </c>
      <c r="H21" s="2">
        <f>(+[1]BOP_TRIM!$AW$36)*-1</f>
        <v>577.20000000000005</v>
      </c>
      <c r="I21" s="2">
        <f>+[1]BOP_TRIM!$AW$48</f>
        <v>0</v>
      </c>
      <c r="J21" s="14">
        <f>+'[2]EO-Trimestral'!AJ71-'[2]EO-Trimestral'!EZ71-'[2]EO-Trimestral'!FF71</f>
        <v>18926.004586918127</v>
      </c>
      <c r="K21" s="1">
        <f>+J21/AVERAGE([3]PromTrimestral!C131:D131)</f>
        <v>406.81750365779118</v>
      </c>
      <c r="L21" s="14">
        <f t="shared" si="1"/>
        <v>8.6784031328325444</v>
      </c>
    </row>
    <row r="22" spans="1:12" x14ac:dyDescent="0.25">
      <c r="A22" s="54">
        <v>2017</v>
      </c>
      <c r="B22" t="s">
        <v>73</v>
      </c>
      <c r="C22" s="50" t="str">
        <f t="shared" si="0"/>
        <v>2017-T1</v>
      </c>
      <c r="D22" s="2">
        <f>+[1]BOP_TRIM!$AY$16</f>
        <v>1078.0000000000002</v>
      </c>
      <c r="E22" s="2">
        <f>+[1]BOP_TRIM!$AY$17</f>
        <v>1335.5000000000002</v>
      </c>
      <c r="F22" s="2"/>
      <c r="G22" s="2">
        <f>+[1]BOP_TRIM!$AY$24</f>
        <v>1978.6000000000001</v>
      </c>
      <c r="H22" s="2">
        <f>(+[1]BOP_TRIM!$AY$36)*-1</f>
        <v>599.6</v>
      </c>
      <c r="I22" s="2">
        <f>+[1]BOP_TRIM!$AY$48</f>
        <v>0</v>
      </c>
      <c r="J22" s="14">
        <f>+'[2]EO-Trimestral'!AJ72-'[2]EO-Trimestral'!EZ72-'[2]EO-Trimestral'!FF72</f>
        <v>22826.870559154246</v>
      </c>
      <c r="K22" s="1">
        <f>+J22/AVERAGE([3]PromTrimestral!C132:D132)</f>
        <v>485.30379354549405</v>
      </c>
      <c r="L22" s="14">
        <f t="shared" si="1"/>
        <v>9.7222147473905487</v>
      </c>
    </row>
    <row r="23" spans="1:12" x14ac:dyDescent="0.25">
      <c r="A23" s="54">
        <v>2017</v>
      </c>
      <c r="B23" t="s">
        <v>74</v>
      </c>
      <c r="C23" s="50" t="str">
        <f t="shared" si="0"/>
        <v>2017-T2</v>
      </c>
      <c r="D23" s="2">
        <f>+[1]BOP_TRIM!$AZ$16</f>
        <v>1158.5999999999997</v>
      </c>
      <c r="E23" s="2">
        <f>+[1]BOP_TRIM!$AZ$17</f>
        <v>1450.1000000000001</v>
      </c>
      <c r="F23" s="2"/>
      <c r="G23" s="2">
        <f>+[1]BOP_TRIM!$AZ$24</f>
        <v>1790.1000000000001</v>
      </c>
      <c r="H23" s="2">
        <f>(+[1]BOP_TRIM!$AZ$36)*-1</f>
        <v>745.89999999999986</v>
      </c>
      <c r="I23" s="2">
        <f>+[1]BOP_TRIM!$AZ$48</f>
        <v>0</v>
      </c>
      <c r="J23" s="14">
        <f>+'[2]EO-Trimestral'!AJ73-'[2]EO-Trimestral'!EZ73-'[2]EO-Trimestral'!FF73</f>
        <v>20251.701633294029</v>
      </c>
      <c r="K23" s="1">
        <f>+J23/AVERAGE([3]PromTrimestral!C133:D133)</f>
        <v>427.27407557355997</v>
      </c>
      <c r="L23" s="14">
        <f t="shared" si="1"/>
        <v>8.3051310197593633</v>
      </c>
    </row>
    <row r="24" spans="1:12" x14ac:dyDescent="0.25">
      <c r="A24" s="54">
        <v>2017</v>
      </c>
      <c r="B24" t="s">
        <v>75</v>
      </c>
      <c r="C24" s="50" t="str">
        <f t="shared" si="0"/>
        <v>2017-T3</v>
      </c>
      <c r="D24" s="2">
        <f>+[1]BOP_TRIM!$BB$16</f>
        <v>1018</v>
      </c>
      <c r="E24" s="2">
        <f>+[1]BOP_TRIM!$BB$17</f>
        <v>1456.8000000000002</v>
      </c>
      <c r="F24" s="2"/>
      <c r="G24" s="2">
        <f>+[1]BOP_TRIM!$BB$24</f>
        <v>1724.8</v>
      </c>
      <c r="H24" s="2">
        <f>(+[1]BOP_TRIM!$BB$36)*-1</f>
        <v>636.20000000000005</v>
      </c>
      <c r="I24" s="2">
        <f>+[1]BOP_TRIM!$BB$48</f>
        <v>0</v>
      </c>
      <c r="J24" s="14">
        <f>+'[2]EO-Trimestral'!AJ74-'[2]EO-Trimestral'!EZ74-'[2]EO-Trimestral'!FF74</f>
        <v>24921.2643932559</v>
      </c>
      <c r="K24" s="1">
        <f>+J24/AVERAGE([3]PromTrimestral!C134:D134)</f>
        <v>524.00787639878308</v>
      </c>
      <c r="L24" s="14">
        <f t="shared" si="1"/>
        <v>10.836012167558275</v>
      </c>
    </row>
    <row r="25" spans="1:12" x14ac:dyDescent="0.25">
      <c r="A25" s="54">
        <v>2017</v>
      </c>
      <c r="B25" t="s">
        <v>76</v>
      </c>
      <c r="C25" s="50" t="str">
        <f t="shared" si="0"/>
        <v>2017-T4</v>
      </c>
      <c r="D25" s="2">
        <f>+[1]BOP_TRIM!$BD$16</f>
        <v>1170.4000000000003</v>
      </c>
      <c r="E25" s="2">
        <f>+[1]BOP_TRIM!$BD$17</f>
        <v>1467.2</v>
      </c>
      <c r="F25" s="2"/>
      <c r="G25" s="2">
        <f>+[1]BOP_TRIM!$BD$24</f>
        <v>1690.6</v>
      </c>
      <c r="H25" s="2">
        <f>(+[1]BOP_TRIM!$BD$36)*-1</f>
        <v>742.80000000000007</v>
      </c>
      <c r="I25" s="2">
        <f>+[1]BOP_TRIM!$BD$48</f>
        <v>0</v>
      </c>
      <c r="J25" s="14">
        <f>+'[2]EO-Trimestral'!AJ75-'[2]EO-Trimestral'!EZ75-'[2]EO-Trimestral'!FF75</f>
        <v>20394.521249721358</v>
      </c>
      <c r="K25" s="1">
        <f>+J25/AVERAGE([3]PromTrimestral!C135:D135)</f>
        <v>425.33998434950911</v>
      </c>
      <c r="L25" s="14">
        <f t="shared" si="1"/>
        <v>8.3876944261390065</v>
      </c>
    </row>
    <row r="26" spans="1:12" x14ac:dyDescent="0.25">
      <c r="A26" s="54">
        <f>+A22+1</f>
        <v>2018</v>
      </c>
      <c r="B26" t="s">
        <v>73</v>
      </c>
      <c r="C26" s="50" t="str">
        <f t="shared" si="0"/>
        <v>2018-T1</v>
      </c>
      <c r="D26" s="2">
        <f>+[1]BOP_TRIM!$BF$16</f>
        <v>1150.4000000000001</v>
      </c>
      <c r="E26" s="2">
        <f>+[1]BOP_TRIM!$BF$17</f>
        <v>1369.4</v>
      </c>
      <c r="F26" s="2"/>
      <c r="G26" s="2">
        <f>+[1]BOP_TRIM!$BF$24</f>
        <v>2067.9</v>
      </c>
      <c r="H26" s="2">
        <f>(+[1]BOP_TRIM!$BF$36)*-1</f>
        <v>550.9</v>
      </c>
      <c r="I26" s="2">
        <f>+[1]BOP_TRIM!$BF$48</f>
        <v>0</v>
      </c>
      <c r="J26" s="14">
        <f>+'[2]EO-Trimestral'!AJ76-'[2]EO-Trimestral'!EZ76-'[2]EO-Trimestral'!FF76</f>
        <v>26055.517862415189</v>
      </c>
      <c r="K26" s="1">
        <f>+J26/AVERAGE([3]PromTrimestral!C136:D136)</f>
        <v>534.19602302840769</v>
      </c>
      <c r="L26" s="14">
        <f t="shared" si="1"/>
        <v>10.395750263270301</v>
      </c>
    </row>
    <row r="27" spans="1:12" x14ac:dyDescent="0.25">
      <c r="A27" s="54">
        <f t="shared" ref="A27:A29" si="6">+A23+1</f>
        <v>2018</v>
      </c>
      <c r="B27" t="s">
        <v>74</v>
      </c>
      <c r="C27" s="50" t="str">
        <f t="shared" si="0"/>
        <v>2018-T2</v>
      </c>
      <c r="D27" s="2">
        <f>+[1]BOP_TRIM!$BG$16</f>
        <v>1146.7000000000003</v>
      </c>
      <c r="E27" s="2">
        <f>+[1]BOP_TRIM!$BG$17</f>
        <v>1622.9</v>
      </c>
      <c r="F27" s="2"/>
      <c r="G27" s="2">
        <f>+[1]BOP_TRIM!$BG$24</f>
        <v>1885.1999999999998</v>
      </c>
      <c r="H27" s="2">
        <f>(+[1]BOP_TRIM!$BG$36)*-1</f>
        <v>790.80000000000007</v>
      </c>
      <c r="I27" s="2">
        <f>+[1]BOP_TRIM!$BG$48</f>
        <v>0</v>
      </c>
      <c r="J27" s="14">
        <f>+'[2]EO-Trimestral'!AJ77-'[2]EO-Trimestral'!EZ77-'[2]EO-Trimestral'!FF77</f>
        <v>21175.946733569137</v>
      </c>
      <c r="K27" s="1">
        <f>+J27/AVERAGE([3]PromTrimestral!C137:D137)</f>
        <v>429.07111489816498</v>
      </c>
      <c r="L27" s="14">
        <f t="shared" si="1"/>
        <v>7.879225703286413</v>
      </c>
    </row>
    <row r="28" spans="1:12" x14ac:dyDescent="0.25">
      <c r="A28" s="54">
        <f t="shared" si="6"/>
        <v>2018</v>
      </c>
      <c r="B28" t="s">
        <v>75</v>
      </c>
      <c r="C28" s="50" t="str">
        <f t="shared" si="0"/>
        <v>2018-T3</v>
      </c>
      <c r="D28" s="2">
        <f>+[1]BOP_TRIM!$BI$16</f>
        <v>1161.2999999999997</v>
      </c>
      <c r="E28" s="2">
        <f>+[1]BOP_TRIM!$BI$17</f>
        <v>1567.2999999999997</v>
      </c>
      <c r="F28" s="2"/>
      <c r="G28" s="2">
        <f>+[1]BOP_TRIM!$BI$24</f>
        <v>1848.3999999999999</v>
      </c>
      <c r="H28" s="2">
        <f>(+[1]BOP_TRIM!$BI$36)*-1</f>
        <v>766</v>
      </c>
      <c r="I28" s="2">
        <f>+[1]BOP_TRIM!$BI$48</f>
        <v>0</v>
      </c>
      <c r="J28" s="14">
        <f>+'[2]EO-Trimestral'!AJ78-'[2]EO-Trimestral'!EZ78-'[2]EO-Trimestral'!FF78</f>
        <v>26582.761816325004</v>
      </c>
      <c r="K28" s="1">
        <f>+J28/AVERAGE([3]PromTrimestral!C138:D138)</f>
        <v>535.24620310311889</v>
      </c>
      <c r="L28" s="14">
        <f t="shared" si="1"/>
        <v>10.017709210239921</v>
      </c>
    </row>
    <row r="29" spans="1:12" x14ac:dyDescent="0.25">
      <c r="A29" s="54">
        <f t="shared" si="6"/>
        <v>2018</v>
      </c>
      <c r="B29" t="s">
        <v>76</v>
      </c>
      <c r="C29" s="50" t="str">
        <f t="shared" si="0"/>
        <v>2018-T4</v>
      </c>
      <c r="D29" s="2">
        <f>+[1]BOP_TRIM!$BK$16</f>
        <v>1144.5</v>
      </c>
      <c r="E29" s="2">
        <f>+[1]BOP_TRIM!$BK$17</f>
        <v>1475.6</v>
      </c>
      <c r="F29" s="2"/>
      <c r="G29" s="2">
        <f>+[1]BOP_TRIM!$BK$24</f>
        <v>1746.2</v>
      </c>
      <c r="H29" s="2">
        <f>(+[1]BOP_TRIM!$BK$36)*-1</f>
        <v>653.29999999999995</v>
      </c>
      <c r="I29" s="2">
        <f>+[1]BOP_TRIM!$BK$48</f>
        <v>0</v>
      </c>
      <c r="J29" s="14">
        <f>+'[2]EO-Trimestral'!AJ79-'[2]EO-Trimestral'!EZ79-'[2]EO-Trimestral'!FF79</f>
        <v>22831.31953531886</v>
      </c>
      <c r="K29" s="1">
        <f>+J29/AVERAGE([3]PromTrimestral!C139:D139)</f>
        <v>456.01533016395751</v>
      </c>
      <c r="L29" s="14">
        <f t="shared" si="1"/>
        <v>9.0846946004454026</v>
      </c>
    </row>
    <row r="30" spans="1:12" x14ac:dyDescent="0.25">
      <c r="A30" s="54">
        <v>2019</v>
      </c>
      <c r="B30" t="s">
        <v>73</v>
      </c>
      <c r="C30" s="50" t="str">
        <f t="shared" si="0"/>
        <v>2019-T1</v>
      </c>
      <c r="D30" s="2">
        <f>+[1]BOP_TRIM!$BM$16</f>
        <v>1199.3000000000002</v>
      </c>
      <c r="E30" s="2">
        <f>+[1]BOP_TRIM!$BM$17</f>
        <v>1458.4</v>
      </c>
      <c r="F30" s="2"/>
      <c r="G30" s="2">
        <f>+[1]BOP_TRIM!$BM$24</f>
        <v>2176.8999999999996</v>
      </c>
      <c r="H30" s="2">
        <f>(+[1]BOP_TRIM!$BM$36)*-1</f>
        <v>638.29999999999995</v>
      </c>
      <c r="I30" s="2">
        <f>+[1]BOP_TRIM!$BM$48</f>
        <v>0</v>
      </c>
      <c r="J30" s="14">
        <f>+'[2]EO-Trimestral'!AJ80-'[2]EO-Trimestral'!EZ80-'[2]EO-Trimestral'!FF80</f>
        <v>27346.998904917189</v>
      </c>
      <c r="K30" s="1">
        <f>+J30/AVERAGE([3]PromTrimestral!C140:D140)</f>
        <v>542.36566607070347</v>
      </c>
      <c r="L30" s="14">
        <f t="shared" si="1"/>
        <v>9.9100233161706477</v>
      </c>
    </row>
    <row r="31" spans="1:12" x14ac:dyDescent="0.25">
      <c r="A31" s="54">
        <v>2019</v>
      </c>
      <c r="B31" t="s">
        <v>74</v>
      </c>
      <c r="C31" s="50" t="str">
        <f t="shared" si="0"/>
        <v>2019-T2</v>
      </c>
      <c r="D31" s="2">
        <f>+[1]BOP_TRIM!$BN$16</f>
        <v>1225.0999999999999</v>
      </c>
      <c r="E31" s="2">
        <f>+[1]BOP_TRIM!$BN$17</f>
        <v>1591.5</v>
      </c>
      <c r="G31" s="2">
        <f>+[1]BOP_TRIM!$BN$24</f>
        <v>1905.9999999999998</v>
      </c>
      <c r="H31" s="2">
        <f>+[1]BOP_TRIM!$BN$36*-1</f>
        <v>739.9</v>
      </c>
      <c r="I31" s="2">
        <f>+[1]BOP_TRIM!$BN$48</f>
        <v>0</v>
      </c>
      <c r="J31" s="14">
        <f>+'[2]EO-Trimestral'!AJ81-'[2]EO-Trimestral'!EZ81-'[2]EO-Trimestral'!FF81</f>
        <v>46699.667876655898</v>
      </c>
      <c r="K31" s="1">
        <f>+J31/AVERAGE([3]PromTrimestral!C141:D141)</f>
        <v>923.64575414938247</v>
      </c>
      <c r="L31" s="14">
        <f t="shared" si="1"/>
        <v>16.908846757883435</v>
      </c>
    </row>
    <row r="32" spans="1:12" x14ac:dyDescent="0.25">
      <c r="A32" s="54">
        <v>2019</v>
      </c>
      <c r="B32" t="s">
        <v>75</v>
      </c>
      <c r="C32" s="50" t="str">
        <f t="shared" si="0"/>
        <v>2019-T3</v>
      </c>
      <c r="D32" s="2">
        <f>+[1]BOP_TRIM!$BP$16</f>
        <v>1184.0000000000002</v>
      </c>
      <c r="E32" s="2">
        <f>+[1]BOP_TRIM!$BP$17</f>
        <v>1623.7</v>
      </c>
      <c r="G32" s="2">
        <f>+[1]BOP_TRIM!$BP$24</f>
        <v>1671.6999999999998</v>
      </c>
      <c r="H32" s="2">
        <f>+[1]BOP_TRIM!$BP$36*-1</f>
        <v>892.19999999999993</v>
      </c>
      <c r="I32" s="2">
        <f>+[1]BOP_TRIM!$BP$48</f>
        <v>0</v>
      </c>
      <c r="J32" s="14">
        <f>+'[2]EO-Trimestral'!AJ82-'[2]EO-Trimestral'!EZ82-'[2]EO-Trimestral'!FF82</f>
        <v>27390.459978946143</v>
      </c>
      <c r="K32" s="1">
        <f>+J32/AVERAGE([3]PromTrimestral!C142:D142)</f>
        <v>535.2066877035669</v>
      </c>
      <c r="L32" s="14">
        <f>+(K32/SUM(D32:E32,G32,H32,I32))*100</f>
        <v>9.9636363039609606</v>
      </c>
    </row>
    <row r="33" spans="1:12" x14ac:dyDescent="0.25">
      <c r="A33" s="54">
        <v>2019</v>
      </c>
      <c r="B33" t="s">
        <v>76</v>
      </c>
      <c r="C33" s="50" t="str">
        <f t="shared" si="0"/>
        <v>2019-T4</v>
      </c>
      <c r="D33" s="37">
        <f>+[1]BOP_TRIM!$BR$16</f>
        <v>1334.8000000000002</v>
      </c>
      <c r="E33" s="37">
        <f>+[1]BOP_TRIM!$BR$17</f>
        <v>1575.8999999999996</v>
      </c>
      <c r="F33" s="59"/>
      <c r="G33" s="37">
        <f>+[1]BOP_TRIM!$BR$24</f>
        <v>1716.9</v>
      </c>
      <c r="H33" s="37">
        <f>+[1]BOP_TRIM!$BR$36*-1</f>
        <v>590.29999999999995</v>
      </c>
      <c r="I33" s="37">
        <f>+[1]BOP_TRIM!$BR$48</f>
        <v>0</v>
      </c>
      <c r="J33" s="14">
        <f>+'[2]EO-Trimestral'!AJ83-'[2]EO-Trimestral'!EZ83-'[2]EO-Trimestral'!FF83</f>
        <v>25546.255044091209</v>
      </c>
      <c r="K33" s="1">
        <f>+J33/AVERAGE([3]PromTrimestral!C143:D143)</f>
        <v>483.93919931066364</v>
      </c>
      <c r="L33" s="14">
        <f t="shared" ref="L33:L35" si="7">+(K33/SUM(D33:E33,G33,H33,I33))*100</f>
        <v>9.2745970469089798</v>
      </c>
    </row>
    <row r="34" spans="1:12" x14ac:dyDescent="0.25">
      <c r="A34" s="54">
        <v>2020</v>
      </c>
      <c r="B34" t="s">
        <v>73</v>
      </c>
      <c r="C34" s="50" t="str">
        <f t="shared" si="0"/>
        <v>2020-T1</v>
      </c>
      <c r="D34" s="37">
        <f>+[1]BOP_TRIM!$BT$16</f>
        <v>1223.1000000000001</v>
      </c>
      <c r="E34" s="37">
        <f>+[1]BOP_TRIM!$BT$17</f>
        <v>1470.3999999999999</v>
      </c>
      <c r="F34" s="59"/>
      <c r="G34" s="37">
        <f>+[1]BOP_TRIM!$BT$24</f>
        <v>1623.2</v>
      </c>
      <c r="H34" s="37">
        <f>+[1]BOP_TRIM!$BT$36*-1</f>
        <v>584.70000000000005</v>
      </c>
      <c r="I34" s="37">
        <f>+[1]BOP_TRIM!$BT$48</f>
        <v>0</v>
      </c>
      <c r="J34" s="14">
        <f>+'[2]EO-Trimestral'!AJ84-'[2]EO-Trimestral'!EZ84-'[2]EO-Trimestral'!FF84</f>
        <v>25854.945746127964</v>
      </c>
      <c r="K34" s="1">
        <f>+J34/AVERAGE([3]PromTrimestral!C144:D144)</f>
        <v>484.36231887664354</v>
      </c>
      <c r="L34" s="14">
        <f t="shared" si="7"/>
        <v>9.8821218198197176</v>
      </c>
    </row>
    <row r="35" spans="1:12" x14ac:dyDescent="0.25">
      <c r="A35" s="54">
        <v>2020</v>
      </c>
      <c r="B35" t="s">
        <v>74</v>
      </c>
      <c r="C35" s="50" t="str">
        <f t="shared" si="0"/>
        <v>2020-T2</v>
      </c>
      <c r="D35" s="37">
        <f>+[1]BOP_TRIM!$BU$16</f>
        <v>912.7</v>
      </c>
      <c r="E35" s="37">
        <f>+[1]BOP_TRIM!$BU$17</f>
        <v>1142.7</v>
      </c>
      <c r="F35" s="59"/>
      <c r="G35" s="37">
        <f>+[1]BOP_TRIM!$BU$24</f>
        <v>30.6</v>
      </c>
      <c r="H35" s="37">
        <f>+[1]BOP_TRIM!$BU$36*-1</f>
        <v>183.5</v>
      </c>
      <c r="I35" s="37">
        <f>+[1]BOP_TRIM!$BU$48</f>
        <v>0</v>
      </c>
      <c r="J35" s="14">
        <f>+'[2]EO-Trimestral'!AJ85-'[2]EO-Trimestral'!EZ85-'[2]EO-Trimestral'!FF85</f>
        <v>52172.395751260279</v>
      </c>
      <c r="K35" s="1">
        <f>+J35/AVERAGE([3]PromTrimestral!C145:D145)</f>
        <v>934.8191279052337</v>
      </c>
      <c r="L35" s="14">
        <f t="shared" si="7"/>
        <v>41.190532183530898</v>
      </c>
    </row>
    <row r="36" spans="1:12" x14ac:dyDescent="0.25">
      <c r="A36" s="54">
        <v>2020</v>
      </c>
      <c r="B36" t="s">
        <v>75</v>
      </c>
      <c r="C36" s="50" t="str">
        <f t="shared" si="0"/>
        <v>2020-T3</v>
      </c>
      <c r="D36" s="37">
        <f>+[1]BOP_TRIM!$BW$16</f>
        <v>1079.1000000000001</v>
      </c>
      <c r="E36" s="37">
        <f>+[1]BOP_TRIM!$BW$17</f>
        <v>1634.3</v>
      </c>
      <c r="F36" s="59"/>
      <c r="G36" s="37">
        <f>+[1]BOP_TRIM!$BW$24</f>
        <v>358.20000000000005</v>
      </c>
      <c r="H36" s="37">
        <f>+[1]BOP_TRIM!$BW$36*-1</f>
        <v>777.1</v>
      </c>
      <c r="I36" s="37">
        <f>+[1]BOP_TRIM!$BW$48</f>
        <v>0</v>
      </c>
      <c r="J36" s="14">
        <f>+'[2]EO-Trimestral'!AJ86-'[2]EO-Trimestral'!EZ86-'[2]EO-Trimestral'!FF86</f>
        <v>31921.038221221752</v>
      </c>
      <c r="K36" s="1">
        <f>+J36/AVERAGE([3]PromTrimestral!C146:D146)</f>
        <v>546.81643481493302</v>
      </c>
      <c r="L36" s="14">
        <f>+(K36/SUM(D36:E36,G36,H36,I36))*100</f>
        <v>14.207821727204847</v>
      </c>
    </row>
    <row r="37" spans="1:12" x14ac:dyDescent="0.25">
      <c r="A37" s="54">
        <v>2020</v>
      </c>
      <c r="B37" t="s">
        <v>76</v>
      </c>
      <c r="C37" s="50" t="str">
        <f t="shared" si="0"/>
        <v>2020-T4</v>
      </c>
      <c r="D37" s="37">
        <f>+[1]BOP_TRIM!$BY$16</f>
        <v>1184.3</v>
      </c>
      <c r="E37" s="37">
        <f>+[1]BOP_TRIM!$BY$17</f>
        <v>1650.7</v>
      </c>
      <c r="F37" s="59"/>
      <c r="G37" s="37">
        <f>+[1]BOP_TRIM!$BY$24</f>
        <v>661.8</v>
      </c>
      <c r="H37" s="37">
        <f>+[1]BOP_TRIM!$BY$36*-1</f>
        <v>807</v>
      </c>
      <c r="I37" s="37">
        <f>+[1]BOP_TRIM!$BY$48</f>
        <v>0</v>
      </c>
      <c r="J37" s="14">
        <f>+'[2]EO-Trimestral'!AJ87-'[2]EO-Trimestral'!EZ87-'[2]EO-Trimestral'!FF87</f>
        <v>98095.284573207871</v>
      </c>
      <c r="K37" s="1">
        <f>+J37/AVERAGE([3]PromTrimestral!C147:D147)</f>
        <v>1681.9112054483489</v>
      </c>
      <c r="L37" s="14">
        <f>+(K37/SUM(D37:E37,G37,H37,I37))*100</f>
        <v>39.079678550312487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RowHeight="15" x14ac:dyDescent="0.25"/>
  <cols>
    <col min="1" max="1" width="10.28515625" bestFit="1" customWidth="1"/>
    <col min="2" max="7" width="13.140625" customWidth="1"/>
    <col min="8" max="8" width="16.42578125" customWidth="1"/>
    <col min="9" max="9" width="14" customWidth="1"/>
    <col min="10" max="30" width="13.140625" customWidth="1"/>
    <col min="31" max="31" width="13.28515625" customWidth="1"/>
    <col min="32" max="32" width="20" customWidth="1"/>
    <col min="33" max="35" width="13.85546875" customWidth="1"/>
    <col min="36" max="37" width="13.7109375" customWidth="1"/>
    <col min="38" max="38" width="10.5703125" bestFit="1" customWidth="1"/>
  </cols>
  <sheetData>
    <row r="1" spans="1:37" x14ac:dyDescent="0.25">
      <c r="J1" s="66" t="s">
        <v>0</v>
      </c>
      <c r="K1" s="67"/>
      <c r="L1" s="67"/>
      <c r="M1" s="68"/>
      <c r="N1" s="66" t="s">
        <v>2</v>
      </c>
      <c r="O1" s="67"/>
      <c r="P1" s="67"/>
      <c r="Q1" s="67"/>
      <c r="R1" s="67"/>
      <c r="S1" s="67"/>
      <c r="T1" s="68"/>
      <c r="U1" s="66" t="s">
        <v>3</v>
      </c>
      <c r="V1" s="67"/>
      <c r="W1" s="68"/>
      <c r="X1" s="66" t="s">
        <v>4</v>
      </c>
      <c r="Y1" s="67"/>
      <c r="Z1" s="67"/>
      <c r="AA1" s="68"/>
      <c r="AB1" s="66" t="s">
        <v>14</v>
      </c>
      <c r="AC1" s="67"/>
      <c r="AD1" s="67"/>
      <c r="AE1" s="68"/>
    </row>
    <row r="2" spans="1:37" s="3" customFormat="1" ht="63" customHeight="1" x14ac:dyDescent="0.25">
      <c r="A2" s="22" t="s">
        <v>23</v>
      </c>
      <c r="B2" s="3" t="s">
        <v>34</v>
      </c>
      <c r="C2" s="3" t="s">
        <v>35</v>
      </c>
      <c r="D2" s="3" t="s">
        <v>36</v>
      </c>
      <c r="E2" s="3" t="s">
        <v>37</v>
      </c>
      <c r="F2" s="64" t="s">
        <v>71</v>
      </c>
      <c r="G2" s="3" t="s">
        <v>38</v>
      </c>
      <c r="H2" s="3" t="s">
        <v>82</v>
      </c>
      <c r="I2" s="3" t="s">
        <v>39</v>
      </c>
      <c r="J2" s="29" t="s">
        <v>6</v>
      </c>
      <c r="K2" s="30" t="s">
        <v>1</v>
      </c>
      <c r="L2" s="5" t="s">
        <v>40</v>
      </c>
      <c r="M2" s="6" t="s">
        <v>41</v>
      </c>
      <c r="N2" s="29" t="s">
        <v>19</v>
      </c>
      <c r="O2" s="30" t="s">
        <v>7</v>
      </c>
      <c r="P2" s="30" t="s">
        <v>8</v>
      </c>
      <c r="Q2" s="30" t="s">
        <v>48</v>
      </c>
      <c r="R2" s="30" t="s">
        <v>9</v>
      </c>
      <c r="S2" s="30" t="s">
        <v>18</v>
      </c>
      <c r="T2" s="6" t="s">
        <v>42</v>
      </c>
      <c r="U2" s="29" t="s">
        <v>10</v>
      </c>
      <c r="V2" s="30" t="s">
        <v>11</v>
      </c>
      <c r="W2" s="31" t="s">
        <v>12</v>
      </c>
      <c r="X2" s="29" t="s">
        <v>13</v>
      </c>
      <c r="Y2" s="30" t="s">
        <v>5</v>
      </c>
      <c r="Z2" s="5" t="s">
        <v>43</v>
      </c>
      <c r="AA2" s="6" t="s">
        <v>44</v>
      </c>
      <c r="AB2" s="4" t="s">
        <v>45</v>
      </c>
      <c r="AC2" s="5" t="s">
        <v>46</v>
      </c>
      <c r="AD2" s="30" t="s">
        <v>15</v>
      </c>
      <c r="AE2" s="31" t="s">
        <v>16</v>
      </c>
      <c r="AF2" s="22" t="s">
        <v>17</v>
      </c>
      <c r="AG2" s="22" t="s">
        <v>85</v>
      </c>
      <c r="AH2" s="22" t="s">
        <v>24</v>
      </c>
      <c r="AI2" s="22" t="s">
        <v>22</v>
      </c>
      <c r="AJ2" s="3" t="s">
        <v>47</v>
      </c>
      <c r="AK2" s="22" t="s">
        <v>25</v>
      </c>
    </row>
    <row r="3" spans="1:37" x14ac:dyDescent="0.25">
      <c r="A3">
        <v>2000</v>
      </c>
      <c r="B3" s="2">
        <f>+[5]Histórico!$N$32</f>
        <v>3243.54</v>
      </c>
      <c r="C3" s="1">
        <f>(+B3*1000000)/('[6]PIB per Cápita'!B18*1000)</f>
        <v>386.23677957637011</v>
      </c>
      <c r="D3" s="2">
        <f>+B3/'[6]PIB per Cápita'!E18*100</f>
        <v>13.454763302824713</v>
      </c>
      <c r="E3" s="2">
        <f>+'[7]Por Fuente (% PIB)'!B$11*100</f>
        <v>18.20093748703696</v>
      </c>
      <c r="F3" s="2">
        <f>+E3-D3</f>
        <v>4.7461741842122471</v>
      </c>
      <c r="G3" s="2">
        <f>(+[4]Anual!C$37/[4]Anual!C$6)*100</f>
        <v>6.2715349074523665</v>
      </c>
      <c r="H3" s="2">
        <f>+([4]Anual!C$37/[4]Anual!C$85)*100</f>
        <v>23.256246815323443</v>
      </c>
      <c r="I3" s="1">
        <f>(+[4]Anual!C$230)*100</f>
        <v>-1.1509407640719065</v>
      </c>
      <c r="J3" s="17">
        <f>+[5]Histórico!$L$32</f>
        <v>465.67</v>
      </c>
      <c r="K3" s="18">
        <f>+[5]Histórico!$M$32</f>
        <v>2777.87</v>
      </c>
      <c r="L3" s="18">
        <f>+J3/B3*100</f>
        <v>14.356844682044928</v>
      </c>
      <c r="M3" s="19">
        <f>+K3/B3*100</f>
        <v>85.643155317955063</v>
      </c>
      <c r="N3" s="7"/>
      <c r="O3" s="8"/>
      <c r="P3" s="8"/>
      <c r="Q3" s="8"/>
      <c r="R3" s="8"/>
      <c r="S3" s="8"/>
      <c r="T3" s="9"/>
      <c r="U3" s="7"/>
      <c r="V3" s="8"/>
      <c r="W3" s="9"/>
      <c r="X3" s="7"/>
      <c r="Y3" s="8"/>
      <c r="Z3" s="8"/>
      <c r="AA3" s="9"/>
      <c r="AB3" s="7"/>
      <c r="AC3" s="8"/>
      <c r="AD3" s="8"/>
      <c r="AE3" s="9"/>
      <c r="AI3" s="27">
        <f>+'[8]Servicio de la Deuda'!$M$15</f>
        <v>10022.802826216888</v>
      </c>
      <c r="AJ3" s="28">
        <f>+AI3/'[8]Servicio de la Deuda'!$M$22</f>
        <v>0.21381133248777023</v>
      </c>
    </row>
    <row r="4" spans="1:37" x14ac:dyDescent="0.25">
      <c r="A4">
        <f>+A3+1</f>
        <v>2001</v>
      </c>
      <c r="B4" s="2">
        <f>+[5]Histórico!$N$31</f>
        <v>3957.54</v>
      </c>
      <c r="C4" s="1">
        <f>(+B4*1000000)/('[6]PIB per Cápita'!B19*1000)</f>
        <v>464.88216369419177</v>
      </c>
      <c r="D4" s="2">
        <f>+B4/'[6]PIB per Cápita'!E19*100</f>
        <v>15.666522716849688</v>
      </c>
      <c r="E4" s="2">
        <f>+'[7]Por Fuente (% PIB)'!C$11*100</f>
        <v>19.757255226415317</v>
      </c>
      <c r="F4" s="2">
        <f t="shared" ref="F4:F23" si="0">+E4-D4</f>
        <v>4.0907325095656297</v>
      </c>
      <c r="G4" s="2">
        <f>(+[4]Anual!D$37/[4]Anual!D$6)*100</f>
        <v>5.8818439705734109</v>
      </c>
      <c r="H4" s="2">
        <f>+([4]Anual!D$37/[4]Anual!D$85)*100</f>
        <v>15.852082399361178</v>
      </c>
      <c r="I4" s="1">
        <f>(+[4]Anual!D$230)*100</f>
        <v>-1.7953218291587241</v>
      </c>
      <c r="J4" s="17">
        <f>+[5]Histórico!$L$31</f>
        <v>619.01</v>
      </c>
      <c r="K4" s="18">
        <f>+[5]Histórico!$M$31</f>
        <v>3338.53</v>
      </c>
      <c r="L4" s="18">
        <f t="shared" ref="L4:L21" si="1">+J4/B4*100</f>
        <v>15.641282210666221</v>
      </c>
      <c r="M4" s="19">
        <f t="shared" ref="M4:M21" si="2">+K4/B4*100</f>
        <v>84.358717789333781</v>
      </c>
      <c r="N4" s="7"/>
      <c r="O4" s="8"/>
      <c r="P4" s="8"/>
      <c r="Q4" s="8"/>
      <c r="R4" s="8"/>
      <c r="S4" s="8"/>
      <c r="T4" s="9"/>
      <c r="U4" s="7"/>
      <c r="V4" s="8"/>
      <c r="W4" s="9"/>
      <c r="X4" s="7"/>
      <c r="Y4" s="8"/>
      <c r="Z4" s="8"/>
      <c r="AA4" s="9"/>
      <c r="AB4" s="7"/>
      <c r="AC4" s="8"/>
      <c r="AD4" s="8"/>
      <c r="AE4" s="9"/>
      <c r="AI4" s="27">
        <f>+'[8]Servicio de la Deuda'!$Y$15</f>
        <v>12020.931414528908</v>
      </c>
      <c r="AJ4" s="28">
        <f>+AI4/'[8]Servicio de la Deuda'!$Y$22</f>
        <v>0.2130877129382151</v>
      </c>
    </row>
    <row r="5" spans="1:37" x14ac:dyDescent="0.25">
      <c r="A5">
        <f t="shared" ref="A5:A21" si="3">+A4+1</f>
        <v>2002</v>
      </c>
      <c r="B5" s="2">
        <f>+[5]Histórico!$N$30</f>
        <v>4402.7700000000004</v>
      </c>
      <c r="C5" s="1">
        <f>(+B5*1000000)/('[6]PIB per Cápita'!B20*1000)</f>
        <v>510.31763629571407</v>
      </c>
      <c r="D5" s="2">
        <f>+B5/'[6]PIB per Cápita'!E20*100</f>
        <v>17.084759205259108</v>
      </c>
      <c r="E5" s="2">
        <f>+'[7]Por Fuente (% PIB)'!D$11*100</f>
        <v>21.949383396325985</v>
      </c>
      <c r="F5" s="2">
        <f t="shared" si="0"/>
        <v>4.864624191066877</v>
      </c>
      <c r="G5" s="2">
        <f>(+[4]Anual!E$37/[4]Anual!E$6)*100</f>
        <v>8.4295350027762943</v>
      </c>
      <c r="H5" s="2">
        <f>+([4]Anual!E$37/[4]Anual!E$85)*100</f>
        <v>21.436525582099865</v>
      </c>
      <c r="I5" s="1">
        <f>(+[4]Anual!E$230)*100</f>
        <v>-1.6797570946839813</v>
      </c>
      <c r="J5" s="17">
        <f>+[5]Histórico!$L$30</f>
        <v>733.25</v>
      </c>
      <c r="K5" s="18">
        <f>+[5]Histórico!$M$30</f>
        <v>3669.52</v>
      </c>
      <c r="L5" s="18">
        <f t="shared" si="1"/>
        <v>16.654288095903258</v>
      </c>
      <c r="M5" s="19">
        <f t="shared" si="2"/>
        <v>83.345711904096731</v>
      </c>
      <c r="N5" s="7"/>
      <c r="O5" s="8"/>
      <c r="P5" s="8"/>
      <c r="Q5" s="8"/>
      <c r="R5" s="8"/>
      <c r="S5" s="8"/>
      <c r="T5" s="9"/>
      <c r="U5" s="7"/>
      <c r="V5" s="8"/>
      <c r="W5" s="9"/>
      <c r="X5" s="7"/>
      <c r="Y5" s="8"/>
      <c r="Z5" s="8"/>
      <c r="AA5" s="9"/>
      <c r="AB5" s="7"/>
      <c r="AC5" s="8"/>
      <c r="AD5" s="8"/>
      <c r="AE5" s="9"/>
      <c r="AI5" s="27">
        <f>+'[8]Servicio de la Deuda'!$AK$15</f>
        <v>15670.256185843204</v>
      </c>
      <c r="AJ5" s="28">
        <f>+AI5/'[8]Servicio de la Deuda'!$AK$22</f>
        <v>0.25288162954164439</v>
      </c>
    </row>
    <row r="6" spans="1:37" x14ac:dyDescent="0.25">
      <c r="A6">
        <f t="shared" si="3"/>
        <v>2003</v>
      </c>
      <c r="B6" s="2">
        <f>+[5]Histórico!$N$29</f>
        <v>5744.18</v>
      </c>
      <c r="C6" s="1">
        <f>(+B6*1000000)/('[6]PIB per Cápita'!B21*1000)</f>
        <v>656.84674955666526</v>
      </c>
      <c r="D6" s="2">
        <f>+B6/'[6]PIB per Cápita'!E21*100</f>
        <v>27.555676703854026</v>
      </c>
      <c r="E6" s="2">
        <f>+'[7]Por Fuente (% PIB)'!E$11*100</f>
        <v>39.540528742138662</v>
      </c>
      <c r="F6" s="2">
        <f t="shared" si="0"/>
        <v>11.984852038284636</v>
      </c>
      <c r="G6" s="2">
        <f>(+[4]Anual!F$37/[4]Anual!F$6)*100</f>
        <v>13.882385125573379</v>
      </c>
      <c r="H6" s="2">
        <f>+([4]Anual!F$37/[4]Anual!F$85)*100</f>
        <v>27.747892315568119</v>
      </c>
      <c r="I6" s="1">
        <f>(+[4]Anual!F$230)*100</f>
        <v>-4.5021888920789355</v>
      </c>
      <c r="J6" s="17">
        <f>+[5]Histórico!$L$29</f>
        <v>558.6</v>
      </c>
      <c r="K6" s="18">
        <f>+[5]Histórico!$M$29</f>
        <v>5185.58</v>
      </c>
      <c r="L6" s="18">
        <f t="shared" si="1"/>
        <v>9.7246256210634066</v>
      </c>
      <c r="M6" s="19">
        <f t="shared" si="2"/>
        <v>90.27537437893659</v>
      </c>
      <c r="N6" s="7"/>
      <c r="O6" s="8"/>
      <c r="P6" s="8"/>
      <c r="Q6" s="8"/>
      <c r="R6" s="8"/>
      <c r="S6" s="8"/>
      <c r="T6" s="9"/>
      <c r="U6" s="7"/>
      <c r="V6" s="8"/>
      <c r="W6" s="9"/>
      <c r="X6" s="7"/>
      <c r="Y6" s="8"/>
      <c r="Z6" s="8"/>
      <c r="AA6" s="9"/>
      <c r="AB6" s="7"/>
      <c r="AC6" s="8"/>
      <c r="AD6" s="8"/>
      <c r="AE6" s="9"/>
      <c r="AI6" s="27">
        <f>+'[8]Servicio de la Deuda'!$AW$15</f>
        <v>29619.844654898548</v>
      </c>
      <c r="AJ6" s="28">
        <f>+AI6/'[8]Servicio de la Deuda'!$AW$22</f>
        <v>0.40382640791195817</v>
      </c>
    </row>
    <row r="7" spans="1:37" x14ac:dyDescent="0.25">
      <c r="A7">
        <f t="shared" si="3"/>
        <v>2004</v>
      </c>
      <c r="B7" s="2">
        <f>+[5]Histórico!$N$28</f>
        <v>6584.98</v>
      </c>
      <c r="C7" s="1">
        <f>(+B7*1000000)/('[6]PIB per Cápita'!B22*1000)</f>
        <v>743.42308477374581</v>
      </c>
      <c r="D7" s="2">
        <f>+B7/'[6]PIB per Cápita'!E22*100</f>
        <v>28.39992457091174</v>
      </c>
      <c r="E7" s="2">
        <f>+'[7]Por Fuente (% PIB)'!F$11*100</f>
        <v>46.901658716672564</v>
      </c>
      <c r="F7" s="2">
        <f t="shared" si="0"/>
        <v>18.501734145760825</v>
      </c>
      <c r="G7" s="2">
        <f>(+[4]Anual!G$37/[4]Anual!G$6)*100</f>
        <v>14.310784027221885</v>
      </c>
      <c r="H7" s="2">
        <f>+([4]Anual!G$37/[4]Anual!G$85)*100</f>
        <v>44.806873479310902</v>
      </c>
      <c r="I7" s="1">
        <f>(+[4]Anual!G$230)*100</f>
        <v>-3.0785931195940122</v>
      </c>
      <c r="J7" s="17">
        <f>+[5]Histórico!$L$28</f>
        <v>1040.8699999999999</v>
      </c>
      <c r="K7" s="18">
        <f>+[5]Histórico!$M$28</f>
        <v>5544.11</v>
      </c>
      <c r="L7" s="18">
        <f t="shared" si="1"/>
        <v>15.806729860986668</v>
      </c>
      <c r="M7" s="19">
        <f t="shared" si="2"/>
        <v>84.193270139013336</v>
      </c>
      <c r="N7" s="7"/>
      <c r="O7" s="8"/>
      <c r="P7" s="8"/>
      <c r="Q7" s="8"/>
      <c r="R7" s="8"/>
      <c r="S7" s="8"/>
      <c r="T7" s="9"/>
      <c r="U7" s="7"/>
      <c r="V7" s="8"/>
      <c r="W7" s="9"/>
      <c r="X7" s="7"/>
      <c r="Y7" s="8"/>
      <c r="Z7" s="8"/>
      <c r="AA7" s="9"/>
      <c r="AB7" s="7"/>
      <c r="AC7" s="8"/>
      <c r="AD7" s="8"/>
      <c r="AE7" s="9"/>
      <c r="AI7" s="27">
        <f>+'[8]Servicio de la Deuda'!$BI$15</f>
        <v>46411.895536235548</v>
      </c>
      <c r="AJ7" s="28">
        <f>+AI7/'[8]Servicio de la Deuda'!$BI$22</f>
        <v>0.40023554191797078</v>
      </c>
    </row>
    <row r="8" spans="1:37" x14ac:dyDescent="0.25">
      <c r="A8">
        <f t="shared" si="3"/>
        <v>2005</v>
      </c>
      <c r="B8" s="2">
        <f>+[5]Histórico!$N$27</f>
        <v>6822</v>
      </c>
      <c r="C8" s="1">
        <f>(+B8*1000000)/('[6]PIB per Cápita'!B23*1000)</f>
        <v>760.69251341191671</v>
      </c>
      <c r="D8" s="2">
        <f>+B8/'[6]PIB per Cápita'!E23*100</f>
        <v>18.99657471214822</v>
      </c>
      <c r="E8" s="2">
        <f>+'[7]Por Fuente (% PIB)'!G$11*100</f>
        <v>32.485234617130352</v>
      </c>
      <c r="F8" s="2">
        <f t="shared" si="0"/>
        <v>13.488659904982132</v>
      </c>
      <c r="G8" s="2">
        <f>(+[4]Anual!H$37/[4]Anual!H$6)*100</f>
        <v>9.210450193287679</v>
      </c>
      <c r="H8" s="2">
        <f>+([4]Anual!H$37/[4]Anual!H$85)*100</f>
        <v>31.372037108854599</v>
      </c>
      <c r="I8" s="1">
        <f>(+[4]Anual!H$230)*100</f>
        <v>-0.26254869220808019</v>
      </c>
      <c r="J8" s="17">
        <f>+[5]Histórico!$L$27</f>
        <v>974.9</v>
      </c>
      <c r="K8" s="18">
        <f>+[5]Histórico!$M$27</f>
        <v>5847.1</v>
      </c>
      <c r="L8" s="18">
        <f t="shared" si="1"/>
        <v>14.290530636177074</v>
      </c>
      <c r="M8" s="19">
        <f t="shared" si="2"/>
        <v>85.709469363822933</v>
      </c>
      <c r="N8" s="7"/>
      <c r="O8" s="8"/>
      <c r="P8" s="8"/>
      <c r="Q8" s="8"/>
      <c r="R8" s="8"/>
      <c r="S8" s="8"/>
      <c r="T8" s="9"/>
      <c r="U8" s="7"/>
      <c r="V8" s="8"/>
      <c r="W8" s="9"/>
      <c r="X8" s="7"/>
      <c r="Y8" s="8"/>
      <c r="Z8" s="8"/>
      <c r="AA8" s="9"/>
      <c r="AB8" s="7"/>
      <c r="AC8" s="8"/>
      <c r="AD8" s="8"/>
      <c r="AE8" s="9"/>
      <c r="AI8" s="27">
        <f>+'[8]Servicio de la Deuda'!$BU$15</f>
        <v>42390.309286079399</v>
      </c>
      <c r="AJ8" s="28">
        <f>+AI8/'[8]Servicio de la Deuda'!$BU$22</f>
        <v>0.29303526875120955</v>
      </c>
    </row>
    <row r="9" spans="1:37" x14ac:dyDescent="0.25">
      <c r="A9">
        <f t="shared" si="3"/>
        <v>2006</v>
      </c>
      <c r="B9" s="2">
        <f>+[5]Histórico!$N$26</f>
        <v>7406.8</v>
      </c>
      <c r="C9" s="1">
        <f>(+B9*1000000)/('[6]PIB per Cápita'!B24*1000)</f>
        <v>816.49498900838216</v>
      </c>
      <c r="D9" s="2">
        <f>+B9/'[6]PIB per Cápita'!E24*100</f>
        <v>19.461310044238981</v>
      </c>
      <c r="E9" s="2">
        <f>+'[7]Por Fuente (% PIB)'!H$11*100</f>
        <v>34.305566868370505</v>
      </c>
      <c r="F9" s="2">
        <f t="shared" si="0"/>
        <v>14.844256824131524</v>
      </c>
      <c r="G9" s="2">
        <f>(+[4]Anual!I$37/[4]Anual!I$6)*100</f>
        <v>9.292549036151712</v>
      </c>
      <c r="H9" s="2">
        <f>+([4]Anual!I$37/[4]Anual!I$85)*100</f>
        <v>34.621754964499054</v>
      </c>
      <c r="I9" s="1">
        <f>(+[4]Anual!I$230)*100</f>
        <v>0.12273061359966728</v>
      </c>
      <c r="J9" s="17">
        <f>+[5]Histórico!$L$26</f>
        <v>1111.3</v>
      </c>
      <c r="K9" s="18">
        <f>+[5]Histórico!$M$26</f>
        <v>6295.5</v>
      </c>
      <c r="L9" s="18">
        <f t="shared" si="1"/>
        <v>15.003780309985418</v>
      </c>
      <c r="M9" s="19">
        <f t="shared" si="2"/>
        <v>84.99621969001457</v>
      </c>
      <c r="N9" s="7"/>
      <c r="O9" s="8"/>
      <c r="P9" s="8"/>
      <c r="Q9" s="8"/>
      <c r="R9" s="8"/>
      <c r="S9" s="8"/>
      <c r="T9" s="9"/>
      <c r="U9" s="7"/>
      <c r="V9" s="8"/>
      <c r="W9" s="9"/>
      <c r="X9" s="7"/>
      <c r="Y9" s="8"/>
      <c r="Z9" s="8"/>
      <c r="AA9" s="9"/>
      <c r="AB9" s="7"/>
      <c r="AC9" s="8"/>
      <c r="AD9" s="8"/>
      <c r="AE9" s="9"/>
      <c r="AI9" s="27">
        <f>+'[8]Servicio de la Deuda'!$CG$15</f>
        <v>49773.782945683939</v>
      </c>
      <c r="AJ9" s="28">
        <f>+AI9/'[8]Servicio de la Deuda'!$CG$22</f>
        <v>0.28505739934697327</v>
      </c>
    </row>
    <row r="10" spans="1:37" x14ac:dyDescent="0.25">
      <c r="A10">
        <f t="shared" si="3"/>
        <v>2007</v>
      </c>
      <c r="B10" s="2">
        <f>+[5]Histórico!$N$25</f>
        <v>7558.3</v>
      </c>
      <c r="C10" s="1">
        <f>(+B10*1000000)/('[6]PIB per Cápita'!B25*1000)</f>
        <v>823.87750328153584</v>
      </c>
      <c r="D10" s="2">
        <f>+B10/'[6]PIB per Cápita'!E25*100</f>
        <v>17.141989982369481</v>
      </c>
      <c r="E10" s="2">
        <f>+'[7]Por Fuente (% PIB)'!I$11*100</f>
        <v>31.155997140071516</v>
      </c>
      <c r="F10" s="2">
        <f t="shared" si="0"/>
        <v>14.014007157702036</v>
      </c>
      <c r="G10" s="2">
        <f>(+[4]Anual!J$37/[4]Anual!J$6)*100</f>
        <v>7.5896599585588014</v>
      </c>
      <c r="H10" s="2">
        <f>+([4]Anual!J$37/[4]Anual!J$85)*100</f>
        <v>25.471719036416008</v>
      </c>
      <c r="I10" s="1">
        <f>(+[4]Anual!J$230)*100</f>
        <v>0.3352608109310608</v>
      </c>
      <c r="J10" s="17">
        <f>+[5]Histórico!$L$25</f>
        <v>1002.6</v>
      </c>
      <c r="K10" s="18">
        <f>+[5]Histórico!$M$25</f>
        <v>6555.7</v>
      </c>
      <c r="L10" s="18">
        <f t="shared" si="1"/>
        <v>13.264887607001574</v>
      </c>
      <c r="M10" s="19">
        <f t="shared" si="2"/>
        <v>86.735112392998431</v>
      </c>
      <c r="N10" s="7"/>
      <c r="O10" s="8"/>
      <c r="P10" s="8"/>
      <c r="Q10" s="8"/>
      <c r="R10" s="8"/>
      <c r="S10" s="8"/>
      <c r="T10" s="9"/>
      <c r="U10" s="7"/>
      <c r="V10" s="8"/>
      <c r="W10" s="9"/>
      <c r="X10" s="7"/>
      <c r="Y10" s="8"/>
      <c r="Z10" s="8"/>
      <c r="AA10" s="9"/>
      <c r="AB10" s="7"/>
      <c r="AC10" s="8"/>
      <c r="AD10" s="8"/>
      <c r="AE10" s="9"/>
      <c r="AI10" s="27">
        <f>+'[8]Servicio de la Deuda'!$CS$15</f>
        <v>55228.162816560653</v>
      </c>
      <c r="AJ10" s="28">
        <f>+AI10/'[8]Servicio de la Deuda'!$CS$22</f>
        <v>0.25639546690907089</v>
      </c>
    </row>
    <row r="11" spans="1:37" x14ac:dyDescent="0.25">
      <c r="A11">
        <f t="shared" si="3"/>
        <v>2008</v>
      </c>
      <c r="B11" s="2">
        <f>+[5]Histórico!$N$24</f>
        <v>11219.259649361822</v>
      </c>
      <c r="C11" s="1">
        <f>(+B11*1000000)/('[6]PIB per Cápita'!B26*1000)</f>
        <v>1209.0237975035807</v>
      </c>
      <c r="D11" s="2">
        <f>+B11/'[6]PIB per Cápita'!E26*100</f>
        <v>23.270399789044671</v>
      </c>
      <c r="E11" s="2">
        <f>+'[7]Por Fuente (% PIB)'!J$11*100</f>
        <v>32.026082487819188</v>
      </c>
      <c r="F11" s="2">
        <f t="shared" si="0"/>
        <v>8.7556826987745175</v>
      </c>
      <c r="G11" s="2">
        <f>(+[4]Anual!K$37/[4]Anual!K$6)*100</f>
        <v>10.784223350288153</v>
      </c>
      <c r="H11" s="2">
        <f>+([4]Anual!K$37/[4]Anual!K$85)*100</f>
        <v>30.44348810549694</v>
      </c>
      <c r="I11" s="1">
        <f>(+[4]Anual!K$230)*100</f>
        <v>-3.7974900552469451</v>
      </c>
      <c r="J11" s="17">
        <f>+[5]Histórico!$L$24</f>
        <v>4000.4196436948223</v>
      </c>
      <c r="K11" s="18">
        <f>+[5]Histórico!$M$24</f>
        <v>7218.8400056670007</v>
      </c>
      <c r="L11" s="18">
        <f t="shared" si="1"/>
        <v>35.656716830886218</v>
      </c>
      <c r="M11" s="19">
        <f t="shared" si="2"/>
        <v>64.343283169113789</v>
      </c>
      <c r="N11" s="7"/>
      <c r="O11" s="8"/>
      <c r="P11" s="8"/>
      <c r="Q11" s="8"/>
      <c r="R11" s="8"/>
      <c r="S11" s="8"/>
      <c r="T11" s="9"/>
      <c r="U11" s="7"/>
      <c r="V11" s="8"/>
      <c r="W11" s="9"/>
      <c r="X11" s="7"/>
      <c r="Y11" s="8"/>
      <c r="Z11" s="8"/>
      <c r="AA11" s="9"/>
      <c r="AB11" s="7"/>
      <c r="AC11" s="8"/>
      <c r="AD11" s="8"/>
      <c r="AE11" s="9"/>
      <c r="AI11" s="27">
        <f>+'[8]Servicio de la Deuda'!$DE$15</f>
        <v>63463.717744397945</v>
      </c>
      <c r="AJ11" s="28">
        <f>+AI11/'[8]Servicio de la Deuda'!$DE$22</f>
        <v>0.27113677154710164</v>
      </c>
    </row>
    <row r="12" spans="1:37" x14ac:dyDescent="0.25">
      <c r="A12">
        <f t="shared" si="3"/>
        <v>2009</v>
      </c>
      <c r="B12" s="2">
        <f>+[5]Histórico!$N$23</f>
        <v>13254.010376193823</v>
      </c>
      <c r="C12" s="1">
        <f>(+B12*1000000)/('[6]PIB per Cápita'!B27*1000)</f>
        <v>1412.9846058138314</v>
      </c>
      <c r="D12" s="2">
        <f>+B12/'[6]PIB per Cápita'!E27*100</f>
        <v>27.433471167841027</v>
      </c>
      <c r="E12" s="2">
        <f>+'[7]Por Fuente (% PIB)'!K$11*100</f>
        <v>36.366810854827882</v>
      </c>
      <c r="F12" s="2">
        <f t="shared" si="0"/>
        <v>8.9333396869868551</v>
      </c>
      <c r="G12" s="2">
        <f>(+[4]Anual!L$37/[4]Anual!L$6)*100</f>
        <v>14.708655053479808</v>
      </c>
      <c r="H12" s="2">
        <f>+([4]Anual!L$37/[4]Anual!L$85)*100</f>
        <v>51.129795432150047</v>
      </c>
      <c r="I12" s="1">
        <f>(+[4]Anual!L$230)*100</f>
        <v>-2.7462177952196254</v>
      </c>
      <c r="J12" s="17">
        <f>+[5]Histórico!$L$23</f>
        <v>5039.3187988402769</v>
      </c>
      <c r="K12" s="18">
        <f>+[5]Histórico!$M$23</f>
        <v>8214.6915773535457</v>
      </c>
      <c r="L12" s="18">
        <f t="shared" si="1"/>
        <v>38.021086869613775</v>
      </c>
      <c r="M12" s="19">
        <f t="shared" si="2"/>
        <v>61.978913130386225</v>
      </c>
      <c r="N12" s="7"/>
      <c r="O12" s="8"/>
      <c r="P12" s="8"/>
      <c r="Q12" s="8"/>
      <c r="R12" s="8"/>
      <c r="S12" s="8"/>
      <c r="T12" s="9"/>
      <c r="U12" s="7"/>
      <c r="V12" s="8"/>
      <c r="W12" s="9"/>
      <c r="X12" s="7"/>
      <c r="Y12" s="8"/>
      <c r="Z12" s="8"/>
      <c r="AA12" s="9"/>
      <c r="AB12" s="7"/>
      <c r="AC12" s="8"/>
      <c r="AD12" s="8"/>
      <c r="AE12" s="9"/>
      <c r="AI12" s="27">
        <f>+'[8]Servicio de la Deuda'!$DQ$15</f>
        <v>75506.636011147464</v>
      </c>
      <c r="AJ12" s="28">
        <f>+AI12/'[8]Servicio de la Deuda'!$DQ$22</f>
        <v>0.34755703845303421</v>
      </c>
    </row>
    <row r="13" spans="1:37" x14ac:dyDescent="0.25">
      <c r="A13">
        <f t="shared" si="3"/>
        <v>2010</v>
      </c>
      <c r="B13" s="2">
        <f>+[5]Histórico!$N$22</f>
        <v>14818.10359768823</v>
      </c>
      <c r="C13" s="1">
        <f>(+B13*1000000)/('[6]PIB per Cápita'!B28*1000)</f>
        <v>1563.3199879569108</v>
      </c>
      <c r="D13" s="2">
        <f>+B13/'[6]PIB per Cápita'!E28*100</f>
        <v>27.497146272287544</v>
      </c>
      <c r="E13" s="2">
        <f>+'[7]Por Fuente (% PIB)'!L$11*100</f>
        <v>36.56604995823082</v>
      </c>
      <c r="F13" s="2">
        <f t="shared" si="0"/>
        <v>9.0689036859432761</v>
      </c>
      <c r="G13" s="2">
        <f>(+[4]Anual!M$37/[4]Anual!M$6)*100</f>
        <v>15.213534125500983</v>
      </c>
      <c r="H13" s="2">
        <f>+([4]Anual!M$37/[4]Anual!M$85)*100</f>
        <v>47.633349495066909</v>
      </c>
      <c r="I13" s="1">
        <f>(+[4]Anual!M$230)*100</f>
        <v>-3.0106488444994479</v>
      </c>
      <c r="J13" s="17">
        <f>+[5]Histórico!$L$22</f>
        <v>4871.1365257380667</v>
      </c>
      <c r="K13" s="18">
        <f>+[5]Histórico!$M$22</f>
        <v>9946.9670719501628</v>
      </c>
      <c r="L13" s="18">
        <f t="shared" si="1"/>
        <v>32.872874005942379</v>
      </c>
      <c r="M13" s="19">
        <f t="shared" si="2"/>
        <v>67.127125994057607</v>
      </c>
      <c r="N13" s="7"/>
      <c r="O13" s="8"/>
      <c r="P13" s="8"/>
      <c r="Q13" s="8"/>
      <c r="R13" s="8"/>
      <c r="S13" s="8"/>
      <c r="T13" s="9"/>
      <c r="U13" s="7"/>
      <c r="V13" s="8"/>
      <c r="W13" s="9"/>
      <c r="X13" s="7"/>
      <c r="Y13" s="8"/>
      <c r="Z13" s="8"/>
      <c r="AA13" s="9"/>
      <c r="AB13" s="7"/>
      <c r="AC13" s="8"/>
      <c r="AD13" s="8"/>
      <c r="AE13" s="9"/>
      <c r="AI13" s="27">
        <f>+'[8]Servicio de la Deuda'!$EC$15</f>
        <v>94995.92789846033</v>
      </c>
      <c r="AJ13" s="28">
        <f>+AI13/'[8]Servicio de la Deuda'!$EC$22</f>
        <v>0.3968201627539209</v>
      </c>
    </row>
    <row r="14" spans="1:37" x14ac:dyDescent="0.25">
      <c r="A14">
        <f t="shared" si="3"/>
        <v>2011</v>
      </c>
      <c r="B14" s="2">
        <f>+[5]Histórico!$N$21</f>
        <v>16593.089607482078</v>
      </c>
      <c r="C14" s="1">
        <f>(+B14*1000000)/('[6]PIB per Cápita'!B29*1000)</f>
        <v>1732.0301519092861</v>
      </c>
      <c r="D14" s="2">
        <f>+B14/'[6]PIB per Cápita'!E29*100</f>
        <v>28.572039766933887</v>
      </c>
      <c r="E14" s="2">
        <f>+'[7]Por Fuente (% PIB)'!M$11*100</f>
        <v>37.84892338662948</v>
      </c>
      <c r="F14" s="2">
        <f t="shared" si="0"/>
        <v>9.2768836196955924</v>
      </c>
      <c r="G14" s="2">
        <f>(+[4]Anual!N$37/[4]Anual!N$6)*100</f>
        <v>16.683005167795606</v>
      </c>
      <c r="H14" s="2">
        <f>+([4]Anual!N$37/[4]Anual!N$85)*100</f>
        <v>58.699457753098294</v>
      </c>
      <c r="I14" s="1">
        <f>(+[4]Anual!N$230)*100</f>
        <v>-3.2839594789683395</v>
      </c>
      <c r="J14" s="17">
        <f>+[5]Histórico!$L$21</f>
        <v>4967.5266252616893</v>
      </c>
      <c r="K14" s="18">
        <f>+[5]Histórico!$M$21</f>
        <v>11625.56298222039</v>
      </c>
      <c r="L14" s="18">
        <f t="shared" si="1"/>
        <v>29.937321757255837</v>
      </c>
      <c r="M14" s="19">
        <f t="shared" si="2"/>
        <v>70.06267824274417</v>
      </c>
      <c r="N14" s="7"/>
      <c r="O14" s="8"/>
      <c r="P14" s="8"/>
      <c r="Q14" s="8"/>
      <c r="R14" s="8"/>
      <c r="S14" s="8"/>
      <c r="T14" s="9"/>
      <c r="U14" s="7"/>
      <c r="V14" s="8"/>
      <c r="W14" s="9"/>
      <c r="X14" s="7"/>
      <c r="Y14" s="8"/>
      <c r="Z14" s="8"/>
      <c r="AA14" s="9"/>
      <c r="AB14" s="7"/>
      <c r="AC14" s="8"/>
      <c r="AD14" s="8"/>
      <c r="AE14" s="9"/>
      <c r="AI14" s="27">
        <f>+'[8]Servicio de la Deuda'!$EO$15</f>
        <v>106763.27527210269</v>
      </c>
      <c r="AJ14" s="28">
        <f>+AI14/'[8]Servicio de la Deuda'!$EO$22</f>
        <v>0.39729869513250748</v>
      </c>
    </row>
    <row r="15" spans="1:37" x14ac:dyDescent="0.25">
      <c r="A15">
        <f t="shared" si="3"/>
        <v>2012</v>
      </c>
      <c r="B15" s="2">
        <f>+[5]Histórico!$N$20</f>
        <v>19463.331371418637</v>
      </c>
      <c r="C15" s="1">
        <f>(+B15*1000000)/('[6]PIB per Cápita'!B30*1000)</f>
        <v>2010.4747194487404</v>
      </c>
      <c r="D15" s="2">
        <f>+B15/'[6]PIB per Cápita'!E30*100</f>
        <v>32.043714703993345</v>
      </c>
      <c r="E15" s="2">
        <f>+'[7]Por Fuente (% PIB)'!N$11*100</f>
        <v>41.265931785118731</v>
      </c>
      <c r="F15" s="2">
        <f t="shared" si="0"/>
        <v>9.2222170811253861</v>
      </c>
      <c r="G15" s="2">
        <f>(+[4]Anual!O$37/[4]Anual!O$6)*100</f>
        <v>14.488251316223749</v>
      </c>
      <c r="H15" s="2">
        <f>+([4]Anual!O$37/[4]Anual!O$85)*100</f>
        <v>28.925049373782169</v>
      </c>
      <c r="I15" s="1">
        <f>(+[4]Anual!O$230)*100</f>
        <v>-6.4085665990648062</v>
      </c>
      <c r="J15" s="17">
        <f>+[5]Histórico!$L$20</f>
        <v>6591.7294102773376</v>
      </c>
      <c r="K15" s="18">
        <f>+[5]Histórico!$M$20</f>
        <v>12871.601961141301</v>
      </c>
      <c r="L15" s="18">
        <f t="shared" si="1"/>
        <v>33.867426313036574</v>
      </c>
      <c r="M15" s="19">
        <f t="shared" si="2"/>
        <v>66.13257368696344</v>
      </c>
      <c r="N15" s="7"/>
      <c r="O15" s="8"/>
      <c r="P15" s="8"/>
      <c r="Q15" s="8"/>
      <c r="R15" s="8"/>
      <c r="S15" s="8"/>
      <c r="T15" s="9"/>
      <c r="U15" s="7"/>
      <c r="V15" s="8"/>
      <c r="W15" s="9"/>
      <c r="X15" s="10">
        <f>+'[2]Data Deuda'!E5</f>
        <v>5109.7311745863335</v>
      </c>
      <c r="Y15" s="11">
        <f>+'[2]Data Deuda'!F5</f>
        <v>14353.600196832302</v>
      </c>
      <c r="Z15" s="15">
        <f t="shared" ref="Z15:Z21" si="4">+X15/B15*100</f>
        <v>26.253117090170043</v>
      </c>
      <c r="AA15" s="16">
        <f t="shared" ref="AA15:AA21" si="5">+Y15/B15*100</f>
        <v>73.746882909829949</v>
      </c>
      <c r="AB15" s="10">
        <f>(+'[2]Data Deuda'!G5/$B$15)*100</f>
        <v>70.517011358636424</v>
      </c>
      <c r="AC15" s="11">
        <f>(+'[2]Data Deuda'!H5/$B$15)*100</f>
        <v>28.79511817668088</v>
      </c>
      <c r="AD15" s="11">
        <f>(+'[2]Data Deuda'!I5/$B$15)*100</f>
        <v>0.48812106221708612</v>
      </c>
      <c r="AE15" s="12">
        <f>(+'[2]Data Deuda'!J5/$B$15)*100</f>
        <v>0.19974940246554751</v>
      </c>
      <c r="AI15" s="27">
        <f>+'[8]Servicio de la Deuda'!$FA$15</f>
        <v>107420.97927667639</v>
      </c>
      <c r="AJ15" s="28">
        <f>+AI15/'[8]Servicio de la Deuda'!$FA$22</f>
        <v>0.34880224872243909</v>
      </c>
    </row>
    <row r="16" spans="1:37" x14ac:dyDescent="0.25">
      <c r="A16">
        <f t="shared" si="3"/>
        <v>2013</v>
      </c>
      <c r="B16" s="2">
        <f>+[5]Histórico!$N$19</f>
        <v>23203.778850954644</v>
      </c>
      <c r="C16" s="1">
        <f>(+B16*1000000)/('[6]PIB per Cápita'!B31*1000)</f>
        <v>2371.4397252597573</v>
      </c>
      <c r="D16" s="2">
        <f>+B16/'[6]PIB per Cápita'!E31*100</f>
        <v>36.99325622478343</v>
      </c>
      <c r="E16" s="2">
        <f>+'[7]Por Fuente (% PIB)'!O$11*100</f>
        <v>45.066231541464788</v>
      </c>
      <c r="F16" s="2">
        <f t="shared" si="0"/>
        <v>8.072975316681358</v>
      </c>
      <c r="G16" s="2">
        <f>(+[4]Anual!P$37/[4]Anual!P$6)*100</f>
        <v>16.623772468896643</v>
      </c>
      <c r="H16" s="2">
        <f>+([4]Anual!P$37/[4]Anual!P$85)*100</f>
        <v>52.121836395311192</v>
      </c>
      <c r="I16" s="1">
        <f>(+[4]Anual!P$230)*100</f>
        <v>-3.919665924956659</v>
      </c>
      <c r="J16" s="17">
        <f>+[5]Histórico!$L$19</f>
        <v>8044.2508631876408</v>
      </c>
      <c r="K16" s="18">
        <f>+[5]Histórico!$M$19</f>
        <v>15159.527987767002</v>
      </c>
      <c r="L16" s="18">
        <f t="shared" si="1"/>
        <v>34.66784834857485</v>
      </c>
      <c r="M16" s="19">
        <f t="shared" si="2"/>
        <v>65.332151651425136</v>
      </c>
      <c r="N16" s="10">
        <f>+'[9]POR GRANDES ACREEDORES'!$T$54</f>
        <v>38.559584287614577</v>
      </c>
      <c r="O16" s="11">
        <f>+'[9]POR GRANDES ACREEDORES'!$T$57</f>
        <v>27.616428810646116</v>
      </c>
      <c r="P16" s="11">
        <f>+'[9]POR GRANDES ACREEDORES'!$T$56</f>
        <v>6.2156191857232628</v>
      </c>
      <c r="Q16" s="11"/>
      <c r="R16" s="11">
        <f>+'[9]POR GRANDES ACREEDORES'!$T$58</f>
        <v>3.098491473402798</v>
      </c>
      <c r="S16" s="11">
        <f>+'[9]POR GRANDES ACREEDORES'!$T$59</f>
        <v>23.279148459855719</v>
      </c>
      <c r="T16" s="12">
        <f>+'[9]POR GRANDES ACREEDORES'!$T$52</f>
        <v>1.1142939745601164</v>
      </c>
      <c r="U16" s="56">
        <f>+'[9]POR GRANDES ACREEDORES'!$T$25</f>
        <v>30.073497759071994</v>
      </c>
      <c r="V16" s="57">
        <f>+'[9]POR GRANDES ACREEDORES'!$T$35</f>
        <v>41.159881706343953</v>
      </c>
      <c r="W16" s="58">
        <f>+'[9]POR GRANDES ACREEDORES'!$T$43</f>
        <v>28.76662053458406</v>
      </c>
      <c r="X16" s="10">
        <f>+'[2]Data Deuda'!E9</f>
        <v>6345.6456597076367</v>
      </c>
      <c r="Y16" s="11">
        <f>+'[2]Data Deuda'!F9</f>
        <v>16858.131273541239</v>
      </c>
      <c r="Z16" s="15">
        <f t="shared" si="4"/>
        <v>27.347466550460446</v>
      </c>
      <c r="AA16" s="16">
        <f t="shared" si="5"/>
        <v>72.652525184912562</v>
      </c>
      <c r="AB16" s="10">
        <f>(+'[2]Data Deuda'!G9/$B$16)*100</f>
        <v>73.960089835473568</v>
      </c>
      <c r="AC16" s="11">
        <f>(+'[2]Data Deuda'!H9/$B$16)*100</f>
        <v>25.480701958465552</v>
      </c>
      <c r="AD16" s="11">
        <f>(+'[2]Data Deuda'!I9/$B$16)*100</f>
        <v>0.38630174525780819</v>
      </c>
      <c r="AE16" s="12">
        <f>(+'[2]Data Deuda'!J9/$B$16)*100</f>
        <v>0.17289819617613464</v>
      </c>
      <c r="AI16" s="27">
        <f>+'[8]Servicio de la Deuda'!$FM$15</f>
        <v>144068.59782007613</v>
      </c>
      <c r="AJ16" s="28">
        <f>+AI16/'[8]Servicio de la Deuda'!$FM$22</f>
        <v>0.41075619976387329</v>
      </c>
    </row>
    <row r="17" spans="1:41" x14ac:dyDescent="0.25">
      <c r="A17">
        <f t="shared" si="3"/>
        <v>2014</v>
      </c>
      <c r="B17" s="2">
        <f>+[5]Histórico!$N$18</f>
        <v>23809.062751023754</v>
      </c>
      <c r="C17" s="1">
        <f>(+B17*1000000)/('[6]PIB per Cápita'!B32*1000)</f>
        <v>2408.9741970620239</v>
      </c>
      <c r="D17" s="2">
        <f>+B17/'[6]PIB per Cápita'!E32*100</f>
        <v>35.401474819803511</v>
      </c>
      <c r="E17" s="2">
        <f>+'[7]Por Fuente (% PIB)'!P$11*100</f>
        <v>43.608423618247841</v>
      </c>
      <c r="F17" s="2">
        <f t="shared" si="0"/>
        <v>8.2069487984443299</v>
      </c>
      <c r="G17" s="2">
        <f>(+[4]Anual!Q$37/[4]Anual!Q$6)*100</f>
        <v>17.703536862874543</v>
      </c>
      <c r="H17" s="2">
        <f>+([4]Anual!Q$37/[4]Anual!Q$85)*100</f>
        <v>79.944502233131388</v>
      </c>
      <c r="I17" s="1">
        <f>(+[4]Anual!Q$230)*100</f>
        <v>-3.4889160585256858</v>
      </c>
      <c r="J17" s="17">
        <f>+[5]Histórico!$L$18</f>
        <v>7373.3365892217516</v>
      </c>
      <c r="K17" s="18">
        <f>+[5]Histórico!$M$18</f>
        <v>16435.726161802002</v>
      </c>
      <c r="L17" s="18">
        <f t="shared" si="1"/>
        <v>30.968613365113288</v>
      </c>
      <c r="M17" s="19">
        <f t="shared" si="2"/>
        <v>69.031386634886715</v>
      </c>
      <c r="N17" s="10">
        <f>+'[9]POR GRANDES ACREEDORES'!$V$54</f>
        <v>40.611146280317243</v>
      </c>
      <c r="O17" s="11">
        <f>+'[9]POR GRANDES ACREEDORES'!$V$57</f>
        <v>37.650286204946084</v>
      </c>
      <c r="P17" s="11">
        <f>+'[9]POR GRANDES ACREEDORES'!$V$56</f>
        <v>6.781190495642007</v>
      </c>
      <c r="Q17" s="11"/>
      <c r="R17" s="11">
        <f>+'[9]POR GRANDES ACREEDORES'!$V$58</f>
        <v>3.2817971747786503</v>
      </c>
      <c r="S17" s="11">
        <f>+'[9]POR GRANDES ACREEDORES'!$V$59</f>
        <v>10.501999878761605</v>
      </c>
      <c r="T17" s="12">
        <f>+'[9]POR GRANDES ACREEDORES'!$V$52</f>
        <v>1.1735799655544188</v>
      </c>
      <c r="U17" s="10">
        <f>+'[9]POR GRANDES ACREEDORES'!$V$25</f>
        <v>23.524807351840685</v>
      </c>
      <c r="V17" s="11">
        <f>+'[9]POR GRANDES ACREEDORES'!$V$35</f>
        <v>38.292563297245692</v>
      </c>
      <c r="W17" s="12">
        <f>+'[9]POR GRANDES ACREEDORES'!$V$43</f>
        <v>38.182629350913636</v>
      </c>
      <c r="X17" s="10">
        <f>+'[2]Data Deuda'!E13</f>
        <v>6530.0305443817615</v>
      </c>
      <c r="Y17" s="11">
        <f>+'[2]Data Deuda'!F13</f>
        <v>17279.031936358009</v>
      </c>
      <c r="Z17" s="15">
        <f t="shared" si="4"/>
        <v>27.426659388769853</v>
      </c>
      <c r="AA17" s="16">
        <f t="shared" si="5"/>
        <v>72.573339476015448</v>
      </c>
      <c r="AB17" s="10">
        <f>(+'[2]Data Deuda'!G13/$B$17)*100</f>
        <v>79.658878839173397</v>
      </c>
      <c r="AC17" s="11">
        <f>(+'[2]Data Deuda'!H13/$B$17)*100</f>
        <v>19.825402671379983</v>
      </c>
      <c r="AD17" s="11">
        <f>(+'[2]Data Deuda'!I13/$B$17)*100</f>
        <v>0.36344144206297774</v>
      </c>
      <c r="AE17" s="12">
        <f>(+'[2]Data Deuda'!J13/$B$17)*100</f>
        <v>0.15227591216895367</v>
      </c>
      <c r="AI17" s="27">
        <f>+'[8]Servicio de la Deuda'!$FY$15</f>
        <v>177395.63451060111</v>
      </c>
      <c r="AJ17" s="28">
        <f>+AI17/'[8]Servicio de la Deuda'!$FY$22</f>
        <v>0.45615010819362439</v>
      </c>
    </row>
    <row r="18" spans="1:41" x14ac:dyDescent="0.25">
      <c r="A18">
        <f t="shared" si="3"/>
        <v>2015</v>
      </c>
      <c r="B18" s="2">
        <f>+[5]Histórico!$N$17</f>
        <v>24153.658162465785</v>
      </c>
      <c r="C18" s="1">
        <f>(+B18*1000000)/('[6]PIB per Cápita'!B33*1000)</f>
        <v>2420.147301269697</v>
      </c>
      <c r="D18" s="2">
        <f>+B18/'[6]PIB per Cápita'!E33*100</f>
        <v>33.903205111979915</v>
      </c>
      <c r="E18" s="2">
        <f>+'[7]Por Fuente (% PIB)'!Q$11*100</f>
        <v>43.012370143681572</v>
      </c>
      <c r="F18" s="2">
        <f t="shared" si="0"/>
        <v>9.1091650317016573</v>
      </c>
      <c r="G18" s="2">
        <f>(+[4]Anual!R$37/[4]Anual!R$6)*100</f>
        <v>18.090297748090798</v>
      </c>
      <c r="H18" s="2">
        <f>+([4]Anual!R$37/[4]Anual!R$85)*100</f>
        <v>70.714563281024638</v>
      </c>
      <c r="I18" s="1">
        <f>(+[4]Anual!R$230)*100</f>
        <v>-0.25900878623019397</v>
      </c>
      <c r="J18" s="17">
        <f>+[5]Histórico!$L$17</f>
        <v>7907.5560200097843</v>
      </c>
      <c r="K18" s="18">
        <f>+[5]Histórico!$M$17</f>
        <v>16246.102142456</v>
      </c>
      <c r="L18" s="18">
        <f t="shared" si="1"/>
        <v>32.738544061611094</v>
      </c>
      <c r="M18" s="19">
        <f t="shared" si="2"/>
        <v>67.26145593838892</v>
      </c>
      <c r="N18" s="10">
        <f>+[10]May19!$D$50</f>
        <v>36.813352144679442</v>
      </c>
      <c r="O18" s="11">
        <f>+[10]May19!$D$51</f>
        <v>44.303780076535787</v>
      </c>
      <c r="P18" s="11">
        <f>+[10]May19!$D$52</f>
        <v>6.3230661753741382</v>
      </c>
      <c r="Q18" s="11"/>
      <c r="R18" s="11">
        <f>+[10]May19!$D$53</f>
        <v>2.9748964539451848</v>
      </c>
      <c r="S18" s="11">
        <f>+[10]May19!$D$54</f>
        <v>9.584905149465456</v>
      </c>
      <c r="T18" s="12"/>
      <c r="U18" s="10">
        <f>+[10]May19!$D$25</f>
        <v>25.747671996974393</v>
      </c>
      <c r="V18" s="11">
        <f>+[10]May19!$D$37</f>
        <v>15.563552000127704</v>
      </c>
      <c r="W18" s="12">
        <f>+[10]May19!$D$45</f>
        <v>58.68730658559457</v>
      </c>
      <c r="X18" s="10">
        <f>+'[2]Data Deuda'!E17</f>
        <v>6949.4440184550513</v>
      </c>
      <c r="Y18" s="11">
        <f>+'[2]Data Deuda'!F17</f>
        <v>17205.110032045988</v>
      </c>
      <c r="Z18" s="15">
        <f t="shared" si="4"/>
        <v>28.771807449251408</v>
      </c>
      <c r="AA18" s="16">
        <f t="shared" si="5"/>
        <v>71.231901670208799</v>
      </c>
      <c r="AB18" s="10">
        <f>(+'[2]Data Deuda'!G17/$B$18)*100</f>
        <v>79.694754731802163</v>
      </c>
      <c r="AC18" s="11">
        <f>(+'[2]Data Deuda'!H17/$B$18)*100</f>
        <v>20.168679701347077</v>
      </c>
      <c r="AD18" s="11">
        <f>(+'[2]Data Deuda'!I17/$B$18)*100</f>
        <v>0</v>
      </c>
      <c r="AE18" s="12">
        <f>(+'[2]Data Deuda'!J17/$B$18)*100</f>
        <v>0.14027468631087531</v>
      </c>
      <c r="AI18" s="27">
        <f>+'[8]Servicio de la Deuda'!$GK$15</f>
        <v>262931.00849679444</v>
      </c>
      <c r="AJ18" s="28">
        <f>+AI18/'[8]Servicio de la Deuda'!$GK$22</f>
        <v>0.64142195742500707</v>
      </c>
    </row>
    <row r="19" spans="1:41" x14ac:dyDescent="0.25">
      <c r="A19">
        <f t="shared" si="3"/>
        <v>2016</v>
      </c>
      <c r="B19" s="2">
        <f>+[5]Histórico!$N$16</f>
        <v>26757.863628567735</v>
      </c>
      <c r="C19" s="1">
        <f>(+B19*1000000)/('[6]PIB per Cápita'!B34*1000)</f>
        <v>2655.8554952923519</v>
      </c>
      <c r="D19" s="2">
        <f>+B19/'[6]PIB per Cápita'!E34*100</f>
        <v>35.319508699574179</v>
      </c>
      <c r="E19" s="2">
        <f>+'[7]Por Fuente (% PIB)'!R$11*100</f>
        <v>45.014321550399906</v>
      </c>
      <c r="F19" s="2">
        <f t="shared" si="0"/>
        <v>9.694812850825727</v>
      </c>
      <c r="G19" s="2">
        <f>(+[4]Anual!S$37/[4]Anual!S$6)*100</f>
        <v>19.688634028546467</v>
      </c>
      <c r="H19" s="2">
        <f>+([4]Anual!S$37/[4]Anual!S$85)*100</f>
        <v>83.668891859019851</v>
      </c>
      <c r="I19" s="1">
        <f>(+[4]Anual!S$230)*100</f>
        <v>-2.6819841560906648</v>
      </c>
      <c r="J19" s="17">
        <f>+[5]Histórico!$L$16</f>
        <v>9190.7558765707363</v>
      </c>
      <c r="K19" s="18">
        <f>+[5]Histórico!$M$16</f>
        <v>17567.107751996999</v>
      </c>
      <c r="L19" s="18">
        <f t="shared" si="1"/>
        <v>34.34786873926037</v>
      </c>
      <c r="M19" s="19">
        <f t="shared" si="2"/>
        <v>65.652131260739637</v>
      </c>
      <c r="N19" s="10">
        <f>+[10]May19!$F$50</f>
        <v>30.896842597787877</v>
      </c>
      <c r="O19" s="11">
        <f>+[10]May19!$F$51</f>
        <v>55.257215404299423</v>
      </c>
      <c r="P19" s="11">
        <f>+[10]May19!$F$52</f>
        <v>5.4402489492143973</v>
      </c>
      <c r="Q19" s="11"/>
      <c r="R19" s="11">
        <f>+[10]May19!$F$53</f>
        <v>0.16933432971137652</v>
      </c>
      <c r="S19" s="11">
        <f>+[10]May19!$F$54</f>
        <v>8.236358718986919</v>
      </c>
      <c r="T19" s="12"/>
      <c r="U19" s="10">
        <f>+[10]May19!$F$25</f>
        <v>25.225701772981061</v>
      </c>
      <c r="V19" s="11">
        <f>+[10]May19!$F$37</f>
        <v>14.195325262671762</v>
      </c>
      <c r="W19" s="12">
        <f>+[10]May19!$F$45</f>
        <v>60.57897296434718</v>
      </c>
      <c r="X19" s="10">
        <f>+'[2]Data Deuda'!E21</f>
        <v>8212.953014196868</v>
      </c>
      <c r="Y19" s="11">
        <f>+'[2]Data Deuda'!F21</f>
        <v>18544.349263631007</v>
      </c>
      <c r="Z19" s="15">
        <f t="shared" si="4"/>
        <v>30.693605170438197</v>
      </c>
      <c r="AA19" s="16">
        <f t="shared" si="5"/>
        <v>69.304296938834611</v>
      </c>
      <c r="AB19" s="10">
        <f>(+'[2]Data Deuda'!G21/$B$19)*100</f>
        <v>80.674778315496226</v>
      </c>
      <c r="AC19" s="11">
        <f>(+'[2]Data Deuda'!H21/$B$19)*100</f>
        <v>18.687945860936672</v>
      </c>
      <c r="AD19" s="11">
        <f>(+'[2]Data Deuda'!I21/$B$19)*100</f>
        <v>0</v>
      </c>
      <c r="AE19" s="12">
        <f>(+'[2]Data Deuda'!J21/$B$19)*100</f>
        <v>0.63517793283969093</v>
      </c>
      <c r="AI19" s="1">
        <f>+'[8]Servicio de la Deuda'!$GW$15</f>
        <v>182047.84739267992</v>
      </c>
      <c r="AJ19" s="28">
        <f>+AI19/'[8]Servicio de la Deuda'!$GW$22</f>
        <v>0.40579213615892251</v>
      </c>
    </row>
    <row r="20" spans="1:41" x14ac:dyDescent="0.25">
      <c r="A20">
        <f t="shared" si="3"/>
        <v>2017</v>
      </c>
      <c r="B20" s="2">
        <f>+[5]Histórico!$N$15</f>
        <v>29543.619508309814</v>
      </c>
      <c r="C20" s="1">
        <f>(+B20*1000000)/('[6]PIB per Cápita'!B35*1000)</f>
        <v>2905.2138668034936</v>
      </c>
      <c r="D20" s="2">
        <f>+B20/'[6]PIB per Cápita'!E35*100</f>
        <v>36.918208285609126</v>
      </c>
      <c r="E20" s="2">
        <f>+'[7]Por Fuente (% PIB)'!S$11*100</f>
        <v>46.504495529483101</v>
      </c>
      <c r="F20" s="2">
        <f t="shared" si="0"/>
        <v>9.5862872438739757</v>
      </c>
      <c r="G20" s="2">
        <f>(+[4]Anual!T$37/[4]Anual!T$6)*100</f>
        <v>19.627436136413593</v>
      </c>
      <c r="H20" s="2">
        <f>+([4]Anual!T$37/[4]Anual!T$85)*100</f>
        <v>74.753633020190406</v>
      </c>
      <c r="I20" s="1">
        <f>(+[4]Anual!T$230)*100</f>
        <v>-2.7831276544242294</v>
      </c>
      <c r="J20" s="17">
        <f>+[5]Histórico!$L$15</f>
        <v>10722.34651119682</v>
      </c>
      <c r="K20" s="18">
        <f>+[5]Histórico!$M$15</f>
        <v>18821.272997112996</v>
      </c>
      <c r="L20" s="18">
        <f t="shared" si="1"/>
        <v>36.293273098040395</v>
      </c>
      <c r="M20" s="19">
        <f t="shared" si="2"/>
        <v>63.706726901959613</v>
      </c>
      <c r="N20" s="10">
        <f>+[10]May19!$H$50</f>
        <v>25.616880851721437</v>
      </c>
      <c r="O20" s="11">
        <f>+[10]May19!$H$51</f>
        <v>61.029701968991709</v>
      </c>
      <c r="P20" s="11">
        <f>+[10]May19!$H$52</f>
        <v>4.663158381216971</v>
      </c>
      <c r="Q20" s="11"/>
      <c r="R20" s="11">
        <f>+[10]May19!$H$53</f>
        <v>0</v>
      </c>
      <c r="S20" s="11">
        <f>+[10]May19!$H$54</f>
        <v>8.6902587980698893</v>
      </c>
      <c r="T20" s="12"/>
      <c r="U20" s="10">
        <f>+[10]May19!$H$25</f>
        <v>23.621111233230298</v>
      </c>
      <c r="V20" s="11">
        <f>+[10]May19!$H$37</f>
        <v>12.846851461210349</v>
      </c>
      <c r="W20" s="12">
        <f>+[10]May19!$H$45</f>
        <v>63.532037305559363</v>
      </c>
      <c r="X20" s="10">
        <f>+'[2]Data Deuda'!E25</f>
        <v>9507.0957760021902</v>
      </c>
      <c r="Y20" s="11">
        <f>+'[2]Data Deuda'!F25</f>
        <v>20036.966707792995</v>
      </c>
      <c r="Z20" s="15">
        <f t="shared" si="4"/>
        <v>32.179861283848801</v>
      </c>
      <c r="AA20" s="16">
        <f t="shared" si="5"/>
        <v>67.821638110919835</v>
      </c>
      <c r="AB20" s="10">
        <f>(+'[2]Data Deuda'!G25/$B$20)*100</f>
        <v>85.885751708835926</v>
      </c>
      <c r="AC20" s="11">
        <f>(+'[2]Data Deuda'!H25/$B$20)*100</f>
        <v>13.964501762573732</v>
      </c>
      <c r="AD20" s="11">
        <f>(+'[2]Data Deuda'!I25/$B$20)*100</f>
        <v>0</v>
      </c>
      <c r="AE20" s="12">
        <f>(+'[2]Data Deuda'!J25/$B$20)*100</f>
        <v>0.15124592335895654</v>
      </c>
      <c r="AI20" s="1">
        <f>+'[8]Servicio de la Deuda'!$HI$15</f>
        <v>185222.89436984606</v>
      </c>
      <c r="AJ20" s="28">
        <f>+AI20/'[8]Servicio de la Deuda'!$HI$22</f>
        <v>0.37544942391149844</v>
      </c>
    </row>
    <row r="21" spans="1:41" x14ac:dyDescent="0.25">
      <c r="A21">
        <f t="shared" si="3"/>
        <v>2018</v>
      </c>
      <c r="B21" s="2">
        <f>+[5]Histórico!$N$14</f>
        <v>32158.164947553152</v>
      </c>
      <c r="C21" s="1">
        <f>(+B21*1000000)/('[6]PIB per Cápita'!B36*1000)</f>
        <v>3132.4467380663532</v>
      </c>
      <c r="D21" s="2">
        <f>+B21/'[6]PIB per Cápita'!E36*100</f>
        <v>37.595665770695</v>
      </c>
      <c r="E21" s="2">
        <f>+'[7]Por Fuente (% PIB)'!T$11*100</f>
        <v>47.903866666201388</v>
      </c>
      <c r="F21" s="2">
        <f t="shared" si="0"/>
        <v>10.308200895506388</v>
      </c>
      <c r="G21" s="2">
        <f>(+[4]Anual!U$37/[4]Anual!U$6)*100</f>
        <v>19.938234575058861</v>
      </c>
      <c r="H21" s="2">
        <f>+([4]Anual!U$37/[4]Anual!U$85)*100</f>
        <v>97.512656660781914</v>
      </c>
      <c r="I21" s="1">
        <f>(+[4]Anual!U$230)*100</f>
        <v>-2.2770608657879032</v>
      </c>
      <c r="J21" s="17">
        <f>+[5]Histórico!$L$14</f>
        <v>10593.606015131154</v>
      </c>
      <c r="K21" s="18">
        <f>+[5]Histórico!$M$14</f>
        <v>21564.558932421998</v>
      </c>
      <c r="L21" s="18">
        <f t="shared" si="1"/>
        <v>32.942196895899684</v>
      </c>
      <c r="M21" s="19">
        <f t="shared" si="2"/>
        <v>67.057803104100316</v>
      </c>
      <c r="N21" s="10">
        <f>+[10]May19!$J$50</f>
        <v>24.888769180913702</v>
      </c>
      <c r="O21" s="11">
        <f>+[10]May19!$J$51</f>
        <v>61.77942849174535</v>
      </c>
      <c r="P21" s="11">
        <f>+[10]May19!$J$52</f>
        <v>4.7199496299982791</v>
      </c>
      <c r="Q21" s="11"/>
      <c r="R21" s="11">
        <f>+[10]May19!$J$53</f>
        <v>0</v>
      </c>
      <c r="S21" s="11">
        <f>+[10]May19!$J$54</f>
        <v>8.6118526973426608</v>
      </c>
      <c r="T21" s="12"/>
      <c r="U21" s="10">
        <f>+[10]May19!$J$25</f>
        <v>21.775149152742753</v>
      </c>
      <c r="V21" s="11">
        <f>+[10]May19!$J$37</f>
        <v>9.7118343461652223</v>
      </c>
      <c r="W21" s="12">
        <f>+[10]May19!$J$45</f>
        <v>68.513016501092025</v>
      </c>
      <c r="X21" s="10">
        <f>+SUM('[11]POR MONEDA'!$D$30,'[11]POR MONEDA'!$D$17)</f>
        <v>10069.368364305168</v>
      </c>
      <c r="Y21" s="11">
        <f>+SUM('[11]POR MONEDA'!$D$16,'[11]POR MONEDA'!$D$18:$D$23,'[11]POR MONEDA'!$D$31)</f>
        <v>22088.796583248004</v>
      </c>
      <c r="Z21" s="15">
        <f t="shared" si="4"/>
        <v>31.312011679544931</v>
      </c>
      <c r="AA21" s="16">
        <f t="shared" si="5"/>
        <v>68.687988320455133</v>
      </c>
      <c r="AB21" s="10">
        <f>(+'[2]Data Deuda'!G29/$B$21)*100</f>
        <v>87.09588686703411</v>
      </c>
      <c r="AC21" s="11">
        <f>(+'[2]Data Deuda'!H29/$B$21)*100</f>
        <v>12.824703725464905</v>
      </c>
      <c r="AD21" s="11">
        <f>(+'[2]Data Deuda'!I29/$B$21)*100</f>
        <v>0</v>
      </c>
      <c r="AE21" s="12">
        <f>(+'[2]Data Deuda'!J29/$B$21)*100</f>
        <v>7.9409407500856274E-2</v>
      </c>
      <c r="AG21" s="14"/>
      <c r="AI21" s="1">
        <f>+'[8]Servicio de la Deuda'!$HU$15</f>
        <v>233561.46121151224</v>
      </c>
      <c r="AJ21" s="28">
        <f>+AI21/'[8]Servicio de la Deuda'!$HU$22</f>
        <v>0.42470234387756634</v>
      </c>
    </row>
    <row r="22" spans="1:41" x14ac:dyDescent="0.25">
      <c r="A22">
        <v>2019</v>
      </c>
      <c r="B22" s="13">
        <f>[12]Histórico!$N$14</f>
        <v>35942.486211186901</v>
      </c>
      <c r="C22" s="1">
        <f>(+B22*1000000)/'[13]2.20-15'!$BJ$9</f>
        <v>3439.9664689815158</v>
      </c>
      <c r="D22" s="2">
        <f>[12]Histórico!$O$14</f>
        <v>40.427469218857759</v>
      </c>
      <c r="E22" s="37">
        <f>+'[7]Por Fuente (% PIB)'!U$11*100</f>
        <v>50.534440591242799</v>
      </c>
      <c r="F22" s="2">
        <f t="shared" si="0"/>
        <v>10.10697137238504</v>
      </c>
      <c r="G22" s="2">
        <f>(+[4]Anual!V$37/[4]Anual!V$6)*100</f>
        <v>20.689702944937729</v>
      </c>
      <c r="H22" s="2">
        <f>+([4]Anual!V$37/[4]Anual!V$85)*100</f>
        <v>117.90276281109678</v>
      </c>
      <c r="I22" s="1">
        <f>+[4]Anual!$V$230*100</f>
        <v>-2.3200110083950896</v>
      </c>
      <c r="J22" s="20">
        <f>+'[14]Dic-19'!$K$56</f>
        <v>12559.332331954885</v>
      </c>
      <c r="K22" s="21">
        <f>+'[14]Dic-19'!$K$47</f>
        <v>23383.153879232003</v>
      </c>
      <c r="L22" s="18">
        <f t="shared" ref="L22" si="6">+J22/B22*100</f>
        <v>34.942859150477638</v>
      </c>
      <c r="M22" s="19">
        <f t="shared" ref="M22" si="7">+K22/B22*100</f>
        <v>65.057140849522327</v>
      </c>
      <c r="N22" s="10">
        <f>+'[14]Dic-19'!$L$50</f>
        <v>19.921577028104291</v>
      </c>
      <c r="O22" s="11">
        <f>+'[14]Dic-19'!$L$51</f>
        <v>65.008327146624353</v>
      </c>
      <c r="P22" s="11">
        <f>+'[14]Dic-19'!$L$52</f>
        <v>3.9811033483670384</v>
      </c>
      <c r="Q22" s="11"/>
      <c r="R22" s="11">
        <f>+'[14]Dic-19'!$L$53</f>
        <v>0</v>
      </c>
      <c r="S22" s="11">
        <f>+'[14]Dic-19'!$L$54</f>
        <v>11.088992476904318</v>
      </c>
      <c r="T22" s="12"/>
      <c r="U22" s="10">
        <f>+'[14]Dic-19'!$L$25</f>
        <v>21.54709120782848</v>
      </c>
      <c r="V22" s="11">
        <f>+'[14]Dic-19'!$L$37</f>
        <v>7.7784113615974624</v>
      </c>
      <c r="W22" s="12">
        <f>+'[14]Dic-19'!$L$45</f>
        <v>70.674497430574064</v>
      </c>
      <c r="X22" s="10">
        <f>+'[15]POR MONEDA'!$D$17+'[15]POR MONEDA'!$D$30</f>
        <v>11797.867356605895</v>
      </c>
      <c r="Y22" s="11">
        <f>+SUM('[15]POR MONEDA'!$D$16,'[15]POR MONEDA'!$D$18:$D$23,'[15]POR MONEDA'!$D$31)</f>
        <v>24144.62879345398</v>
      </c>
      <c r="Z22" s="15">
        <f t="shared" ref="Z22" si="8">+X22/B22*100</f>
        <v>32.824294032653405</v>
      </c>
      <c r="AA22" s="16">
        <f t="shared" ref="AA22" si="9">+Y22/B22*100</f>
        <v>67.175733619504314</v>
      </c>
      <c r="AB22" s="10">
        <f>+'[16]POR TIPO DE INTERES'!$E$32</f>
        <v>86.56725575474718</v>
      </c>
      <c r="AC22" s="11">
        <f>+'[16]POR TIPO DE INTERES'!$E$33</f>
        <v>13.356919652758394</v>
      </c>
      <c r="AD22" s="11"/>
      <c r="AE22" s="12">
        <f>+'[16]POR TIPO DE INTERES'!$E$34</f>
        <v>7.5824592494432339E-2</v>
      </c>
      <c r="AG22" s="63"/>
      <c r="AH22" s="26"/>
      <c r="AI22" s="1">
        <f>+'[8]Servicio de la Deuda'!$IG$15</f>
        <v>269846.91750127089</v>
      </c>
      <c r="AJ22" s="28">
        <f>+'[8]Servicio de la Deuda'!IG38</f>
        <v>0.44574828370174402</v>
      </c>
    </row>
    <row r="23" spans="1:41" x14ac:dyDescent="0.25">
      <c r="A23">
        <v>2020</v>
      </c>
      <c r="B23" s="13">
        <f>+'[17]Dic-20'!$J$64</f>
        <v>44519.085780271707</v>
      </c>
      <c r="C23" s="1">
        <f>(+B23*1000000)/'[18]2.20-15'!$BJ$9</f>
        <v>4260.8116036831416</v>
      </c>
      <c r="D23" s="2">
        <f>+(('[19]Por Fuente (US$)'!$V$15+'[19]Por Fuente (US$)'!$V$16+'[19]Por Fuente (US$)'!$V$19+'[19]Por Fuente (US$)'!$V$20)/'[20]PIB per Cápita'!$E$38)*100</f>
        <v>56.475528231409363</v>
      </c>
      <c r="E23" s="37">
        <f>+'[7]Por Fuente (% PIB)'!V$11*100</f>
        <v>69.098022301437283</v>
      </c>
      <c r="F23" s="2">
        <f t="shared" si="0"/>
        <v>12.622494070027919</v>
      </c>
      <c r="G23" s="38">
        <f>+([4]Anual!$W$37/[4]Anual!$W$6)*100</f>
        <v>26.224424971314313</v>
      </c>
      <c r="H23" s="38">
        <f>+([4]Anual!W$37/[4]Anual!W$85)*100</f>
        <v>110.00935986039497</v>
      </c>
      <c r="I23" s="1">
        <f>+[4]Anual!$W$230*100</f>
        <v>-7.5872523336652939</v>
      </c>
      <c r="J23" s="13">
        <f>'[21]Dic-20'!$J$62</f>
        <v>13816.550838843703</v>
      </c>
      <c r="K23" s="13">
        <f>'[21]Dic-20'!$J$60</f>
        <v>30702.534941427999</v>
      </c>
      <c r="L23" s="18">
        <f t="shared" ref="L23" si="10">+J23/B23*100</f>
        <v>31.035118077304279</v>
      </c>
      <c r="M23" s="19">
        <f t="shared" ref="M23" si="11">+K23/B23*100</f>
        <v>68.96488192269571</v>
      </c>
      <c r="N23" s="33">
        <f>'[21]Dic-20'!$K$48</f>
        <v>16.485051868065334</v>
      </c>
      <c r="O23" s="34">
        <f>'[21]Dic-20'!$K$49</f>
        <v>71.38600832817869</v>
      </c>
      <c r="P23" s="34">
        <f>'[21]Dic-20'!$K$51</f>
        <v>3.6188481903479506</v>
      </c>
      <c r="Q23" s="34">
        <f>'[21]Dic-20'!$K$50</f>
        <v>3.5392335301602964</v>
      </c>
      <c r="R23" s="34"/>
      <c r="S23" s="34">
        <f>'[21]Dic-20'!$K$53</f>
        <v>4.9708580832477312</v>
      </c>
      <c r="T23" s="9"/>
      <c r="U23" s="56">
        <f>'[21]Dic-20'!$K$23</f>
        <v>21.439098524148928</v>
      </c>
      <c r="V23" s="57">
        <f>'[21]Dic-20'!$K$35</f>
        <v>6.3371841216460307</v>
      </c>
      <c r="W23" s="58">
        <f>'[21]Dic-20'!$K$43</f>
        <v>72.223717354205036</v>
      </c>
      <c r="X23" s="10">
        <f>SUM('[22]POR MONEDA'!$D$17,'[22]POR MONEDA'!$D$30)</f>
        <v>12478.037858738695</v>
      </c>
      <c r="Y23" s="11">
        <f>B23-X23</f>
        <v>32041.047921533012</v>
      </c>
      <c r="Z23" s="51">
        <f t="shared" ref="Z23" si="12">+X23/B23*100</f>
        <v>28.028513254574161</v>
      </c>
      <c r="AA23" s="52">
        <f t="shared" ref="AA23" si="13">+Y23/B23*100</f>
        <v>71.971486745425835</v>
      </c>
      <c r="AB23" s="10">
        <f>'[23]POR TIPO DE INTERES'!$E$33</f>
        <v>86.746328998539951</v>
      </c>
      <c r="AC23" s="11">
        <f>'[23]POR TIPO DE INTERES'!$E$34</f>
        <v>13.197199430704801</v>
      </c>
      <c r="AD23" s="11"/>
      <c r="AE23" s="12">
        <f>'[23]POR TIPO DE INTERES'!$E$35</f>
        <v>5.6471570755257675E-2</v>
      </c>
      <c r="AF23" s="1"/>
      <c r="AG23" s="26">
        <v>68.400000000000006</v>
      </c>
      <c r="AH23" s="26"/>
      <c r="AI23" s="1">
        <f>+'[8]Servicio de la Deuda'!$IS$15</f>
        <v>392875.11119685986</v>
      </c>
      <c r="AJ23" s="28">
        <f>+'[8]Servicio de la Deuda'!$IS$38</f>
        <v>0.71353334202828245</v>
      </c>
      <c r="AL23" s="14"/>
    </row>
    <row r="24" spans="1:41" x14ac:dyDescent="0.25">
      <c r="A24">
        <f>+A23+1</f>
        <v>2021</v>
      </c>
      <c r="AD24" s="13"/>
      <c r="AE24" s="13"/>
      <c r="AF24" s="13">
        <f>'[24]Bonos Ext'!$L$16</f>
        <v>77.433666000000002</v>
      </c>
      <c r="AG24" s="26">
        <v>69.099999999999994</v>
      </c>
      <c r="AH24" s="26"/>
    </row>
    <row r="25" spans="1:41" x14ac:dyDescent="0.25">
      <c r="A25">
        <f t="shared" ref="A25:A29" si="14">+A24+1</f>
        <v>2022</v>
      </c>
      <c r="C25" s="28"/>
      <c r="D25" s="2"/>
      <c r="AD25" s="13"/>
      <c r="AF25" s="1">
        <f>'[24]Bonos Ext'!$L$17/3</f>
        <v>203.83066666666664</v>
      </c>
      <c r="AG25" s="26">
        <v>71.2</v>
      </c>
      <c r="AH25" s="26"/>
      <c r="AL25" s="14"/>
    </row>
    <row r="26" spans="1:41" x14ac:dyDescent="0.25">
      <c r="A26">
        <f t="shared" si="14"/>
        <v>2023</v>
      </c>
      <c r="C26" s="28"/>
      <c r="D26" s="61">
        <v>78828.992652503104</v>
      </c>
      <c r="E26" s="28">
        <f>+B23/D26</f>
        <v>0.56475522878393736</v>
      </c>
      <c r="F26" s="28"/>
      <c r="AE26" s="13"/>
      <c r="AF26" s="1">
        <f>'[24]Bonos Ext'!$L$17/3+'[24]Bonos Ext'!$L$31</f>
        <v>892.14362866666659</v>
      </c>
      <c r="AG26" s="26">
        <v>69.8</v>
      </c>
      <c r="AH26" s="26"/>
    </row>
    <row r="27" spans="1:41" x14ac:dyDescent="0.25">
      <c r="A27">
        <f t="shared" si="14"/>
        <v>2024</v>
      </c>
      <c r="D27" s="1">
        <f>+'[19]Por Fuente (US$)'!$V$12</f>
        <v>54469.249726722548</v>
      </c>
      <c r="E27" s="28">
        <f>+D27/D26</f>
        <v>0.69097990338194371</v>
      </c>
      <c r="F27" s="28"/>
      <c r="G27" s="14"/>
      <c r="H27" s="1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>
        <f>'[24]Bonos Ext'!$L$17/3+'[24]Bonos Ext'!$K$55</f>
        <v>482.78966666666668</v>
      </c>
      <c r="AG27" s="26">
        <v>68.5</v>
      </c>
      <c r="AH27" s="26"/>
    </row>
    <row r="28" spans="1:41" x14ac:dyDescent="0.25">
      <c r="A28">
        <f t="shared" si="14"/>
        <v>2025</v>
      </c>
      <c r="D28" s="23"/>
      <c r="E28" s="1"/>
      <c r="F28" s="1"/>
      <c r="G28" s="14"/>
      <c r="H28" s="14"/>
      <c r="AE28" s="13"/>
      <c r="AF28" s="1">
        <f>SUM('[24]Bonos Ext'!$L$22:$L$23)+100</f>
        <v>1372.202</v>
      </c>
      <c r="AG28" s="26">
        <v>67.099999999999994</v>
      </c>
    </row>
    <row r="29" spans="1:41" x14ac:dyDescent="0.25">
      <c r="A29">
        <f t="shared" si="14"/>
        <v>2026</v>
      </c>
      <c r="E29" s="23"/>
      <c r="F29" s="23"/>
      <c r="G29" s="14"/>
      <c r="H29" s="14"/>
      <c r="AF29" s="1">
        <f>100+1000+500+SUM('[24]Bonos Ext'!$L$34:$L$35)</f>
        <v>2770.527814</v>
      </c>
      <c r="AI29" s="1"/>
      <c r="AJ29" s="1"/>
      <c r="AK29" s="1"/>
      <c r="AL29" s="1"/>
      <c r="AM29" s="1"/>
      <c r="AN29" s="1"/>
      <c r="AO29" s="1"/>
    </row>
    <row r="30" spans="1:41" x14ac:dyDescent="0.25">
      <c r="A30">
        <f>+A29+1</f>
        <v>2027</v>
      </c>
      <c r="G30" s="14"/>
      <c r="H30" s="14"/>
      <c r="AF30" s="1">
        <f>1200+100+500</f>
        <v>1800</v>
      </c>
      <c r="AI30" s="1"/>
      <c r="AJ30" s="1"/>
      <c r="AK30" s="1"/>
      <c r="AL30" s="1"/>
      <c r="AM30" s="1"/>
      <c r="AN30" s="1"/>
      <c r="AO30" s="1"/>
    </row>
    <row r="31" spans="1:41" x14ac:dyDescent="0.25">
      <c r="A31">
        <v>2028</v>
      </c>
      <c r="G31" s="14"/>
      <c r="H31" s="14"/>
      <c r="AF31" s="1">
        <v>1300</v>
      </c>
    </row>
    <row r="32" spans="1:41" x14ac:dyDescent="0.25">
      <c r="A32">
        <v>2029</v>
      </c>
      <c r="G32" s="14"/>
      <c r="H32" s="14"/>
      <c r="AF32" s="1"/>
    </row>
    <row r="33" spans="1:32" x14ac:dyDescent="0.25">
      <c r="A33">
        <v>2030</v>
      </c>
      <c r="G33" s="14"/>
      <c r="H33" s="14"/>
      <c r="AF33" s="36">
        <f>1000+1000</f>
        <v>2000</v>
      </c>
    </row>
    <row r="34" spans="1:32" x14ac:dyDescent="0.25">
      <c r="A34">
        <v>2031</v>
      </c>
      <c r="G34" s="14"/>
      <c r="H34" s="14"/>
      <c r="AF34" s="36"/>
    </row>
    <row r="35" spans="1:32" x14ac:dyDescent="0.25">
      <c r="A35">
        <v>2032</v>
      </c>
      <c r="G35" s="14"/>
      <c r="H35" s="14"/>
      <c r="AF35" s="35">
        <f>'[24]Bonos Ext'!$L$39+'[24]Bonos Ext'!$L$40</f>
        <v>3066</v>
      </c>
    </row>
    <row r="36" spans="1:32" x14ac:dyDescent="0.25">
      <c r="A36" t="s">
        <v>78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AF36" s="35"/>
    </row>
    <row r="37" spans="1:32" x14ac:dyDescent="0.25">
      <c r="A37">
        <v>2041</v>
      </c>
      <c r="G37" s="14"/>
      <c r="H37" s="14"/>
      <c r="AF37" s="36">
        <v>1500</v>
      </c>
    </row>
    <row r="38" spans="1:32" x14ac:dyDescent="0.25">
      <c r="A38" t="s">
        <v>79</v>
      </c>
      <c r="G38" s="14"/>
      <c r="H38" s="14"/>
      <c r="AF38" s="36"/>
    </row>
    <row r="39" spans="1:32" x14ac:dyDescent="0.25">
      <c r="A39">
        <v>2044</v>
      </c>
      <c r="G39" s="14"/>
      <c r="H39" s="14"/>
      <c r="AF39" s="35">
        <f>1250+250</f>
        <v>1500</v>
      </c>
    </row>
    <row r="40" spans="1:32" x14ac:dyDescent="0.25">
      <c r="A40">
        <v>2045</v>
      </c>
      <c r="AF40" s="35">
        <f>1500+500</f>
        <v>2000</v>
      </c>
    </row>
    <row r="41" spans="1:32" x14ac:dyDescent="0.25">
      <c r="A41" t="s">
        <v>80</v>
      </c>
      <c r="AF41" s="35"/>
    </row>
    <row r="42" spans="1:32" x14ac:dyDescent="0.25">
      <c r="A42">
        <v>2048</v>
      </c>
      <c r="G42" s="14"/>
      <c r="H42" s="14"/>
      <c r="AF42" s="35">
        <v>1000</v>
      </c>
    </row>
    <row r="43" spans="1:32" x14ac:dyDescent="0.25">
      <c r="A43">
        <v>2049</v>
      </c>
      <c r="G43" s="14"/>
      <c r="H43" s="14"/>
      <c r="AF43" s="35">
        <v>1500</v>
      </c>
    </row>
    <row r="44" spans="1:32" x14ac:dyDescent="0.25">
      <c r="A44" t="s">
        <v>81</v>
      </c>
      <c r="G44" s="14"/>
      <c r="H44" s="14"/>
      <c r="AF44" s="35"/>
    </row>
    <row r="45" spans="1:32" x14ac:dyDescent="0.25">
      <c r="A45">
        <v>2060</v>
      </c>
      <c r="G45" s="14"/>
      <c r="H45" s="14"/>
      <c r="AF45" s="35">
        <f>1500+1700</f>
        <v>3200</v>
      </c>
    </row>
    <row r="46" spans="1:32" x14ac:dyDescent="0.25">
      <c r="G46" s="14"/>
      <c r="H46" s="14"/>
    </row>
    <row r="47" spans="1:32" x14ac:dyDescent="0.25">
      <c r="G47" s="14"/>
      <c r="H47" s="14"/>
    </row>
    <row r="48" spans="1:32" x14ac:dyDescent="0.25">
      <c r="G48" s="14"/>
      <c r="H48" s="14"/>
    </row>
    <row r="49" spans="7:31" x14ac:dyDescent="0.25">
      <c r="G49" s="14"/>
      <c r="H49" s="14"/>
    </row>
    <row r="50" spans="7:31" x14ac:dyDescent="0.25">
      <c r="G50" s="14"/>
      <c r="H50" s="14"/>
    </row>
    <row r="51" spans="7:31" x14ac:dyDescent="0.25">
      <c r="G51" s="14"/>
      <c r="H51" s="14"/>
    </row>
    <row r="52" spans="7:31" x14ac:dyDescent="0.25">
      <c r="G52" s="14"/>
      <c r="H52" s="14"/>
    </row>
    <row r="53" spans="7:31" x14ac:dyDescent="0.25">
      <c r="G53" s="14"/>
      <c r="H53" s="14"/>
    </row>
    <row r="54" spans="7:31" x14ac:dyDescent="0.25">
      <c r="G54" s="14"/>
      <c r="H54" s="14"/>
    </row>
    <row r="55" spans="7:31" x14ac:dyDescent="0.25">
      <c r="G55" s="14"/>
      <c r="H55" s="14"/>
    </row>
    <row r="56" spans="7:31" x14ac:dyDescent="0.25">
      <c r="G56" s="14"/>
      <c r="H56" s="14"/>
    </row>
    <row r="57" spans="7:31" x14ac:dyDescent="0.25">
      <c r="G57" s="14"/>
      <c r="H57" s="14"/>
    </row>
    <row r="58" spans="7:31" x14ac:dyDescent="0.25">
      <c r="G58" s="14"/>
      <c r="H58" s="14"/>
    </row>
    <row r="59" spans="7:31" x14ac:dyDescent="0.25"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7:31" x14ac:dyDescent="0.25">
      <c r="G60" s="14"/>
      <c r="H60" s="14"/>
    </row>
    <row r="61" spans="7:31" x14ac:dyDescent="0.25">
      <c r="G61" s="14"/>
      <c r="H61" s="14"/>
    </row>
    <row r="62" spans="7:31" x14ac:dyDescent="0.25">
      <c r="G62" s="14"/>
      <c r="H62" s="14"/>
    </row>
    <row r="63" spans="7:31" x14ac:dyDescent="0.25">
      <c r="G63" s="14"/>
      <c r="H63" s="14"/>
    </row>
  </sheetData>
  <mergeCells count="5">
    <mergeCell ref="J1:M1"/>
    <mergeCell ref="N1:T1"/>
    <mergeCell ref="U1:W1"/>
    <mergeCell ref="X1:AA1"/>
    <mergeCell ref="AB1:AE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AC56-EB21-44FD-AA49-632E27053196}">
  <sheetPr>
    <tabColor rgb="FF0070C0"/>
  </sheetPr>
  <dimension ref="A1:H28"/>
  <sheetViews>
    <sheetView zoomScale="70" zoomScaleNormal="70" workbookViewId="0">
      <selection activeCell="E22" sqref="E22"/>
    </sheetView>
  </sheetViews>
  <sheetFormatPr defaultRowHeight="15" x14ac:dyDescent="0.25"/>
  <cols>
    <col min="2" max="4" width="13.140625" customWidth="1"/>
  </cols>
  <sheetData>
    <row r="1" spans="1:8" ht="75" x14ac:dyDescent="0.25">
      <c r="A1" s="62" t="s">
        <v>23</v>
      </c>
      <c r="B1" s="22" t="s">
        <v>84</v>
      </c>
      <c r="C1" s="22" t="s">
        <v>71</v>
      </c>
      <c r="D1" s="3" t="s">
        <v>37</v>
      </c>
      <c r="F1" s="22" t="s">
        <v>84</v>
      </c>
      <c r="G1" s="22" t="s">
        <v>71</v>
      </c>
      <c r="H1" s="3" t="s">
        <v>37</v>
      </c>
    </row>
    <row r="2" spans="1:8" x14ac:dyDescent="0.25">
      <c r="A2">
        <f>+Anual!A3</f>
        <v>2000</v>
      </c>
      <c r="B2" s="2">
        <f>+Anual!D3</f>
        <v>13.454763302824713</v>
      </c>
      <c r="C2" s="2">
        <f>+D2-B2</f>
        <v>4.7461741842122471</v>
      </c>
      <c r="D2" s="2">
        <f>+Anual!E3</f>
        <v>18.20093748703696</v>
      </c>
      <c r="E2" s="1"/>
      <c r="F2" s="2">
        <f>(+'[25]Por Sector (% PIB)'!B$14-'[25]Por Sector (% PIB)'!B$18)*100</f>
        <v>13.405234993985149</v>
      </c>
      <c r="G2" s="2">
        <f>(+'[25]Por Sector (% PIB)'!B$24)*100</f>
        <v>4.7957024930518104</v>
      </c>
      <c r="H2" s="2">
        <f>+SUM(F2:G2)</f>
        <v>18.20093748703696</v>
      </c>
    </row>
    <row r="3" spans="1:8" x14ac:dyDescent="0.25">
      <c r="A3">
        <f>+Anual!A4</f>
        <v>2001</v>
      </c>
      <c r="B3" s="2">
        <f>+Anual!D4</f>
        <v>15.666522716849688</v>
      </c>
      <c r="C3" s="2">
        <f t="shared" ref="C3:C22" si="0">+D3-B3</f>
        <v>4.0907325095656297</v>
      </c>
      <c r="D3" s="2">
        <f>+Anual!E4</f>
        <v>19.757255226415317</v>
      </c>
      <c r="E3" s="1"/>
      <c r="F3" s="2">
        <f>(+'[25]Por Sector (% PIB)'!C$14-'[25]Por Sector (% PIB)'!C$18)*100</f>
        <v>15.664005130417918</v>
      </c>
      <c r="G3" s="2">
        <f>(+'[25]Por Sector (% PIB)'!C$24)*100</f>
        <v>4.0932500959974032</v>
      </c>
      <c r="H3" s="2">
        <f t="shared" ref="H3:H22" si="1">+SUM(F3:G3)</f>
        <v>19.757255226415321</v>
      </c>
    </row>
    <row r="4" spans="1:8" x14ac:dyDescent="0.25">
      <c r="A4">
        <f>+Anual!A5</f>
        <v>2002</v>
      </c>
      <c r="B4" s="2">
        <f>+Anual!D5</f>
        <v>17.084759205259108</v>
      </c>
      <c r="C4" s="2">
        <f t="shared" si="0"/>
        <v>4.864624191066877</v>
      </c>
      <c r="D4" s="2">
        <f>+Anual!E5</f>
        <v>21.949383396325985</v>
      </c>
      <c r="E4" s="1"/>
      <c r="F4" s="2">
        <f>(+'[25]Por Sector (% PIB)'!D$14-'[25]Por Sector (% PIB)'!D$18)*100</f>
        <v>17.084849942957369</v>
      </c>
      <c r="G4" s="2">
        <f>(+'[25]Por Sector (% PIB)'!D$24)*100</f>
        <v>4.8645334533686189</v>
      </c>
      <c r="H4" s="2">
        <f t="shared" si="1"/>
        <v>21.949383396325988</v>
      </c>
    </row>
    <row r="5" spans="1:8" x14ac:dyDescent="0.25">
      <c r="A5">
        <f>+Anual!A6</f>
        <v>2003</v>
      </c>
      <c r="B5" s="2">
        <f>+Anual!D6</f>
        <v>27.555676703854026</v>
      </c>
      <c r="C5" s="2">
        <f t="shared" si="0"/>
        <v>11.984852038284636</v>
      </c>
      <c r="D5" s="2">
        <f>+Anual!E6</f>
        <v>39.540528742138662</v>
      </c>
      <c r="E5" s="1"/>
      <c r="F5" s="2">
        <f>(+'[25]Por Sector (% PIB)'!E$14-'[25]Por Sector (% PIB)'!E$18)*100</f>
        <v>27.517425656130523</v>
      </c>
      <c r="G5" s="2">
        <f>(+'[25]Por Sector (% PIB)'!E$24)*100</f>
        <v>12.023103086008147</v>
      </c>
      <c r="H5" s="2">
        <f t="shared" si="1"/>
        <v>39.540528742138669</v>
      </c>
    </row>
    <row r="6" spans="1:8" x14ac:dyDescent="0.25">
      <c r="A6">
        <f>+Anual!A7</f>
        <v>2004</v>
      </c>
      <c r="B6" s="2">
        <f>+Anual!D7</f>
        <v>28.39992457091174</v>
      </c>
      <c r="C6" s="2">
        <f t="shared" si="0"/>
        <v>18.501734145760825</v>
      </c>
      <c r="D6" s="2">
        <f>+Anual!E7</f>
        <v>46.901658716672564</v>
      </c>
      <c r="E6" s="1"/>
      <c r="F6" s="2">
        <f>(+'[25]Por Sector (% PIB)'!F$14-'[25]Por Sector (% PIB)'!F$18)*100</f>
        <v>28.399592868294622</v>
      </c>
      <c r="G6" s="2">
        <f>(+'[25]Por Sector (% PIB)'!F$24)*100</f>
        <v>18.502065848377942</v>
      </c>
      <c r="H6" s="2">
        <f t="shared" si="1"/>
        <v>46.901658716672564</v>
      </c>
    </row>
    <row r="7" spans="1:8" x14ac:dyDescent="0.25">
      <c r="A7">
        <f>+Anual!A8</f>
        <v>2005</v>
      </c>
      <c r="B7" s="2">
        <f>+Anual!D8</f>
        <v>18.99657471214822</v>
      </c>
      <c r="C7" s="2">
        <f t="shared" si="0"/>
        <v>13.488659904982132</v>
      </c>
      <c r="D7" s="2">
        <f>+Anual!E8</f>
        <v>32.485234617130352</v>
      </c>
      <c r="E7" s="1"/>
      <c r="F7" s="2">
        <f>(+'[25]Por Sector (% PIB)'!G$14-'[25]Por Sector (% PIB)'!G$18)*100</f>
        <v>18.806962633347908</v>
      </c>
      <c r="G7" s="2">
        <f>(+'[25]Por Sector (% PIB)'!G$24)*100</f>
        <v>13.678271983782448</v>
      </c>
      <c r="H7" s="2">
        <f t="shared" si="1"/>
        <v>32.485234617130359</v>
      </c>
    </row>
    <row r="8" spans="1:8" x14ac:dyDescent="0.25">
      <c r="A8">
        <f>+Anual!A9</f>
        <v>2006</v>
      </c>
      <c r="B8" s="2">
        <f>+Anual!D9</f>
        <v>19.461310044238981</v>
      </c>
      <c r="C8" s="2">
        <f t="shared" si="0"/>
        <v>14.844256824131524</v>
      </c>
      <c r="D8" s="2">
        <f>+Anual!E9</f>
        <v>34.305566868370505</v>
      </c>
      <c r="E8" s="1"/>
      <c r="F8" s="2">
        <f>(+'[25]Por Sector (% PIB)'!H$14-'[25]Por Sector (% PIB)'!H$18)*100</f>
        <v>19.2789635067566</v>
      </c>
      <c r="G8" s="2">
        <f>(+'[25]Por Sector (% PIB)'!H$24)*100</f>
        <v>15.026629636538964</v>
      </c>
      <c r="H8" s="2">
        <f t="shared" si="1"/>
        <v>34.305593143295567</v>
      </c>
    </row>
    <row r="9" spans="1:8" x14ac:dyDescent="0.25">
      <c r="A9">
        <f>+Anual!A10</f>
        <v>2007</v>
      </c>
      <c r="B9" s="2">
        <f>+Anual!D10</f>
        <v>17.141989982369481</v>
      </c>
      <c r="C9" s="2">
        <f t="shared" si="0"/>
        <v>14.014007157702036</v>
      </c>
      <c r="D9" s="2">
        <f>+Anual!E10</f>
        <v>31.155997140071516</v>
      </c>
      <c r="E9" s="1"/>
      <c r="F9" s="2">
        <f>(+'[25]Por Sector (% PIB)'!I$14-'[25]Por Sector (% PIB)'!I$18)*100</f>
        <v>16.986407309970851</v>
      </c>
      <c r="G9" s="2">
        <f>(+'[25]Por Sector (% PIB)'!I$24)*100</f>
        <v>14.169589830100659</v>
      </c>
      <c r="H9" s="2">
        <f t="shared" si="1"/>
        <v>31.155997140071509</v>
      </c>
    </row>
    <row r="10" spans="1:8" x14ac:dyDescent="0.25">
      <c r="A10">
        <f>+Anual!A11</f>
        <v>2008</v>
      </c>
      <c r="B10" s="2">
        <f>+Anual!D11</f>
        <v>23.270399789044671</v>
      </c>
      <c r="C10" s="2">
        <f t="shared" si="0"/>
        <v>8.7556826987745175</v>
      </c>
      <c r="D10" s="2">
        <f>+Anual!E11</f>
        <v>32.026082487819188</v>
      </c>
      <c r="E10" s="1"/>
      <c r="F10" s="2">
        <f>(+'[25]Por Sector (% PIB)'!J$14-'[25]Por Sector (% PIB)'!J$18)*100</f>
        <v>19.079875794800721</v>
      </c>
      <c r="G10" s="2">
        <f>(+'[25]Por Sector (% PIB)'!J$24)*100</f>
        <v>12.946206693018475</v>
      </c>
      <c r="H10" s="2">
        <f t="shared" si="1"/>
        <v>32.026082487819195</v>
      </c>
    </row>
    <row r="11" spans="1:8" x14ac:dyDescent="0.25">
      <c r="A11">
        <f>+Anual!A12</f>
        <v>2009</v>
      </c>
      <c r="B11" s="2">
        <f>+Anual!D12</f>
        <v>27.433471167841027</v>
      </c>
      <c r="C11" s="2">
        <f t="shared" si="0"/>
        <v>8.9333396869868551</v>
      </c>
      <c r="D11" s="2">
        <f>+Anual!E12</f>
        <v>36.366810854827882</v>
      </c>
      <c r="E11" s="1"/>
      <c r="F11" s="2">
        <f>(+'[25]Por Sector (% PIB)'!K$14-'[25]Por Sector (% PIB)'!K$18)*100</f>
        <v>22.550113501428193</v>
      </c>
      <c r="G11" s="2">
        <f>(+'[25]Por Sector (% PIB)'!K$24)*100</f>
        <v>13.816697353399688</v>
      </c>
      <c r="H11" s="2">
        <f t="shared" si="1"/>
        <v>36.366810854827882</v>
      </c>
    </row>
    <row r="12" spans="1:8" x14ac:dyDescent="0.25">
      <c r="A12">
        <f>+Anual!A13</f>
        <v>2010</v>
      </c>
      <c r="B12" s="2">
        <f>+Anual!D13</f>
        <v>27.497146272287544</v>
      </c>
      <c r="C12" s="2">
        <f t="shared" si="0"/>
        <v>9.0689036859432761</v>
      </c>
      <c r="D12" s="2">
        <f>+Anual!E13</f>
        <v>36.56604995823082</v>
      </c>
      <c r="E12" s="1"/>
      <c r="F12" s="2">
        <f>(+'[25]Por Sector (% PIB)'!L$14-'[25]Por Sector (% PIB)'!L$18)*100</f>
        <v>23.278886397111936</v>
      </c>
      <c r="G12" s="2">
        <f>(+'[25]Por Sector (% PIB)'!L$24)*100</f>
        <v>13.287163561118884</v>
      </c>
      <c r="H12" s="2">
        <f t="shared" si="1"/>
        <v>36.56604995823082</v>
      </c>
    </row>
    <row r="13" spans="1:8" x14ac:dyDescent="0.25">
      <c r="A13">
        <f>+Anual!A14</f>
        <v>2011</v>
      </c>
      <c r="B13" s="2">
        <f>+Anual!D14</f>
        <v>28.572039766933887</v>
      </c>
      <c r="C13" s="2">
        <f t="shared" si="0"/>
        <v>9.2768836196955924</v>
      </c>
      <c r="D13" s="2">
        <f>+Anual!E14</f>
        <v>37.84892338662948</v>
      </c>
      <c r="E13" s="1"/>
      <c r="F13" s="2">
        <f>(+'[25]Por Sector (% PIB)'!M$14-'[25]Por Sector (% PIB)'!M$18)*100</f>
        <v>24.782963828758245</v>
      </c>
      <c r="G13" s="2">
        <f>(+'[25]Por Sector (% PIB)'!M$24)*100</f>
        <v>13.065959557871237</v>
      </c>
      <c r="H13" s="2">
        <f t="shared" si="1"/>
        <v>37.84892338662948</v>
      </c>
    </row>
    <row r="14" spans="1:8" x14ac:dyDescent="0.25">
      <c r="A14">
        <f>+Anual!A15</f>
        <v>2012</v>
      </c>
      <c r="B14" s="2">
        <f>+Anual!D15</f>
        <v>32.043714703993345</v>
      </c>
      <c r="C14" s="2">
        <f t="shared" si="0"/>
        <v>9.2222170811253861</v>
      </c>
      <c r="D14" s="2">
        <f>+Anual!E15</f>
        <v>41.265931785118731</v>
      </c>
      <c r="E14" s="1"/>
      <c r="F14" s="2">
        <f>(+'[25]Por Sector (% PIB)'!N$14-'[25]Por Sector (% PIB)'!N$18)*100</f>
        <v>28.565062012795746</v>
      </c>
      <c r="G14" s="2">
        <f>(+'[25]Por Sector (% PIB)'!N$24)*100</f>
        <v>12.700869772322987</v>
      </c>
      <c r="H14" s="2">
        <f t="shared" si="1"/>
        <v>41.265931785118731</v>
      </c>
    </row>
    <row r="15" spans="1:8" x14ac:dyDescent="0.25">
      <c r="A15">
        <f>+Anual!A16</f>
        <v>2013</v>
      </c>
      <c r="B15" s="2">
        <f>+Anual!D16</f>
        <v>36.99325622478343</v>
      </c>
      <c r="C15" s="2">
        <f t="shared" si="0"/>
        <v>8.072975316681358</v>
      </c>
      <c r="D15" s="2">
        <f>+Anual!E16</f>
        <v>45.066231541464788</v>
      </c>
      <c r="E15" s="1"/>
      <c r="F15" s="2">
        <f>(+'[25]Por Sector (% PIB)'!O$14-'[25]Por Sector (% PIB)'!O$18)*100</f>
        <v>31.961113299880118</v>
      </c>
      <c r="G15" s="2">
        <f>(+'[25]Por Sector (% PIB)'!O$24)*100</f>
        <v>13.105118241584671</v>
      </c>
      <c r="H15" s="2">
        <f t="shared" si="1"/>
        <v>45.066231541464788</v>
      </c>
    </row>
    <row r="16" spans="1:8" x14ac:dyDescent="0.25">
      <c r="A16">
        <f>+Anual!A17</f>
        <v>2014</v>
      </c>
      <c r="B16" s="2">
        <f>+Anual!D17</f>
        <v>35.401474819803511</v>
      </c>
      <c r="C16" s="2">
        <f t="shared" si="0"/>
        <v>8.2069487984443299</v>
      </c>
      <c r="D16" s="2">
        <f>+Anual!E17</f>
        <v>43.608423618247841</v>
      </c>
      <c r="E16" s="1"/>
      <c r="F16" s="2">
        <f>(+'[25]Por Sector (% PIB)'!P$14-'[25]Por Sector (% PIB)'!P$18)*100</f>
        <v>30.870974134613437</v>
      </c>
      <c r="G16" s="2">
        <f>(+'[25]Por Sector (% PIB)'!P$24)*100</f>
        <v>12.737449483634409</v>
      </c>
      <c r="H16" s="2">
        <f t="shared" si="1"/>
        <v>43.608423618247848</v>
      </c>
    </row>
    <row r="17" spans="1:8" x14ac:dyDescent="0.25">
      <c r="A17">
        <f>+Anual!A18</f>
        <v>2015</v>
      </c>
      <c r="B17" s="2">
        <f>+Anual!D18</f>
        <v>33.903205111979915</v>
      </c>
      <c r="C17" s="2">
        <f t="shared" si="0"/>
        <v>9.1091650317016573</v>
      </c>
      <c r="D17" s="2">
        <f>+Anual!E18</f>
        <v>43.012370143681572</v>
      </c>
      <c r="E17" s="1"/>
      <c r="F17" s="2">
        <f>(+'[25]Por Sector (% PIB)'!Q$14-'[25]Por Sector (% PIB)'!Q$18)*100</f>
        <v>29.817247987363782</v>
      </c>
      <c r="G17" s="2">
        <f>(+'[25]Por Sector (% PIB)'!Q$24)*100</f>
        <v>13.195122156317792</v>
      </c>
      <c r="H17" s="2">
        <f t="shared" si="1"/>
        <v>43.012370143681572</v>
      </c>
    </row>
    <row r="18" spans="1:8" x14ac:dyDescent="0.25">
      <c r="A18">
        <f>+Anual!A19</f>
        <v>2016</v>
      </c>
      <c r="B18" s="2">
        <f>+Anual!D19</f>
        <v>35.319508699574179</v>
      </c>
      <c r="C18" s="2">
        <f t="shared" si="0"/>
        <v>9.694812850825727</v>
      </c>
      <c r="D18" s="2">
        <f>+Anual!E19</f>
        <v>45.014321550399906</v>
      </c>
      <c r="E18" s="1"/>
      <c r="F18" s="2">
        <f>(+'[25]Por Sector (% PIB)'!R$14-'[25]Por Sector (% PIB)'!R$18)*100</f>
        <v>31.571113178309563</v>
      </c>
      <c r="G18" s="2">
        <f>(+'[25]Por Sector (% PIB)'!R$24)*100</f>
        <v>13.443208372090334</v>
      </c>
      <c r="H18" s="2">
        <f t="shared" si="1"/>
        <v>45.014321550399899</v>
      </c>
    </row>
    <row r="19" spans="1:8" x14ac:dyDescent="0.25">
      <c r="A19">
        <f>+Anual!A20</f>
        <v>2017</v>
      </c>
      <c r="B19" s="2">
        <f>+Anual!D20</f>
        <v>36.918208285609126</v>
      </c>
      <c r="C19" s="2">
        <f t="shared" si="0"/>
        <v>9.5862872438739757</v>
      </c>
      <c r="D19" s="2">
        <f>+Anual!E20</f>
        <v>46.504495529483101</v>
      </c>
      <c r="E19" s="1"/>
      <c r="F19" s="2">
        <f>(+'[25]Por Sector (% PIB)'!S$14-'[25]Por Sector (% PIB)'!S$18)*100</f>
        <v>33.320036804977654</v>
      </c>
      <c r="G19" s="2">
        <f>(+'[25]Por Sector (% PIB)'!S$24)*100</f>
        <v>13.184458724505452</v>
      </c>
      <c r="H19" s="2">
        <f t="shared" si="1"/>
        <v>46.504495529483108</v>
      </c>
    </row>
    <row r="20" spans="1:8" x14ac:dyDescent="0.25">
      <c r="A20">
        <f>+Anual!A21</f>
        <v>2018</v>
      </c>
      <c r="B20" s="2">
        <f>+Anual!D21</f>
        <v>37.595665770695</v>
      </c>
      <c r="C20" s="2">
        <f t="shared" si="0"/>
        <v>10.308200895506388</v>
      </c>
      <c r="D20" s="2">
        <f>+Anual!E21</f>
        <v>47.903866666201388</v>
      </c>
      <c r="E20" s="1"/>
      <c r="F20" s="2">
        <f>(+'[25]Por Sector (% PIB)'!T$14-'[25]Por Sector (% PIB)'!T$18)*100</f>
        <v>34.423145929935885</v>
      </c>
      <c r="G20" s="2">
        <f>(+'[25]Por Sector (% PIB)'!T$24)*100</f>
        <v>13.480732582499838</v>
      </c>
      <c r="H20" s="2">
        <f t="shared" si="1"/>
        <v>47.903878512435725</v>
      </c>
    </row>
    <row r="21" spans="1:8" x14ac:dyDescent="0.25">
      <c r="A21">
        <f>+Anual!A22</f>
        <v>2019</v>
      </c>
      <c r="B21" s="2">
        <f>+Anual!D22</f>
        <v>40.427469218857759</v>
      </c>
      <c r="C21" s="2">
        <f t="shared" si="0"/>
        <v>10.10697137238504</v>
      </c>
      <c r="D21" s="2">
        <f>+Anual!E22</f>
        <v>50.534440591242799</v>
      </c>
      <c r="E21" s="1"/>
      <c r="F21" s="2">
        <f>(+'[25]Por Sector (% PIB)'!U$14-'[25]Por Sector (% PIB)'!U$18)*100</f>
        <v>37.59352907049189</v>
      </c>
      <c r="G21" s="2">
        <f>(+'[25]Por Sector (% PIB)'!U$24)*100</f>
        <v>12.914413708625879</v>
      </c>
      <c r="H21" s="2">
        <f t="shared" si="1"/>
        <v>50.507942779117769</v>
      </c>
    </row>
    <row r="22" spans="1:8" x14ac:dyDescent="0.25">
      <c r="A22">
        <f>+Anual!A23</f>
        <v>2020</v>
      </c>
      <c r="B22" s="2">
        <f>+Anual!D23</f>
        <v>56.475528231409363</v>
      </c>
      <c r="C22" s="2">
        <f t="shared" si="0"/>
        <v>12.622494070027919</v>
      </c>
      <c r="D22" s="2">
        <f>+Anual!E23</f>
        <v>69.098022301437283</v>
      </c>
      <c r="E22" s="1"/>
      <c r="F22" s="2">
        <f>(+SUM('[19]Por Fuente (US$)'!$V$15:$V$16,'[19]Por Fuente (US$)'!$V$19:$V$20,'[19]Por Fuente (US$)'!$V$22)/'[6]PIB per Cápita'!$E$38)*100</f>
        <v>53.586147150465571</v>
      </c>
      <c r="G22" s="2">
        <f>(+SUM('[19]Por Fuente (US$)'!$V$17,'[19]Por Fuente (US$)'!$V$21)/'[6]PIB per Cápita'!$E$38)*100</f>
        <v>15.511843187728811</v>
      </c>
      <c r="H22" s="2">
        <f t="shared" si="1"/>
        <v>69.097990338194379</v>
      </c>
    </row>
    <row r="24" spans="1:8" x14ac:dyDescent="0.25">
      <c r="B24" s="28"/>
      <c r="C24" s="60"/>
    </row>
    <row r="25" spans="1:8" x14ac:dyDescent="0.25">
      <c r="B25" s="25"/>
      <c r="C25" s="25"/>
    </row>
    <row r="26" spans="1:8" x14ac:dyDescent="0.25">
      <c r="B26" s="24"/>
      <c r="C26" s="24"/>
    </row>
    <row r="27" spans="1:8" x14ac:dyDescent="0.25">
      <c r="B27" s="23"/>
      <c r="C27" s="23"/>
      <c r="D27" s="1"/>
    </row>
    <row r="28" spans="1:8" x14ac:dyDescent="0.25">
      <c r="D28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200E-7FA1-469B-87FE-BCD8D50F3C85}">
  <dimension ref="A1:L30"/>
  <sheetViews>
    <sheetView zoomScale="77" workbookViewId="0">
      <selection activeCell="L2" sqref="L2"/>
    </sheetView>
  </sheetViews>
  <sheetFormatPr defaultRowHeight="15" x14ac:dyDescent="0.25"/>
  <cols>
    <col min="1" max="1" width="47.140625" bestFit="1" customWidth="1"/>
    <col min="2" max="3" width="11.28515625" bestFit="1" customWidth="1"/>
    <col min="4" max="4" width="10" bestFit="1" customWidth="1"/>
    <col min="5" max="5" width="10.140625" bestFit="1" customWidth="1"/>
    <col min="6" max="6" width="10.42578125" bestFit="1" customWidth="1"/>
    <col min="7" max="7" width="9.42578125" bestFit="1" customWidth="1"/>
    <col min="8" max="8" width="11.140625" bestFit="1" customWidth="1"/>
    <col min="9" max="9" width="10.42578125" bestFit="1" customWidth="1"/>
    <col min="10" max="10" width="11.140625" bestFit="1" customWidth="1"/>
    <col min="11" max="11" width="10" bestFit="1" customWidth="1"/>
    <col min="12" max="13" width="9.42578125" bestFit="1" customWidth="1"/>
    <col min="14" max="15" width="10.42578125" bestFit="1" customWidth="1"/>
    <col min="16" max="16" width="11.5703125" bestFit="1" customWidth="1"/>
  </cols>
  <sheetData>
    <row r="1" spans="1:12" x14ac:dyDescent="0.25">
      <c r="B1" s="47">
        <f>'[26]Baseline debt'!E$3</f>
        <v>2010</v>
      </c>
      <c r="C1" s="47">
        <f>'[26]Baseline debt'!F$3</f>
        <v>2011</v>
      </c>
      <c r="D1" s="47">
        <f>'[26]Baseline debt'!G$3</f>
        <v>2012</v>
      </c>
      <c r="E1" s="47">
        <f>'[26]Baseline debt'!H$3</f>
        <v>2013</v>
      </c>
      <c r="F1" s="47">
        <f>'[26]Baseline debt'!I$3</f>
        <v>2014</v>
      </c>
      <c r="G1" s="47">
        <f>'[26]Baseline debt'!J$3</f>
        <v>2015</v>
      </c>
      <c r="H1" s="47">
        <f>'[26]Baseline debt'!K$3</f>
        <v>2016</v>
      </c>
      <c r="I1" s="47">
        <f>'[26]Baseline debt'!L$3</f>
        <v>2017</v>
      </c>
      <c r="J1" s="47">
        <f>'[26]Baseline debt'!M$3</f>
        <v>2018</v>
      </c>
      <c r="K1" s="47">
        <f>'[26]Baseline debt'!N$3</f>
        <v>2019</v>
      </c>
      <c r="L1" s="47">
        <f>'[26]Baseline debt'!O$3</f>
        <v>2020</v>
      </c>
    </row>
    <row r="2" spans="1:12" x14ac:dyDescent="0.25">
      <c r="A2" s="39" t="s">
        <v>58</v>
      </c>
      <c r="B2" s="1">
        <f>'[26]Baseline debt'!E146</f>
        <v>0.45749714542125375</v>
      </c>
      <c r="C2" s="1">
        <f>'[26]Baseline debt'!F146</f>
        <v>1.0976534664525097</v>
      </c>
      <c r="D2" s="1">
        <f>'[26]Baseline debt'!G146</f>
        <v>3.8069322328917679</v>
      </c>
      <c r="E2" s="1">
        <f>'[26]Baseline debt'!H146</f>
        <v>4.947460127739113</v>
      </c>
      <c r="F2" s="1">
        <f>'[26]Baseline debt'!I146</f>
        <v>-1.8029020517761225</v>
      </c>
      <c r="G2" s="1">
        <f>'[26]Baseline debt'!J146</f>
        <v>-1.771997930254031</v>
      </c>
      <c r="H2" s="1">
        <f>'[26]Baseline debt'!K146</f>
        <v>1.511580046413485</v>
      </c>
      <c r="I2" s="1">
        <f>'[26]Baseline debt'!L146</f>
        <v>1.6885493037204071</v>
      </c>
      <c r="J2" s="1">
        <f>'[26]Baseline debt'!M146</f>
        <v>0.64394742899708035</v>
      </c>
      <c r="K2" s="1">
        <f>'[26]Baseline debt'!N146</f>
        <v>3.5541337205481582</v>
      </c>
      <c r="L2" s="1">
        <f>'[26]Baseline debt'!O146</f>
        <v>16.540381409558492</v>
      </c>
    </row>
    <row r="3" spans="1:12" x14ac:dyDescent="0.25">
      <c r="A3" s="39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40" t="s">
        <v>49</v>
      </c>
      <c r="B4" s="1">
        <f>'[26]Baseline debt'!E148</f>
        <v>0.28520369282017</v>
      </c>
      <c r="C4" s="1">
        <f>'[26]Baseline debt'!F148</f>
        <v>0.5956376788620058</v>
      </c>
      <c r="D4" s="1">
        <f>'[26]Baseline debt'!G148</f>
        <v>5.1200429247887698</v>
      </c>
      <c r="E4" s="1">
        <f>'[26]Baseline debt'!H148</f>
        <v>3.0875416610877546</v>
      </c>
      <c r="F4" s="1">
        <f>'[26]Baseline debt'!I148</f>
        <v>-0.26977498773649999</v>
      </c>
      <c r="G4" s="1">
        <f>'[26]Baseline debt'!J148</f>
        <v>-2.5128447860002971</v>
      </c>
      <c r="H4" s="1">
        <f>'[26]Baseline debt'!K148</f>
        <v>0.84453725268771895</v>
      </c>
      <c r="I4" s="1">
        <f>'[26]Baseline debt'!L148</f>
        <v>1.1967223994514669</v>
      </c>
      <c r="J4" s="1">
        <f>'[26]Baseline debt'!M148</f>
        <v>-0.49183250894093622</v>
      </c>
      <c r="K4" s="1">
        <f>'[26]Baseline debt'!N148</f>
        <v>1.0239468098067235</v>
      </c>
      <c r="L4" s="1">
        <f>'[26]Baseline debt'!O148</f>
        <v>12.481537831765561</v>
      </c>
    </row>
    <row r="5" spans="1:12" x14ac:dyDescent="0.25">
      <c r="A5" s="41" t="s">
        <v>59</v>
      </c>
      <c r="B5" s="1">
        <f>'[26]Baseline debt'!E149</f>
        <v>1.2328118376752801</v>
      </c>
      <c r="C5" s="1">
        <f>'[26]Baseline debt'!F149</f>
        <v>0.81738193854569019</v>
      </c>
      <c r="D5" s="1">
        <f>'[26]Baseline debt'!G149</f>
        <v>4.5736569679314183</v>
      </c>
      <c r="E5" s="1">
        <f>'[26]Baseline debt'!H149</f>
        <v>2.4443416281433681</v>
      </c>
      <c r="F5" s="1">
        <f>'[26]Baseline debt'!I149</f>
        <v>0.40577306691767312</v>
      </c>
      <c r="G5" s="1">
        <f>'[26]Baseline debt'!J149</f>
        <v>-2.3461445941852563</v>
      </c>
      <c r="H5" s="1">
        <f>'[26]Baseline debt'!K149</f>
        <v>0.48575906786217793</v>
      </c>
      <c r="I5" s="1">
        <f>'[26]Baseline debt'!L149</f>
        <v>0.80414610833533828</v>
      </c>
      <c r="J5" s="1">
        <f>'[26]Baseline debt'!M149</f>
        <v>-0.22955903291100377</v>
      </c>
      <c r="K5" s="1">
        <f>'[26]Baseline debt'!N149</f>
        <v>-0.41463620656619327</v>
      </c>
      <c r="L5" s="1">
        <f>'[26]Baseline debt'!O149</f>
        <v>5.1692141793907016</v>
      </c>
    </row>
    <row r="6" spans="1:12" x14ac:dyDescent="0.25">
      <c r="A6" s="42" t="s">
        <v>50</v>
      </c>
      <c r="B6" s="1">
        <f>'[26]Baseline debt'!E150</f>
        <v>13.077968393132144</v>
      </c>
      <c r="C6" s="1">
        <f>'[26]Baseline debt'!F150</f>
        <v>12.901455212978401</v>
      </c>
      <c r="D6" s="1">
        <f>'[26]Baseline debt'!G150</f>
        <v>13.532494032042072</v>
      </c>
      <c r="E6" s="1">
        <f>'[26]Baseline debt'!H150</f>
        <v>14.073289663684237</v>
      </c>
      <c r="F6" s="1">
        <f>'[26]Baseline debt'!I150</f>
        <v>14.247678048449247</v>
      </c>
      <c r="G6" s="1">
        <f>'[26]Baseline debt'!J150</f>
        <v>16.648164850279226</v>
      </c>
      <c r="H6" s="1">
        <f>'[26]Baseline debt'!K150</f>
        <v>13.871207593329993</v>
      </c>
      <c r="I6" s="1">
        <f>'[26]Baseline debt'!L150</f>
        <v>14.013822833939876</v>
      </c>
      <c r="J6" s="1">
        <f>'[26]Baseline debt'!M150</f>
        <v>14.155838199110507</v>
      </c>
      <c r="K6" s="1">
        <f>'[26]Baseline debt'!N150</f>
        <v>14.396072919810207</v>
      </c>
      <c r="L6" s="1">
        <f>'[26]Baseline debt'!O150</f>
        <v>14.074240832595022</v>
      </c>
    </row>
    <row r="7" spans="1:12" x14ac:dyDescent="0.25">
      <c r="A7" s="42" t="s">
        <v>51</v>
      </c>
      <c r="B7" s="1">
        <f>'[26]Baseline debt'!E151</f>
        <v>14.310780230807424</v>
      </c>
      <c r="C7" s="1">
        <f>'[26]Baseline debt'!F151</f>
        <v>13.718837151524092</v>
      </c>
      <c r="D7" s="1">
        <f>'[26]Baseline debt'!G151</f>
        <v>18.10615099997349</v>
      </c>
      <c r="E7" s="1">
        <f>'[26]Baseline debt'!H151</f>
        <v>16.517631291827605</v>
      </c>
      <c r="F7" s="1">
        <f>'[26]Baseline debt'!I151</f>
        <v>14.65345111536692</v>
      </c>
      <c r="G7" s="1">
        <f>'[26]Baseline debt'!J151</f>
        <v>14.30202025609397</v>
      </c>
      <c r="H7" s="1">
        <f>'[26]Baseline debt'!K151</f>
        <v>14.356966661192171</v>
      </c>
      <c r="I7" s="1">
        <f>'[26]Baseline debt'!L151</f>
        <v>14.817968942275215</v>
      </c>
      <c r="J7" s="1">
        <f>'[26]Baseline debt'!M151</f>
        <v>13.926279166199503</v>
      </c>
      <c r="K7" s="1">
        <f>'[26]Baseline debt'!N151</f>
        <v>13.981436713244014</v>
      </c>
      <c r="L7" s="1">
        <f>'[26]Baseline debt'!O151</f>
        <v>19.243455011985724</v>
      </c>
    </row>
    <row r="8" spans="1:12" x14ac:dyDescent="0.25">
      <c r="A8" s="43" t="s">
        <v>52</v>
      </c>
      <c r="B8" s="1">
        <f>'[26]Baseline debt'!E152</f>
        <v>-0.94760814485511013</v>
      </c>
      <c r="C8" s="1">
        <f>'[26]Baseline debt'!F152</f>
        <v>-0.22174425968368439</v>
      </c>
      <c r="D8" s="1">
        <f>'[26]Baseline debt'!G152</f>
        <v>0.5463859568573517</v>
      </c>
      <c r="E8" s="1">
        <f>'[26]Baseline debt'!H152</f>
        <v>0.64320003294438666</v>
      </c>
      <c r="F8" s="1">
        <f>'[26]Baseline debt'!I152</f>
        <v>-0.67554805465417311</v>
      </c>
      <c r="G8" s="1">
        <f>'[26]Baseline debt'!J152</f>
        <v>-0.16670019181504059</v>
      </c>
      <c r="H8" s="1">
        <f>'[26]Baseline debt'!K152</f>
        <v>0.35877818482554102</v>
      </c>
      <c r="I8" s="1">
        <f>'[26]Baseline debt'!L152</f>
        <v>0.39257629111612846</v>
      </c>
      <c r="J8" s="1">
        <f>'[26]Baseline debt'!M152</f>
        <v>-0.26227347602993245</v>
      </c>
      <c r="K8" s="1">
        <f>'[26]Baseline debt'!N152</f>
        <v>1.4385830163729167</v>
      </c>
      <c r="L8" s="1">
        <f>'[26]Baseline debt'!O152</f>
        <v>7.31232365237486</v>
      </c>
    </row>
    <row r="9" spans="1:12" x14ac:dyDescent="0.25">
      <c r="A9" s="44" t="s">
        <v>53</v>
      </c>
      <c r="B9" s="1">
        <f>'[26]Baseline debt'!E153</f>
        <v>-1.6020947335047966</v>
      </c>
      <c r="C9" s="1">
        <f>'[26]Baseline debt'!F153</f>
        <v>-0.8524678513423195</v>
      </c>
      <c r="D9" s="1">
        <f>'[26]Baseline debt'!G153</f>
        <v>-0.27741396819313791</v>
      </c>
      <c r="E9" s="1">
        <f>'[26]Baseline debt'!H153</f>
        <v>-0.71462882537326566</v>
      </c>
      <c r="F9" s="1">
        <f>'[26]Baseline debt'!I153</f>
        <v>-1.609409329996468</v>
      </c>
      <c r="G9" s="1">
        <f>'[26]Baseline debt'!J153</f>
        <v>-0.83954398650733131</v>
      </c>
      <c r="H9" s="1">
        <f>'[26]Baseline debt'!K153</f>
        <v>-0.23928757371090592</v>
      </c>
      <c r="I9" s="1">
        <f>'[26]Baseline debt'!L153</f>
        <v>-0.42566584541051133</v>
      </c>
      <c r="J9" s="1">
        <f>'[26]Baseline debt'!M153</f>
        <v>-1.2490426971771833</v>
      </c>
      <c r="K9" s="1">
        <f>'[26]Baseline debt'!N153</f>
        <v>1.4714679279274945E-2</v>
      </c>
      <c r="L9" s="1">
        <f>'[26]Baseline debt'!O153</f>
        <v>4.2286618193943859</v>
      </c>
    </row>
    <row r="10" spans="1:12" x14ac:dyDescent="0.25">
      <c r="A10" s="45" t="s">
        <v>60</v>
      </c>
      <c r="B10" s="1">
        <f>'[26]Baseline debt'!E154</f>
        <v>0.41209700886594408</v>
      </c>
      <c r="C10" s="1">
        <f>'[26]Baseline debt'!F154</f>
        <v>-6.3873436456911417E-2</v>
      </c>
      <c r="D10" s="1">
        <f>'[26]Baseline debt'!G154</f>
        <v>0.45622661475126591</v>
      </c>
      <c r="E10" s="1">
        <f>'[26]Baseline debt'!H154</f>
        <v>0.74853461787732589</v>
      </c>
      <c r="F10" s="1">
        <f>'[26]Baseline debt'!I154</f>
        <v>0.78333374015007773</v>
      </c>
      <c r="G10" s="1">
        <f>'[26]Baseline debt'!J154</f>
        <v>1.4425166106221146</v>
      </c>
      <c r="H10" s="1">
        <f>'[26]Baseline debt'!K154</f>
        <v>1.8618914325495202</v>
      </c>
      <c r="I10" s="1">
        <f>'[26]Baseline debt'!L154</f>
        <v>1.1080332599322946</v>
      </c>
      <c r="J10" s="1">
        <f>'[26]Baseline debt'!M154</f>
        <v>1.1032072572954892</v>
      </c>
      <c r="K10" s="1">
        <f>'[26]Baseline debt'!N154</f>
        <v>1.8051301843702787</v>
      </c>
      <c r="L10" s="1">
        <f>'[26]Baseline debt'!O154</f>
        <v>1.3669718133557227</v>
      </c>
    </row>
    <row r="11" spans="1:12" x14ac:dyDescent="0.25">
      <c r="A11" s="45" t="s">
        <v>61</v>
      </c>
      <c r="B11" s="1">
        <f>'[26]Baseline debt'!E155</f>
        <v>-2.0141917423707407</v>
      </c>
      <c r="C11" s="1">
        <f>'[26]Baseline debt'!F155</f>
        <v>-0.78859441488540805</v>
      </c>
      <c r="D11" s="1">
        <f>'[26]Baseline debt'!G155</f>
        <v>-0.73364058294440382</v>
      </c>
      <c r="E11" s="1">
        <f>'[26]Baseline debt'!H155</f>
        <v>-1.4631634432505916</v>
      </c>
      <c r="F11" s="1">
        <f>'[26]Baseline debt'!I155</f>
        <v>-2.3927430701465457</v>
      </c>
      <c r="G11" s="1">
        <f>'[26]Baseline debt'!J155</f>
        <v>-2.2820605971294459</v>
      </c>
      <c r="H11" s="1">
        <f>'[26]Baseline debt'!K155</f>
        <v>-2.1011790062604261</v>
      </c>
      <c r="I11" s="1">
        <f>'[26]Baseline debt'!L155</f>
        <v>-1.533699105342806</v>
      </c>
      <c r="J11" s="1">
        <f>'[26]Baseline debt'!M155</f>
        <v>-2.3522499544726725</v>
      </c>
      <c r="K11" s="1">
        <f>'[26]Baseline debt'!N155</f>
        <v>-1.7904155050910038</v>
      </c>
      <c r="L11" s="1">
        <f>'[26]Baseline debt'!O155</f>
        <v>2.8616900060386636</v>
      </c>
    </row>
    <row r="12" spans="1:12" x14ac:dyDescent="0.25">
      <c r="A12" s="44" t="s">
        <v>62</v>
      </c>
      <c r="B12" s="1">
        <f>'[26]Baseline debt'!E156</f>
        <v>0.65448658864968645</v>
      </c>
      <c r="C12" s="1">
        <f>'[26]Baseline debt'!F156</f>
        <v>0.63072359165863512</v>
      </c>
      <c r="D12" s="1">
        <f>'[26]Baseline debt'!G156</f>
        <v>0.8237999250504896</v>
      </c>
      <c r="E12" s="1">
        <f>'[26]Baseline debt'!H156</f>
        <v>1.3578288583176523</v>
      </c>
      <c r="F12" s="1">
        <f>'[26]Baseline debt'!I156</f>
        <v>0.93386127534229491</v>
      </c>
      <c r="G12" s="1">
        <f>'[26]Baseline debt'!J156</f>
        <v>0.67284379469229072</v>
      </c>
      <c r="H12" s="1">
        <f>'[26]Baseline debt'!K156</f>
        <v>0.59806575853644695</v>
      </c>
      <c r="I12" s="1">
        <f>'[26]Baseline debt'!L156</f>
        <v>0.8182421365266398</v>
      </c>
      <c r="J12" s="1">
        <f>'[26]Baseline debt'!M156</f>
        <v>0.98676922114725085</v>
      </c>
      <c r="K12" s="1">
        <f>'[26]Baseline debt'!N156</f>
        <v>1.4238683370936418</v>
      </c>
      <c r="L12" s="1">
        <f>'[26]Baseline debt'!O156</f>
        <v>3.0836618329804741</v>
      </c>
    </row>
    <row r="13" spans="1:12" x14ac:dyDescent="0.25">
      <c r="A13" s="43" t="s">
        <v>54</v>
      </c>
      <c r="B13" s="1">
        <f>'[26]Baseline debt'!E157</f>
        <v>0</v>
      </c>
      <c r="C13" s="1">
        <f>'[26]Baseline debt'!F157</f>
        <v>0</v>
      </c>
      <c r="D13" s="1">
        <f>'[26]Baseline debt'!G157</f>
        <v>0</v>
      </c>
      <c r="E13" s="1">
        <f>'[26]Baseline debt'!H157</f>
        <v>0</v>
      </c>
      <c r="F13" s="1">
        <f>'[26]Baseline debt'!I157</f>
        <v>0</v>
      </c>
      <c r="G13" s="1">
        <f>'[26]Baseline debt'!J157</f>
        <v>0</v>
      </c>
      <c r="H13" s="1">
        <f>'[26]Baseline debt'!K157</f>
        <v>0</v>
      </c>
      <c r="I13" s="1">
        <f>'[26]Baseline debt'!L157</f>
        <v>0</v>
      </c>
      <c r="J13" s="1">
        <f>'[26]Baseline debt'!M157</f>
        <v>0</v>
      </c>
      <c r="K13" s="1">
        <f>'[26]Baseline debt'!N157</f>
        <v>0</v>
      </c>
      <c r="L13" s="1">
        <f>'[26]Baseline debt'!O157</f>
        <v>0</v>
      </c>
    </row>
    <row r="14" spans="1:12" x14ac:dyDescent="0.25">
      <c r="A14" s="45" t="s">
        <v>55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45" t="s">
        <v>56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4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75" thickBot="1" x14ac:dyDescent="0.3">
      <c r="A17" s="46" t="s">
        <v>57</v>
      </c>
      <c r="B17" s="1">
        <f>'[26]Baseline debt'!E161</f>
        <v>0.17229345260108375</v>
      </c>
      <c r="C17" s="1">
        <f>'[26]Baseline debt'!F161</f>
        <v>0.50201578759050391</v>
      </c>
      <c r="D17" s="1">
        <f>'[26]Baseline debt'!G161</f>
        <v>-1.3131106918970019</v>
      </c>
      <c r="E17" s="1">
        <f>'[26]Baseline debt'!H161</f>
        <v>1.8599184666513584</v>
      </c>
      <c r="F17" s="1">
        <f>'[26]Baseline debt'!I161</f>
        <v>-1.5331270640396224</v>
      </c>
      <c r="G17" s="1">
        <f>'[26]Baseline debt'!J161</f>
        <v>0.74084685574626619</v>
      </c>
      <c r="H17" s="1">
        <f>'[26]Baseline debt'!K161</f>
        <v>0.66704279372576603</v>
      </c>
      <c r="I17" s="1">
        <f>'[26]Baseline debt'!L161</f>
        <v>0.49182690426894027</v>
      </c>
      <c r="J17" s="1">
        <f>'[26]Baseline debt'!M161</f>
        <v>1.1357799379380165</v>
      </c>
      <c r="K17" s="1">
        <f>'[26]Baseline debt'!N161</f>
        <v>2.5301869107414348</v>
      </c>
      <c r="L17" s="1">
        <f>'[26]Baseline debt'!O161</f>
        <v>4.0588435777929313</v>
      </c>
    </row>
    <row r="20" spans="1:12" x14ac:dyDescent="0.25">
      <c r="A20" t="s">
        <v>63</v>
      </c>
    </row>
    <row r="21" spans="1:12" x14ac:dyDescent="0.25">
      <c r="A21" t="s">
        <v>64</v>
      </c>
      <c r="B21">
        <v>2019</v>
      </c>
      <c r="C21">
        <v>2020</v>
      </c>
    </row>
    <row r="22" spans="1:12" x14ac:dyDescent="0.25">
      <c r="A22" s="48" t="s">
        <v>67</v>
      </c>
      <c r="B22" s="1">
        <f>'[21]Dic-20'!$H$23</f>
        <v>5038.3894936250026</v>
      </c>
      <c r="C22" s="1">
        <f>'[21]Dic-20'!$J$23</f>
        <v>6582.3467155039998</v>
      </c>
      <c r="E22" s="1">
        <f>C22-B22</f>
        <v>1543.9572218789972</v>
      </c>
    </row>
    <row r="23" spans="1:12" x14ac:dyDescent="0.25">
      <c r="A23" s="48" t="s">
        <v>65</v>
      </c>
      <c r="B23" s="1">
        <f>'[21]Dic-20'!$H$35</f>
        <v>1818.8378980419998</v>
      </c>
      <c r="C23" s="1">
        <f>'[21]Dic-20'!$J$35</f>
        <v>1945.6761692509999</v>
      </c>
      <c r="E23" s="1">
        <f t="shared" ref="E23:E26" si="0">C23-B23</f>
        <v>126.83827120900014</v>
      </c>
    </row>
    <row r="24" spans="1:12" x14ac:dyDescent="0.25">
      <c r="A24" s="48" t="s">
        <v>66</v>
      </c>
      <c r="B24" s="1">
        <f>'[21]Dic-20'!$H$43</f>
        <v>16525.926487565001</v>
      </c>
      <c r="C24" s="1">
        <f>'[21]Dic-20'!$J$43</f>
        <v>22174.512056673004</v>
      </c>
      <c r="E24" s="1">
        <f t="shared" si="0"/>
        <v>5648.5855691080033</v>
      </c>
    </row>
    <row r="25" spans="1:12" x14ac:dyDescent="0.25">
      <c r="A25" s="48" t="s">
        <v>68</v>
      </c>
      <c r="B25" s="1">
        <f>'[21]Dic-20'!$H$55</f>
        <v>12559.332331954885</v>
      </c>
      <c r="C25" s="1">
        <f>'[21]Dic-20'!$J$55</f>
        <v>13816.550838843703</v>
      </c>
      <c r="E25" s="1">
        <f t="shared" si="0"/>
        <v>1257.2185068888175</v>
      </c>
    </row>
    <row r="26" spans="1:12" x14ac:dyDescent="0.25">
      <c r="A26" s="48" t="s">
        <v>69</v>
      </c>
      <c r="B26" s="1">
        <f>'[21]Dic-20'!$H$64</f>
        <v>35942.486211186886</v>
      </c>
      <c r="C26" s="1">
        <f>'[21]Dic-20'!$J$64</f>
        <v>44519.085780271707</v>
      </c>
      <c r="E26" s="1">
        <f t="shared" si="0"/>
        <v>8576.5995690848213</v>
      </c>
    </row>
    <row r="28" spans="1:12" x14ac:dyDescent="0.25">
      <c r="A28" s="48" t="s">
        <v>70</v>
      </c>
    </row>
    <row r="29" spans="1:12" x14ac:dyDescent="0.25">
      <c r="A29" s="49" t="str">
        <f>Anual!X2</f>
        <v>Nacional</v>
      </c>
      <c r="B29" s="14">
        <f>Anual!X22</f>
        <v>11797.867356605895</v>
      </c>
      <c r="C29" s="14">
        <f>Anual!X23</f>
        <v>12478.037858738695</v>
      </c>
      <c r="E29" s="14">
        <f>C29-B29</f>
        <v>680.17050213279981</v>
      </c>
    </row>
    <row r="30" spans="1:12" x14ac:dyDescent="0.25">
      <c r="A30" s="49" t="str">
        <f>Anual!Y2</f>
        <v>Extranjera</v>
      </c>
      <c r="B30" s="14">
        <f>Anual!Y22</f>
        <v>24144.62879345398</v>
      </c>
      <c r="C30" s="14">
        <f>Anual!Y23</f>
        <v>32041.047921533012</v>
      </c>
      <c r="E30" s="14">
        <f>C30-B30</f>
        <v>7896.4191280790328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Y3:Y20"/>
  <sheetViews>
    <sheetView showGridLines="0" topLeftCell="A88" zoomScale="96" zoomScaleNormal="96" workbookViewId="0">
      <selection activeCell="O155" sqref="O155"/>
    </sheetView>
  </sheetViews>
  <sheetFormatPr defaultRowHeight="15" x14ac:dyDescent="0.25"/>
  <sheetData>
    <row r="3" spans="25:25" x14ac:dyDescent="0.25">
      <c r="Y3" t="s">
        <v>23</v>
      </c>
    </row>
    <row r="4" spans="25:25" x14ac:dyDescent="0.25">
      <c r="Y4">
        <v>2008</v>
      </c>
    </row>
    <row r="5" spans="25:25" x14ac:dyDescent="0.25">
      <c r="Y5">
        <v>2009</v>
      </c>
    </row>
    <row r="6" spans="25:25" x14ac:dyDescent="0.25">
      <c r="Y6">
        <v>2010</v>
      </c>
    </row>
    <row r="7" spans="25:25" x14ac:dyDescent="0.25">
      <c r="Y7">
        <v>2011</v>
      </c>
    </row>
    <row r="8" spans="25:25" x14ac:dyDescent="0.25">
      <c r="Y8">
        <v>2012</v>
      </c>
    </row>
    <row r="9" spans="25:25" x14ac:dyDescent="0.25">
      <c r="Y9">
        <v>2013</v>
      </c>
    </row>
    <row r="10" spans="25:25" x14ac:dyDescent="0.25">
      <c r="Y10">
        <v>2014</v>
      </c>
    </row>
    <row r="11" spans="25:25" x14ac:dyDescent="0.25">
      <c r="Y11">
        <v>2015</v>
      </c>
    </row>
    <row r="12" spans="25:25" x14ac:dyDescent="0.25">
      <c r="Y12">
        <v>2016</v>
      </c>
    </row>
    <row r="13" spans="25:25" x14ac:dyDescent="0.25">
      <c r="Y13">
        <v>2017</v>
      </c>
    </row>
    <row r="14" spans="25:25" x14ac:dyDescent="0.25">
      <c r="Y14">
        <v>2018</v>
      </c>
    </row>
    <row r="15" spans="25:25" x14ac:dyDescent="0.25">
      <c r="Y15">
        <v>2019</v>
      </c>
    </row>
    <row r="16" spans="25:25" x14ac:dyDescent="0.25">
      <c r="Y16">
        <v>2020</v>
      </c>
    </row>
    <row r="17" spans="25:25" x14ac:dyDescent="0.25">
      <c r="Y17">
        <v>2021</v>
      </c>
    </row>
    <row r="18" spans="25:25" x14ac:dyDescent="0.25">
      <c r="Y18">
        <v>2022</v>
      </c>
    </row>
    <row r="19" spans="25:25" x14ac:dyDescent="0.25">
      <c r="Y19">
        <v>2023</v>
      </c>
    </row>
    <row r="20" spans="25:25" x14ac:dyDescent="0.25">
      <c r="Y20">
        <v>2024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E02A-7B97-4DF0-8CCB-B808A4C03609}">
  <sheetPr>
    <tabColor rgb="FF002060"/>
  </sheetPr>
  <dimension ref="A1:P3"/>
  <sheetViews>
    <sheetView workbookViewId="0">
      <selection activeCell="H14" sqref="H14"/>
    </sheetView>
  </sheetViews>
  <sheetFormatPr defaultRowHeight="15" x14ac:dyDescent="0.25"/>
  <cols>
    <col min="1" max="1" width="30.42578125" style="50" bestFit="1" customWidth="1"/>
    <col min="2" max="2" width="19.140625" style="50" bestFit="1" customWidth="1"/>
    <col min="3" max="3" width="16" style="50" bestFit="1" customWidth="1"/>
    <col min="4" max="4" width="27.140625" style="50" bestFit="1" customWidth="1"/>
    <col min="5" max="7" width="12" style="50" bestFit="1" customWidth="1"/>
    <col min="8" max="8" width="8.7109375" style="50" bestFit="1" customWidth="1"/>
    <col min="9" max="9" width="8" style="50" bestFit="1" customWidth="1"/>
    <col min="10" max="10" width="8.7109375" style="50" bestFit="1" customWidth="1"/>
    <col min="11" max="11" width="7.7109375" style="50" bestFit="1" customWidth="1"/>
    <col min="12" max="13" width="7" style="50" bestFit="1" customWidth="1"/>
    <col min="14" max="15" width="8" style="50" bestFit="1" customWidth="1"/>
    <col min="16" max="16" width="9" style="50" bestFit="1" customWidth="1"/>
  </cols>
  <sheetData>
    <row r="1" spans="1:7" x14ac:dyDescent="0.25">
      <c r="A1" s="55" t="s">
        <v>77</v>
      </c>
      <c r="B1" s="55" t="str">
        <f>+Descomposición!A22</f>
        <v>Externa-Multilateral</v>
      </c>
      <c r="C1" s="55" t="str">
        <f>+Descomposición!A23</f>
        <v>Externa-Bilateral</v>
      </c>
      <c r="D1" s="55" t="str">
        <f>+Descomposición!A24</f>
        <v>Externa-Acreedores Privados</v>
      </c>
      <c r="E1" s="55" t="str">
        <f>+Descomposición!A25</f>
        <v>Interna</v>
      </c>
      <c r="F1" s="55" t="str">
        <f>+Descomposición!A29</f>
        <v>Nacional</v>
      </c>
      <c r="G1" s="55" t="str">
        <f>+Descomposición!A30</f>
        <v>Extranjera</v>
      </c>
    </row>
    <row r="2" spans="1:7" x14ac:dyDescent="0.25">
      <c r="A2" s="50" t="s">
        <v>64</v>
      </c>
      <c r="B2" s="53">
        <f>+Descomposición!E22</f>
        <v>1543.9572218789972</v>
      </c>
      <c r="C2" s="53">
        <f>+Descomposición!E23</f>
        <v>126.83827120900014</v>
      </c>
      <c r="D2" s="53">
        <f>+Descomposición!E24</f>
        <v>5648.5855691080033</v>
      </c>
      <c r="E2" s="53">
        <f>+Descomposición!E25</f>
        <v>1257.2185068888175</v>
      </c>
    </row>
    <row r="3" spans="1:7" x14ac:dyDescent="0.25">
      <c r="A3" s="50" t="s">
        <v>70</v>
      </c>
      <c r="F3" s="53">
        <f>+Descomposición!E29</f>
        <v>680.17050213279981</v>
      </c>
      <c r="G3" s="53">
        <f>+Descomposición!E30</f>
        <v>7896.4191280790328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C8D6-9440-48A5-81CF-AD330DDB74D3}">
  <sheetPr>
    <tabColor rgb="FF002060"/>
  </sheetPr>
  <dimension ref="A1:U12"/>
  <sheetViews>
    <sheetView zoomScale="77" workbookViewId="0">
      <selection activeCell="G12" sqref="G12"/>
    </sheetView>
  </sheetViews>
  <sheetFormatPr defaultRowHeight="15" x14ac:dyDescent="0.25"/>
  <cols>
    <col min="1" max="1" width="10.42578125" style="50" bestFit="1" customWidth="1"/>
    <col min="2" max="2" width="18.7109375" style="50" bestFit="1" customWidth="1"/>
    <col min="3" max="3" width="18.28515625" style="50" bestFit="1" customWidth="1"/>
    <col min="4" max="4" width="18.7109375" style="50" bestFit="1" customWidth="1"/>
    <col min="5" max="5" width="19.42578125" style="50" bestFit="1" customWidth="1"/>
    <col min="6" max="6" width="30.140625" style="50" bestFit="1" customWidth="1"/>
    <col min="7" max="7" width="8.85546875" style="50" bestFit="1" customWidth="1"/>
  </cols>
  <sheetData>
    <row r="1" spans="1:21" x14ac:dyDescent="0.25">
      <c r="A1" s="50" t="s">
        <v>23</v>
      </c>
      <c r="B1" s="50" t="s">
        <v>58</v>
      </c>
      <c r="C1" s="50" t="s">
        <v>59</v>
      </c>
      <c r="D1" s="50" t="s">
        <v>60</v>
      </c>
      <c r="E1" s="50" t="s">
        <v>61</v>
      </c>
      <c r="F1" s="50" t="s">
        <v>62</v>
      </c>
      <c r="G1" s="50" t="s">
        <v>57</v>
      </c>
    </row>
    <row r="2" spans="1:21" x14ac:dyDescent="0.25">
      <c r="A2" s="50">
        <f>'[26]Baseline debt'!E$3</f>
        <v>2010</v>
      </c>
      <c r="B2" s="53">
        <f>+Descomposición!B$2</f>
        <v>0.45749714542125375</v>
      </c>
      <c r="C2" s="53">
        <f>+Descomposición!B$5</f>
        <v>1.2328118376752801</v>
      </c>
      <c r="D2" s="53">
        <f>+Descomposición!B$10</f>
        <v>0.41209700886594408</v>
      </c>
      <c r="E2" s="53">
        <f>+Descomposición!B$11</f>
        <v>-2.0141917423707407</v>
      </c>
      <c r="F2" s="53">
        <f>+Descomposición!B$12</f>
        <v>0.65448658864968645</v>
      </c>
      <c r="G2" s="53">
        <f>+Descomposición!B$17</f>
        <v>0.17229345260108375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x14ac:dyDescent="0.25">
      <c r="A3" s="50">
        <f>'[26]Baseline debt'!F$3</f>
        <v>2011</v>
      </c>
      <c r="B3" s="53">
        <f>+Descomposición!C$2</f>
        <v>1.0976534664525097</v>
      </c>
      <c r="C3" s="53">
        <f>+Descomposición!C$5</f>
        <v>0.81738193854569019</v>
      </c>
      <c r="D3" s="53">
        <f>+Descomposición!C$10</f>
        <v>-6.3873436456911417E-2</v>
      </c>
      <c r="E3" s="53">
        <f>+Descomposición!C$11</f>
        <v>-0.78859441488540805</v>
      </c>
      <c r="F3" s="53">
        <f>+Descomposición!C$12</f>
        <v>0.63072359165863512</v>
      </c>
      <c r="G3" s="53">
        <f>+Descomposición!C$17</f>
        <v>0.50201578759050391</v>
      </c>
    </row>
    <row r="4" spans="1:21" x14ac:dyDescent="0.25">
      <c r="A4" s="50">
        <f>'[26]Baseline debt'!G$3</f>
        <v>2012</v>
      </c>
      <c r="B4" s="53">
        <f>+Descomposición!D$2</f>
        <v>3.8069322328917679</v>
      </c>
      <c r="C4" s="53">
        <f>+Descomposición!D$5</f>
        <v>4.5736569679314183</v>
      </c>
      <c r="D4" s="53">
        <f>+Descomposición!D$10</f>
        <v>0.45622661475126591</v>
      </c>
      <c r="E4" s="53">
        <f>+Descomposición!D$11</f>
        <v>-0.73364058294440382</v>
      </c>
      <c r="F4" s="53">
        <f>+Descomposición!D$12</f>
        <v>0.8237999250504896</v>
      </c>
      <c r="G4" s="53">
        <f>+Descomposición!D$17</f>
        <v>-1.3131106918970019</v>
      </c>
    </row>
    <row r="5" spans="1:21" x14ac:dyDescent="0.25">
      <c r="A5" s="50">
        <f>'[26]Baseline debt'!H$3</f>
        <v>2013</v>
      </c>
      <c r="B5" s="53">
        <f>+Descomposición!E$2</f>
        <v>4.947460127739113</v>
      </c>
      <c r="C5" s="53">
        <f>+Descomposición!E$5</f>
        <v>2.4443416281433681</v>
      </c>
      <c r="D5" s="53">
        <f>+Descomposición!E$10</f>
        <v>0.74853461787732589</v>
      </c>
      <c r="E5" s="53">
        <f>+Descomposición!E$11</f>
        <v>-1.4631634432505916</v>
      </c>
      <c r="F5" s="53">
        <f>+Descomposición!E$12</f>
        <v>1.3578288583176523</v>
      </c>
      <c r="G5" s="53">
        <f>+Descomposición!E$17</f>
        <v>1.8599184666513584</v>
      </c>
    </row>
    <row r="6" spans="1:21" x14ac:dyDescent="0.25">
      <c r="A6" s="50">
        <f>'[26]Baseline debt'!I$3</f>
        <v>2014</v>
      </c>
      <c r="B6" s="53">
        <f>+Descomposición!F$2</f>
        <v>-1.8029020517761225</v>
      </c>
      <c r="C6" s="53">
        <f>+Descomposición!F$5</f>
        <v>0.40577306691767312</v>
      </c>
      <c r="D6" s="53">
        <f>+Descomposición!F$10</f>
        <v>0.78333374015007773</v>
      </c>
      <c r="E6" s="53">
        <f>+Descomposición!F$11</f>
        <v>-2.3927430701465457</v>
      </c>
      <c r="F6" s="53">
        <f>+Descomposición!F$12</f>
        <v>0.93386127534229491</v>
      </c>
      <c r="G6" s="53">
        <f>+Descomposición!F$17</f>
        <v>-1.5331270640396224</v>
      </c>
    </row>
    <row r="7" spans="1:21" x14ac:dyDescent="0.25">
      <c r="A7" s="50">
        <f>'[26]Baseline debt'!J$3</f>
        <v>2015</v>
      </c>
      <c r="B7" s="53">
        <f>+Descomposición!G$2</f>
        <v>-1.771997930254031</v>
      </c>
      <c r="C7" s="53">
        <f>+Descomposición!G$5</f>
        <v>-2.3461445941852563</v>
      </c>
      <c r="D7" s="53">
        <f>+Descomposición!G$10</f>
        <v>1.4425166106221146</v>
      </c>
      <c r="E7" s="53">
        <f>+Descomposición!G$11</f>
        <v>-2.2820605971294459</v>
      </c>
      <c r="F7" s="53">
        <f>+Descomposición!G$12</f>
        <v>0.67284379469229072</v>
      </c>
      <c r="G7" s="53">
        <f>+Descomposición!G$17</f>
        <v>0.74084685574626619</v>
      </c>
    </row>
    <row r="8" spans="1:21" x14ac:dyDescent="0.25">
      <c r="A8" s="50">
        <f>'[26]Baseline debt'!K$3</f>
        <v>2016</v>
      </c>
      <c r="B8" s="53">
        <f>+Descomposición!H$2</f>
        <v>1.511580046413485</v>
      </c>
      <c r="C8" s="53">
        <f>+Descomposición!H$5</f>
        <v>0.48575906786217793</v>
      </c>
      <c r="D8" s="53">
        <f>+Descomposición!H$10</f>
        <v>1.8618914325495202</v>
      </c>
      <c r="E8" s="53">
        <f>+Descomposición!H$11</f>
        <v>-2.1011790062604261</v>
      </c>
      <c r="F8" s="53">
        <f>+Descomposición!H$12</f>
        <v>0.59806575853644695</v>
      </c>
      <c r="G8" s="53">
        <f>+Descomposición!H$17</f>
        <v>0.66704279372576603</v>
      </c>
    </row>
    <row r="9" spans="1:21" x14ac:dyDescent="0.25">
      <c r="A9" s="50">
        <f>'[26]Baseline debt'!L$3</f>
        <v>2017</v>
      </c>
      <c r="B9" s="53">
        <f>+Descomposición!I$2</f>
        <v>1.6885493037204071</v>
      </c>
      <c r="C9" s="53">
        <f>+Descomposición!I$5</f>
        <v>0.80414610833533828</v>
      </c>
      <c r="D9" s="53">
        <f>+Descomposición!I$10</f>
        <v>1.1080332599322946</v>
      </c>
      <c r="E9" s="53">
        <f>+Descomposición!I$11</f>
        <v>-1.533699105342806</v>
      </c>
      <c r="F9" s="53">
        <f>+Descomposición!I$12</f>
        <v>0.8182421365266398</v>
      </c>
      <c r="G9" s="53">
        <f>+Descomposición!I$17</f>
        <v>0.49182690426894027</v>
      </c>
    </row>
    <row r="10" spans="1:21" x14ac:dyDescent="0.25">
      <c r="A10" s="50">
        <f>'[26]Baseline debt'!M$3</f>
        <v>2018</v>
      </c>
      <c r="B10" s="53">
        <f>+Descomposición!J$2</f>
        <v>0.64394742899708035</v>
      </c>
      <c r="C10" s="53">
        <f>+Descomposición!J$5</f>
        <v>-0.22955903291100377</v>
      </c>
      <c r="D10" s="53">
        <f>+Descomposición!J$10</f>
        <v>1.1032072572954892</v>
      </c>
      <c r="E10" s="53">
        <f>+Descomposición!J$11</f>
        <v>-2.3522499544726725</v>
      </c>
      <c r="F10" s="53">
        <f>+Descomposición!J$12</f>
        <v>0.98676922114725085</v>
      </c>
      <c r="G10" s="53">
        <f>+Descomposición!J$17</f>
        <v>1.1357799379380165</v>
      </c>
    </row>
    <row r="11" spans="1:21" x14ac:dyDescent="0.25">
      <c r="A11" s="50">
        <f>'[26]Baseline debt'!N$3</f>
        <v>2019</v>
      </c>
      <c r="B11" s="53">
        <f>+Descomposición!K$2</f>
        <v>3.5541337205481582</v>
      </c>
      <c r="C11" s="53">
        <f>+Descomposición!K$5</f>
        <v>-0.41463620656619327</v>
      </c>
      <c r="D11" s="53">
        <f>+Descomposición!K$10</f>
        <v>1.8051301843702787</v>
      </c>
      <c r="E11" s="53">
        <f>+Descomposición!K$11</f>
        <v>-1.7904155050910038</v>
      </c>
      <c r="F11" s="53">
        <f>+Descomposición!K$12</f>
        <v>1.4238683370936418</v>
      </c>
      <c r="G11" s="53">
        <f>+Descomposición!K$17</f>
        <v>2.5301869107414348</v>
      </c>
    </row>
    <row r="12" spans="1:21" x14ac:dyDescent="0.25">
      <c r="A12" s="50">
        <f>'[26]Baseline debt'!O$3</f>
        <v>2020</v>
      </c>
      <c r="B12" s="53">
        <f>+Descomposición!L$2</f>
        <v>16.540381409558492</v>
      </c>
      <c r="C12" s="53">
        <f>+Descomposición!L$5</f>
        <v>5.1692141793907016</v>
      </c>
      <c r="D12" s="53">
        <f>+Descomposición!L$10</f>
        <v>1.3669718133557227</v>
      </c>
      <c r="E12" s="53">
        <f>+Descomposición!L$11</f>
        <v>2.8616900060386636</v>
      </c>
      <c r="F12" s="53">
        <f>+Descomposición!L$12</f>
        <v>3.0836618329804741</v>
      </c>
      <c r="G12" s="53">
        <f>+Descomposición!L$17</f>
        <v>4.0588435777929313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980A-29C9-4A0C-AFBC-D1E5D3BF2786}">
  <sheetPr>
    <tabColor rgb="FF002060"/>
  </sheetPr>
  <dimension ref="A1:AO48"/>
  <sheetViews>
    <sheetView workbookViewId="0">
      <pane xSplit="1" ySplit="1" topLeftCell="B2" activePane="bottomRight" state="frozen"/>
      <selection activeCell="H14" sqref="H14"/>
      <selection pane="topRight" activeCell="H14" sqref="H14"/>
      <selection pane="bottomLeft" activeCell="H14" sqref="H14"/>
      <selection pane="bottomRight" activeCell="F2" sqref="F2:F22"/>
    </sheetView>
  </sheetViews>
  <sheetFormatPr defaultRowHeight="15" x14ac:dyDescent="0.25"/>
  <cols>
    <col min="1" max="1" width="10.28515625" bestFit="1" customWidth="1"/>
    <col min="2" max="8" width="13.140625" customWidth="1"/>
    <col min="9" max="9" width="14" customWidth="1"/>
    <col min="10" max="30" width="13.140625" customWidth="1"/>
    <col min="31" max="31" width="13.28515625" customWidth="1"/>
    <col min="32" max="32" width="20" customWidth="1"/>
    <col min="33" max="35" width="13.85546875" customWidth="1"/>
    <col min="36" max="37" width="13.7109375" customWidth="1"/>
    <col min="38" max="38" width="10.5703125" bestFit="1" customWidth="1"/>
  </cols>
  <sheetData>
    <row r="1" spans="1:37" s="3" customFormat="1" ht="63" customHeight="1" x14ac:dyDescent="0.25">
      <c r="A1" s="22" t="str">
        <f>+Anual!A2</f>
        <v>Años</v>
      </c>
      <c r="B1" s="64" t="str">
        <f>+Anual!B2</f>
        <v>Deuda Pública (US$ Millones)</v>
      </c>
      <c r="C1" s="64" t="str">
        <f>+Anual!C2</f>
        <v>Deuda Pública (per cápita) US$</v>
      </c>
      <c r="D1" s="64" t="str">
        <f>+Anual!D2</f>
        <v>Deuda SPNF (% PIB)</v>
      </c>
      <c r="E1" s="64" t="str">
        <f>+Anual!E2</f>
        <v>Deuda Pública Consolidada (% PIB)</v>
      </c>
      <c r="F1" s="64" t="str">
        <f>+Anual!F2</f>
        <v>BCRD</v>
      </c>
      <c r="G1" s="64" t="str">
        <f>+Anual!G2</f>
        <v>Intereses de la Deuda SPNF (% Impuestos)</v>
      </c>
      <c r="H1" s="64" t="str">
        <f>+Anual!H2</f>
        <v>Intereses de la Deuda SPNF (% antiguo gasto capital)</v>
      </c>
      <c r="I1" s="64" t="str">
        <f>+Anual!I2</f>
        <v>Préstamo/Endeudamiento Neto (% PIB)</v>
      </c>
      <c r="J1" s="64" t="str">
        <f>+Anual!J2</f>
        <v>Deuda Interna</v>
      </c>
      <c r="K1" s="64" t="str">
        <f>+Anual!K2</f>
        <v>Deuda Externa</v>
      </c>
      <c r="L1" s="64" t="str">
        <f>+Anual!L2</f>
        <v>Deuda Interna (% Total)</v>
      </c>
      <c r="M1" s="64" t="str">
        <f>+Anual!M2</f>
        <v>Deuda Externa (% Total)</v>
      </c>
      <c r="N1" s="64" t="str">
        <f>+Anual!N2</f>
        <v>Bonos de Recap BCRD</v>
      </c>
      <c r="O1" s="64" t="str">
        <f>+Anual!O2</f>
        <v>Bonos de Subastas</v>
      </c>
      <c r="P1" s="64" t="str">
        <f>+Anual!P2</f>
        <v>Bonos de CDEEE</v>
      </c>
      <c r="Q1" s="64" t="str">
        <f>+Anual!Q2</f>
        <v>Título canjeado</v>
      </c>
      <c r="R1" s="64" t="str">
        <f>+Anual!R2</f>
        <v>Bonos de Deuda Administrativa</v>
      </c>
      <c r="S1" s="64" t="str">
        <f>+Anual!S2</f>
        <v>Banca Comercial u Otras Instituciones Financieras</v>
      </c>
      <c r="T1" s="64" t="str">
        <f>+Anual!T2</f>
        <v xml:space="preserve">Bonos del Tesoro (Ley 121-05) </v>
      </c>
      <c r="U1" s="64" t="str">
        <f>+Anual!U2</f>
        <v>Deuda Multilateral</v>
      </c>
      <c r="V1" s="64" t="str">
        <f>+Anual!V2</f>
        <v>Deuda Bilateral</v>
      </c>
      <c r="W1" s="64" t="str">
        <f>+Anual!W2</f>
        <v>Acreedores Privados</v>
      </c>
      <c r="X1" s="64" t="str">
        <f>+Anual!X2</f>
        <v>Nacional</v>
      </c>
      <c r="Y1" s="64" t="str">
        <f>+Anual!Y2</f>
        <v>Extranjera</v>
      </c>
      <c r="Z1" s="64" t="str">
        <f>+Anual!Z2</f>
        <v>Nacional (% Total)</v>
      </c>
      <c r="AA1" s="64" t="str">
        <f>+Anual!AA2</f>
        <v>Extranjera (% total)</v>
      </c>
      <c r="AB1" s="64" t="str">
        <f>+Anual!AB2</f>
        <v>Fija (% Total)</v>
      </c>
      <c r="AC1" s="64" t="str">
        <f>+Anual!AC2</f>
        <v>Variable (% Total)</v>
      </c>
      <c r="AD1" s="64" t="str">
        <f>+Anual!AD2</f>
        <v>Indexada</v>
      </c>
      <c r="AE1" s="64" t="str">
        <f>+Anual!AE2</f>
        <v>Tasa Cero</v>
      </c>
      <c r="AF1" s="64" t="str">
        <f>+Anual!AF2</f>
        <v>Perfil Vencimiento Bonos Soberanos (Millones US$)</v>
      </c>
      <c r="AG1" s="64" t="str">
        <f>+Anual!AG2</f>
        <v>Proyección Economist Intelligence Unit</v>
      </c>
      <c r="AH1" s="64" t="str">
        <f>+Anual!AH2</f>
        <v>Proyección Deuda (Base)</v>
      </c>
      <c r="AI1" s="64" t="str">
        <f>+Anual!AI2</f>
        <v>Servicio de la Deuda</v>
      </c>
      <c r="AJ1" s="64" t="str">
        <f>+Anual!AJ2</f>
        <v>Servicio de la Deuda (%Impuestos)</v>
      </c>
      <c r="AK1" s="64" t="str">
        <f>+Anual!AK2</f>
        <v>Proyección Deuda (FMI)</v>
      </c>
    </row>
    <row r="2" spans="1:37" x14ac:dyDescent="0.25">
      <c r="A2">
        <f>+Anual!A3</f>
        <v>2000</v>
      </c>
      <c r="B2" s="2">
        <f>+Anual!B3</f>
        <v>3243.54</v>
      </c>
      <c r="C2" s="2">
        <f>+Anual!C3</f>
        <v>386.23677957637011</v>
      </c>
      <c r="D2" s="2">
        <f>+Anual!D3</f>
        <v>13.454763302824713</v>
      </c>
      <c r="E2" s="2">
        <f>+Anual!E3</f>
        <v>18.20093748703696</v>
      </c>
      <c r="F2" s="2">
        <f>+E2-D2</f>
        <v>4.7461741842122471</v>
      </c>
      <c r="G2" s="2">
        <f>+Anual!G3</f>
        <v>6.2715349074523665</v>
      </c>
      <c r="H2" s="2">
        <f>+Anual!H3</f>
        <v>23.256246815323443</v>
      </c>
      <c r="I2" s="2">
        <f>+Anual!I3</f>
        <v>-1.1509407640719065</v>
      </c>
      <c r="J2" s="2">
        <f>+Anual!J3</f>
        <v>465.67</v>
      </c>
      <c r="K2" s="2">
        <f>+Anual!K3</f>
        <v>2777.87</v>
      </c>
      <c r="L2" s="2">
        <f>+Anual!L3</f>
        <v>14.356844682044928</v>
      </c>
      <c r="M2" s="2">
        <f>+Anual!M3</f>
        <v>85.643155317955063</v>
      </c>
      <c r="N2" s="2">
        <f>+Anual!N3</f>
        <v>0</v>
      </c>
      <c r="O2" s="2">
        <f>+Anual!O3</f>
        <v>0</v>
      </c>
      <c r="P2" s="2">
        <f>+Anual!P3</f>
        <v>0</v>
      </c>
      <c r="Q2" s="2">
        <f>+Anual!Q3</f>
        <v>0</v>
      </c>
      <c r="R2" s="2">
        <f>+Anual!R3</f>
        <v>0</v>
      </c>
      <c r="S2" s="2">
        <f>+Anual!S3</f>
        <v>0</v>
      </c>
      <c r="T2" s="2">
        <f>+Anual!T3</f>
        <v>0</v>
      </c>
      <c r="U2" s="2">
        <f>+Anual!U3</f>
        <v>0</v>
      </c>
      <c r="V2" s="2">
        <f>+Anual!V3</f>
        <v>0</v>
      </c>
      <c r="W2" s="2">
        <f>+Anual!W3</f>
        <v>0</v>
      </c>
      <c r="X2" s="2">
        <f>+Anual!X3</f>
        <v>0</v>
      </c>
      <c r="Y2" s="2">
        <f>+Anual!Y3</f>
        <v>0</v>
      </c>
      <c r="Z2" s="2">
        <f>+Anual!Z3</f>
        <v>0</v>
      </c>
      <c r="AA2" s="2">
        <f>+Anual!AA3</f>
        <v>0</v>
      </c>
      <c r="AB2" s="2">
        <f>+Anual!AB3</f>
        <v>0</v>
      </c>
      <c r="AC2" s="2">
        <f>+Anual!AC3</f>
        <v>0</v>
      </c>
      <c r="AD2" s="2">
        <f>+Anual!AD3</f>
        <v>0</v>
      </c>
      <c r="AE2" s="2">
        <f>+Anual!AE3</f>
        <v>0</v>
      </c>
      <c r="AF2" s="2">
        <f>+Anual!AF3</f>
        <v>0</v>
      </c>
      <c r="AG2" s="2"/>
      <c r="AH2" s="2"/>
      <c r="AI2" s="2">
        <f>+Anual!AI3</f>
        <v>10022.802826216888</v>
      </c>
      <c r="AJ2" s="2">
        <f>(+Anual!AJ3)*100</f>
        <v>21.381133248777022</v>
      </c>
      <c r="AK2" s="2">
        <f>+Anual!AK3</f>
        <v>0</v>
      </c>
    </row>
    <row r="3" spans="1:37" x14ac:dyDescent="0.25">
      <c r="A3">
        <f>+Anual!A4</f>
        <v>2001</v>
      </c>
      <c r="B3" s="2">
        <f>+Anual!B4</f>
        <v>3957.54</v>
      </c>
      <c r="C3" s="2">
        <f>+Anual!C4</f>
        <v>464.88216369419177</v>
      </c>
      <c r="D3" s="2">
        <f>+Anual!D4</f>
        <v>15.666522716849688</v>
      </c>
      <c r="E3" s="2">
        <f>+Anual!E4</f>
        <v>19.757255226415317</v>
      </c>
      <c r="F3" s="2">
        <f t="shared" ref="F3:F22" si="0">+E3-D3</f>
        <v>4.0907325095656297</v>
      </c>
      <c r="G3" s="2">
        <f>+Anual!G4</f>
        <v>5.8818439705734109</v>
      </c>
      <c r="H3" s="2">
        <f>+Anual!H4</f>
        <v>15.852082399361178</v>
      </c>
      <c r="I3" s="2">
        <f>+Anual!I4</f>
        <v>-1.7953218291587241</v>
      </c>
      <c r="J3" s="2">
        <f>+Anual!J4</f>
        <v>619.01</v>
      </c>
      <c r="K3" s="2">
        <f>+Anual!K4</f>
        <v>3338.53</v>
      </c>
      <c r="L3" s="2">
        <f>+Anual!L4</f>
        <v>15.641282210666221</v>
      </c>
      <c r="M3" s="2">
        <f>+Anual!M4</f>
        <v>84.358717789333781</v>
      </c>
      <c r="N3" s="2">
        <f>+Anual!N4</f>
        <v>0</v>
      </c>
      <c r="O3" s="2">
        <f>+Anual!O4</f>
        <v>0</v>
      </c>
      <c r="P3" s="2">
        <f>+Anual!P4</f>
        <v>0</v>
      </c>
      <c r="Q3" s="2">
        <f>+Anual!Q4</f>
        <v>0</v>
      </c>
      <c r="R3" s="2">
        <f>+Anual!R4</f>
        <v>0</v>
      </c>
      <c r="S3" s="2">
        <f>+Anual!S4</f>
        <v>0</v>
      </c>
      <c r="T3" s="2">
        <f>+Anual!T4</f>
        <v>0</v>
      </c>
      <c r="U3" s="2">
        <f>+Anual!U4</f>
        <v>0</v>
      </c>
      <c r="V3" s="2">
        <f>+Anual!V4</f>
        <v>0</v>
      </c>
      <c r="W3" s="2">
        <f>+Anual!W4</f>
        <v>0</v>
      </c>
      <c r="X3" s="2">
        <f>+Anual!X4</f>
        <v>0</v>
      </c>
      <c r="Y3" s="2">
        <f>+Anual!Y4</f>
        <v>0</v>
      </c>
      <c r="Z3" s="2">
        <f>+Anual!Z4</f>
        <v>0</v>
      </c>
      <c r="AA3" s="2">
        <f>+Anual!AA4</f>
        <v>0</v>
      </c>
      <c r="AB3" s="2">
        <f>+Anual!AB4</f>
        <v>0</v>
      </c>
      <c r="AC3" s="2">
        <f>+Anual!AC4</f>
        <v>0</v>
      </c>
      <c r="AD3" s="2">
        <f>+Anual!AD4</f>
        <v>0</v>
      </c>
      <c r="AE3" s="2">
        <f>+Anual!AE4</f>
        <v>0</v>
      </c>
      <c r="AF3" s="2">
        <f>+Anual!AF4</f>
        <v>0</v>
      </c>
      <c r="AG3" s="2"/>
      <c r="AH3" s="2"/>
      <c r="AI3" s="2">
        <f>+Anual!AI4</f>
        <v>12020.931414528908</v>
      </c>
      <c r="AJ3" s="2">
        <f>(+Anual!AJ4)*100</f>
        <v>21.308771293821511</v>
      </c>
      <c r="AK3" s="2">
        <f>+Anual!AK4</f>
        <v>0</v>
      </c>
    </row>
    <row r="4" spans="1:37" x14ac:dyDescent="0.25">
      <c r="A4">
        <f>+Anual!A5</f>
        <v>2002</v>
      </c>
      <c r="B4" s="2">
        <f>+Anual!B5</f>
        <v>4402.7700000000004</v>
      </c>
      <c r="C4" s="2">
        <f>+Anual!C5</f>
        <v>510.31763629571407</v>
      </c>
      <c r="D4" s="2">
        <f>+Anual!D5</f>
        <v>17.084759205259108</v>
      </c>
      <c r="E4" s="2">
        <f>+Anual!E5</f>
        <v>21.949383396325985</v>
      </c>
      <c r="F4" s="2">
        <f t="shared" si="0"/>
        <v>4.864624191066877</v>
      </c>
      <c r="G4" s="2">
        <f>+Anual!G5</f>
        <v>8.4295350027762943</v>
      </c>
      <c r="H4" s="2">
        <f>+Anual!H5</f>
        <v>21.436525582099865</v>
      </c>
      <c r="I4" s="2">
        <f>+Anual!I5</f>
        <v>-1.6797570946839813</v>
      </c>
      <c r="J4" s="2">
        <f>+Anual!J5</f>
        <v>733.25</v>
      </c>
      <c r="K4" s="2">
        <f>+Anual!K5</f>
        <v>3669.52</v>
      </c>
      <c r="L4" s="2">
        <f>+Anual!L5</f>
        <v>16.654288095903258</v>
      </c>
      <c r="M4" s="2">
        <f>+Anual!M5</f>
        <v>83.345711904096731</v>
      </c>
      <c r="N4" s="2">
        <f>+Anual!N5</f>
        <v>0</v>
      </c>
      <c r="O4" s="2">
        <f>+Anual!O5</f>
        <v>0</v>
      </c>
      <c r="P4" s="2">
        <f>+Anual!P5</f>
        <v>0</v>
      </c>
      <c r="Q4" s="2">
        <f>+Anual!Q5</f>
        <v>0</v>
      </c>
      <c r="R4" s="2">
        <f>+Anual!R5</f>
        <v>0</v>
      </c>
      <c r="S4" s="2">
        <f>+Anual!S5</f>
        <v>0</v>
      </c>
      <c r="T4" s="2">
        <f>+Anual!T5</f>
        <v>0</v>
      </c>
      <c r="U4" s="2">
        <f>+Anual!U5</f>
        <v>0</v>
      </c>
      <c r="V4" s="2">
        <f>+Anual!V5</f>
        <v>0</v>
      </c>
      <c r="W4" s="2">
        <f>+Anual!W5</f>
        <v>0</v>
      </c>
      <c r="X4" s="2">
        <f>+Anual!X5</f>
        <v>0</v>
      </c>
      <c r="Y4" s="2">
        <f>+Anual!Y5</f>
        <v>0</v>
      </c>
      <c r="Z4" s="2">
        <f>+Anual!Z5</f>
        <v>0</v>
      </c>
      <c r="AA4" s="2">
        <f>+Anual!AA5</f>
        <v>0</v>
      </c>
      <c r="AB4" s="2">
        <f>+Anual!AB5</f>
        <v>0</v>
      </c>
      <c r="AC4" s="2">
        <f>+Anual!AC5</f>
        <v>0</v>
      </c>
      <c r="AD4" s="2">
        <f>+Anual!AD5</f>
        <v>0</v>
      </c>
      <c r="AE4" s="2">
        <f>+Anual!AE5</f>
        <v>0</v>
      </c>
      <c r="AF4" s="2">
        <f>+Anual!AF5</f>
        <v>0</v>
      </c>
      <c r="AG4" s="2"/>
      <c r="AH4" s="2"/>
      <c r="AI4" s="2">
        <f>+Anual!AI5</f>
        <v>15670.256185843204</v>
      </c>
      <c r="AJ4" s="2">
        <f>(+Anual!AJ5)*100</f>
        <v>25.288162954164438</v>
      </c>
      <c r="AK4" s="2">
        <f>+Anual!AK5</f>
        <v>0</v>
      </c>
    </row>
    <row r="5" spans="1:37" x14ac:dyDescent="0.25">
      <c r="A5">
        <f>+Anual!A6</f>
        <v>2003</v>
      </c>
      <c r="B5" s="2">
        <f>+Anual!B6</f>
        <v>5744.18</v>
      </c>
      <c r="C5" s="2">
        <f>+Anual!C6</f>
        <v>656.84674955666526</v>
      </c>
      <c r="D5" s="2">
        <f>+Anual!D6</f>
        <v>27.555676703854026</v>
      </c>
      <c r="E5" s="2">
        <f>+Anual!E6</f>
        <v>39.540528742138662</v>
      </c>
      <c r="F5" s="2">
        <f t="shared" si="0"/>
        <v>11.984852038284636</v>
      </c>
      <c r="G5" s="2">
        <f>+Anual!G6</f>
        <v>13.882385125573379</v>
      </c>
      <c r="H5" s="2">
        <f>+Anual!H6</f>
        <v>27.747892315568119</v>
      </c>
      <c r="I5" s="2">
        <f>+Anual!I6</f>
        <v>-4.5021888920789355</v>
      </c>
      <c r="J5" s="2">
        <f>+Anual!J6</f>
        <v>558.6</v>
      </c>
      <c r="K5" s="2">
        <f>+Anual!K6</f>
        <v>5185.58</v>
      </c>
      <c r="L5" s="2">
        <f>+Anual!L6</f>
        <v>9.7246256210634066</v>
      </c>
      <c r="M5" s="2">
        <f>+Anual!M6</f>
        <v>90.27537437893659</v>
      </c>
      <c r="N5" s="2">
        <f>+Anual!N6</f>
        <v>0</v>
      </c>
      <c r="O5" s="2">
        <f>+Anual!O6</f>
        <v>0</v>
      </c>
      <c r="P5" s="2">
        <f>+Anual!P6</f>
        <v>0</v>
      </c>
      <c r="Q5" s="2">
        <f>+Anual!Q6</f>
        <v>0</v>
      </c>
      <c r="R5" s="2">
        <f>+Anual!R6</f>
        <v>0</v>
      </c>
      <c r="S5" s="2">
        <f>+Anual!S6</f>
        <v>0</v>
      </c>
      <c r="T5" s="2">
        <f>+Anual!T6</f>
        <v>0</v>
      </c>
      <c r="U5" s="2">
        <f>+Anual!U6</f>
        <v>0</v>
      </c>
      <c r="V5" s="2">
        <f>+Anual!V6</f>
        <v>0</v>
      </c>
      <c r="W5" s="2">
        <f>+Anual!W6</f>
        <v>0</v>
      </c>
      <c r="X5" s="2">
        <f>+Anual!X6</f>
        <v>0</v>
      </c>
      <c r="Y5" s="2">
        <f>+Anual!Y6</f>
        <v>0</v>
      </c>
      <c r="Z5" s="2">
        <f>+Anual!Z6</f>
        <v>0</v>
      </c>
      <c r="AA5" s="2">
        <f>+Anual!AA6</f>
        <v>0</v>
      </c>
      <c r="AB5" s="2">
        <f>+Anual!AB6</f>
        <v>0</v>
      </c>
      <c r="AC5" s="2">
        <f>+Anual!AC6</f>
        <v>0</v>
      </c>
      <c r="AD5" s="2">
        <f>+Anual!AD6</f>
        <v>0</v>
      </c>
      <c r="AE5" s="2">
        <f>+Anual!AE6</f>
        <v>0</v>
      </c>
      <c r="AF5" s="2">
        <f>+Anual!AF6</f>
        <v>0</v>
      </c>
      <c r="AG5" s="2"/>
      <c r="AH5" s="2"/>
      <c r="AI5" s="2">
        <f>+Anual!AI6</f>
        <v>29619.844654898548</v>
      </c>
      <c r="AJ5" s="2">
        <f>(+Anual!AJ6)*100</f>
        <v>40.382640791195819</v>
      </c>
      <c r="AK5" s="2">
        <f>+Anual!AK6</f>
        <v>0</v>
      </c>
    </row>
    <row r="6" spans="1:37" x14ac:dyDescent="0.25">
      <c r="A6">
        <f>+Anual!A7</f>
        <v>2004</v>
      </c>
      <c r="B6" s="2">
        <f>+Anual!B7</f>
        <v>6584.98</v>
      </c>
      <c r="C6" s="2">
        <f>+Anual!C7</f>
        <v>743.42308477374581</v>
      </c>
      <c r="D6" s="2">
        <f>+Anual!D7</f>
        <v>28.39992457091174</v>
      </c>
      <c r="E6" s="2">
        <f>+Anual!E7</f>
        <v>46.901658716672564</v>
      </c>
      <c r="F6" s="2">
        <f t="shared" si="0"/>
        <v>18.501734145760825</v>
      </c>
      <c r="G6" s="2">
        <f>+Anual!G7</f>
        <v>14.310784027221885</v>
      </c>
      <c r="H6" s="2">
        <f>+Anual!H7</f>
        <v>44.806873479310902</v>
      </c>
      <c r="I6" s="2">
        <f>+Anual!I7</f>
        <v>-3.0785931195940122</v>
      </c>
      <c r="J6" s="2">
        <f>+Anual!J7</f>
        <v>1040.8699999999999</v>
      </c>
      <c r="K6" s="2">
        <f>+Anual!K7</f>
        <v>5544.11</v>
      </c>
      <c r="L6" s="2">
        <f>+Anual!L7</f>
        <v>15.806729860986668</v>
      </c>
      <c r="M6" s="2">
        <f>+Anual!M7</f>
        <v>84.193270139013336</v>
      </c>
      <c r="N6" s="2">
        <f>+Anual!N7</f>
        <v>0</v>
      </c>
      <c r="O6" s="2">
        <f>+Anual!O7</f>
        <v>0</v>
      </c>
      <c r="P6" s="2">
        <f>+Anual!P7</f>
        <v>0</v>
      </c>
      <c r="Q6" s="2">
        <f>+Anual!Q7</f>
        <v>0</v>
      </c>
      <c r="R6" s="2">
        <f>+Anual!R7</f>
        <v>0</v>
      </c>
      <c r="S6" s="2">
        <f>+Anual!S7</f>
        <v>0</v>
      </c>
      <c r="T6" s="2">
        <f>+Anual!T7</f>
        <v>0</v>
      </c>
      <c r="U6" s="2">
        <f>+Anual!U7</f>
        <v>0</v>
      </c>
      <c r="V6" s="2">
        <f>+Anual!V7</f>
        <v>0</v>
      </c>
      <c r="W6" s="2">
        <f>+Anual!W7</f>
        <v>0</v>
      </c>
      <c r="X6" s="2">
        <f>+Anual!X7</f>
        <v>0</v>
      </c>
      <c r="Y6" s="2">
        <f>+Anual!Y7</f>
        <v>0</v>
      </c>
      <c r="Z6" s="2">
        <f>+Anual!Z7</f>
        <v>0</v>
      </c>
      <c r="AA6" s="2">
        <f>+Anual!AA7</f>
        <v>0</v>
      </c>
      <c r="AB6" s="2">
        <f>+Anual!AB7</f>
        <v>0</v>
      </c>
      <c r="AC6" s="2">
        <f>+Anual!AC7</f>
        <v>0</v>
      </c>
      <c r="AD6" s="2">
        <f>+Anual!AD7</f>
        <v>0</v>
      </c>
      <c r="AE6" s="2">
        <f>+Anual!AE7</f>
        <v>0</v>
      </c>
      <c r="AF6" s="2">
        <f>+Anual!AF7</f>
        <v>0</v>
      </c>
      <c r="AG6" s="2"/>
      <c r="AH6" s="2"/>
      <c r="AI6" s="2">
        <f>+Anual!AI7</f>
        <v>46411.895536235548</v>
      </c>
      <c r="AJ6" s="2">
        <f>(+Anual!AJ7)*100</f>
        <v>40.023554191797075</v>
      </c>
      <c r="AK6" s="2">
        <f>+Anual!AK7</f>
        <v>0</v>
      </c>
    </row>
    <row r="7" spans="1:37" x14ac:dyDescent="0.25">
      <c r="A7">
        <f>+Anual!A8</f>
        <v>2005</v>
      </c>
      <c r="B7" s="2">
        <f>+Anual!B8</f>
        <v>6822</v>
      </c>
      <c r="C7" s="2">
        <f>+Anual!C8</f>
        <v>760.69251341191671</v>
      </c>
      <c r="D7" s="2">
        <f>+Anual!D8</f>
        <v>18.99657471214822</v>
      </c>
      <c r="E7" s="2">
        <f>+Anual!E8</f>
        <v>32.485234617130352</v>
      </c>
      <c r="F7" s="2">
        <f t="shared" si="0"/>
        <v>13.488659904982132</v>
      </c>
      <c r="G7" s="2">
        <f>+Anual!G8</f>
        <v>9.210450193287679</v>
      </c>
      <c r="H7" s="2">
        <f>+Anual!H8</f>
        <v>31.372037108854599</v>
      </c>
      <c r="I7" s="2">
        <f>+Anual!I8</f>
        <v>-0.26254869220808019</v>
      </c>
      <c r="J7" s="2">
        <f>+Anual!J8</f>
        <v>974.9</v>
      </c>
      <c r="K7" s="2">
        <f>+Anual!K8</f>
        <v>5847.1</v>
      </c>
      <c r="L7" s="2">
        <f>+Anual!L8</f>
        <v>14.290530636177074</v>
      </c>
      <c r="M7" s="2">
        <f>+Anual!M8</f>
        <v>85.709469363822933</v>
      </c>
      <c r="N7" s="2">
        <f>+Anual!N8</f>
        <v>0</v>
      </c>
      <c r="O7" s="2">
        <f>+Anual!O8</f>
        <v>0</v>
      </c>
      <c r="P7" s="2">
        <f>+Anual!P8</f>
        <v>0</v>
      </c>
      <c r="Q7" s="2">
        <f>+Anual!Q8</f>
        <v>0</v>
      </c>
      <c r="R7" s="2">
        <f>+Anual!R8</f>
        <v>0</v>
      </c>
      <c r="S7" s="2">
        <f>+Anual!S8</f>
        <v>0</v>
      </c>
      <c r="T7" s="2">
        <f>+Anual!T8</f>
        <v>0</v>
      </c>
      <c r="U7" s="2">
        <f>+Anual!U8</f>
        <v>0</v>
      </c>
      <c r="V7" s="2">
        <f>+Anual!V8</f>
        <v>0</v>
      </c>
      <c r="W7" s="2">
        <f>+Anual!W8</f>
        <v>0</v>
      </c>
      <c r="X7" s="2">
        <f>+Anual!X8</f>
        <v>0</v>
      </c>
      <c r="Y7" s="2">
        <f>+Anual!Y8</f>
        <v>0</v>
      </c>
      <c r="Z7" s="2">
        <f>+Anual!Z8</f>
        <v>0</v>
      </c>
      <c r="AA7" s="2">
        <f>+Anual!AA8</f>
        <v>0</v>
      </c>
      <c r="AB7" s="2">
        <f>+Anual!AB8</f>
        <v>0</v>
      </c>
      <c r="AC7" s="2">
        <f>+Anual!AC8</f>
        <v>0</v>
      </c>
      <c r="AD7" s="2">
        <f>+Anual!AD8</f>
        <v>0</v>
      </c>
      <c r="AE7" s="2">
        <f>+Anual!AE8</f>
        <v>0</v>
      </c>
      <c r="AF7" s="2">
        <f>+Anual!AF8</f>
        <v>0</v>
      </c>
      <c r="AG7" s="2"/>
      <c r="AH7" s="2"/>
      <c r="AI7" s="2">
        <f>+Anual!AI8</f>
        <v>42390.309286079399</v>
      </c>
      <c r="AJ7" s="2">
        <f>(+Anual!AJ8)*100</f>
        <v>29.303526875120955</v>
      </c>
      <c r="AK7" s="2">
        <f>+Anual!AK8</f>
        <v>0</v>
      </c>
    </row>
    <row r="8" spans="1:37" x14ac:dyDescent="0.25">
      <c r="A8">
        <f>+Anual!A9</f>
        <v>2006</v>
      </c>
      <c r="B8" s="2">
        <f>+Anual!B9</f>
        <v>7406.8</v>
      </c>
      <c r="C8" s="2">
        <f>+Anual!C9</f>
        <v>816.49498900838216</v>
      </c>
      <c r="D8" s="2">
        <f>+Anual!D9</f>
        <v>19.461310044238981</v>
      </c>
      <c r="E8" s="2">
        <f>+Anual!E9</f>
        <v>34.305566868370505</v>
      </c>
      <c r="F8" s="2">
        <f t="shared" si="0"/>
        <v>14.844256824131524</v>
      </c>
      <c r="G8" s="2">
        <f>+Anual!G9</f>
        <v>9.292549036151712</v>
      </c>
      <c r="H8" s="2">
        <f>+Anual!H9</f>
        <v>34.621754964499054</v>
      </c>
      <c r="I8" s="2">
        <f>+Anual!I9</f>
        <v>0.12273061359966728</v>
      </c>
      <c r="J8" s="2">
        <f>+Anual!J9</f>
        <v>1111.3</v>
      </c>
      <c r="K8" s="2">
        <f>+Anual!K9</f>
        <v>6295.5</v>
      </c>
      <c r="L8" s="2">
        <f>+Anual!L9</f>
        <v>15.003780309985418</v>
      </c>
      <c r="M8" s="2">
        <f>+Anual!M9</f>
        <v>84.99621969001457</v>
      </c>
      <c r="N8" s="2">
        <f>+Anual!N9</f>
        <v>0</v>
      </c>
      <c r="O8" s="2">
        <f>+Anual!O9</f>
        <v>0</v>
      </c>
      <c r="P8" s="2">
        <f>+Anual!P9</f>
        <v>0</v>
      </c>
      <c r="Q8" s="2">
        <f>+Anual!Q9</f>
        <v>0</v>
      </c>
      <c r="R8" s="2">
        <f>+Anual!R9</f>
        <v>0</v>
      </c>
      <c r="S8" s="2">
        <f>+Anual!S9</f>
        <v>0</v>
      </c>
      <c r="T8" s="2">
        <f>+Anual!T9</f>
        <v>0</v>
      </c>
      <c r="U8" s="2">
        <f>+Anual!U9</f>
        <v>0</v>
      </c>
      <c r="V8" s="2">
        <f>+Anual!V9</f>
        <v>0</v>
      </c>
      <c r="W8" s="2">
        <f>+Anual!W9</f>
        <v>0</v>
      </c>
      <c r="X8" s="2">
        <f>+Anual!X9</f>
        <v>0</v>
      </c>
      <c r="Y8" s="2">
        <f>+Anual!Y9</f>
        <v>0</v>
      </c>
      <c r="Z8" s="2">
        <f>+Anual!Z9</f>
        <v>0</v>
      </c>
      <c r="AA8" s="2">
        <f>+Anual!AA9</f>
        <v>0</v>
      </c>
      <c r="AB8" s="2">
        <f>+Anual!AB9</f>
        <v>0</v>
      </c>
      <c r="AC8" s="2">
        <f>+Anual!AC9</f>
        <v>0</v>
      </c>
      <c r="AD8" s="2">
        <f>+Anual!AD9</f>
        <v>0</v>
      </c>
      <c r="AE8" s="2">
        <f>+Anual!AE9</f>
        <v>0</v>
      </c>
      <c r="AF8" s="2">
        <f>+Anual!AF9</f>
        <v>0</v>
      </c>
      <c r="AG8" s="2"/>
      <c r="AH8" s="2"/>
      <c r="AI8" s="2">
        <f>+Anual!AI9</f>
        <v>49773.782945683939</v>
      </c>
      <c r="AJ8" s="2">
        <f>(+Anual!AJ9)*100</f>
        <v>28.505739934697328</v>
      </c>
      <c r="AK8" s="2">
        <f>+Anual!AK9</f>
        <v>0</v>
      </c>
    </row>
    <row r="9" spans="1:37" x14ac:dyDescent="0.25">
      <c r="A9">
        <f>+Anual!A10</f>
        <v>2007</v>
      </c>
      <c r="B9" s="2">
        <f>+Anual!B10</f>
        <v>7558.3</v>
      </c>
      <c r="C9" s="2">
        <f>+Anual!C10</f>
        <v>823.87750328153584</v>
      </c>
      <c r="D9" s="2">
        <f>+Anual!D10</f>
        <v>17.141989982369481</v>
      </c>
      <c r="E9" s="2">
        <f>+Anual!E10</f>
        <v>31.155997140071516</v>
      </c>
      <c r="F9" s="2">
        <f t="shared" si="0"/>
        <v>14.014007157702036</v>
      </c>
      <c r="G9" s="2">
        <f>+Anual!G10</f>
        <v>7.5896599585588014</v>
      </c>
      <c r="H9" s="2">
        <f>+Anual!H10</f>
        <v>25.471719036416008</v>
      </c>
      <c r="I9" s="2">
        <f>+Anual!I10</f>
        <v>0.3352608109310608</v>
      </c>
      <c r="J9" s="2">
        <f>+Anual!J10</f>
        <v>1002.6</v>
      </c>
      <c r="K9" s="2">
        <f>+Anual!K10</f>
        <v>6555.7</v>
      </c>
      <c r="L9" s="2">
        <f>+Anual!L10</f>
        <v>13.264887607001574</v>
      </c>
      <c r="M9" s="2">
        <f>+Anual!M10</f>
        <v>86.735112392998431</v>
      </c>
      <c r="N9" s="2">
        <f>+Anual!N10</f>
        <v>0</v>
      </c>
      <c r="O9" s="2">
        <f>+Anual!O10</f>
        <v>0</v>
      </c>
      <c r="P9" s="2">
        <f>+Anual!P10</f>
        <v>0</v>
      </c>
      <c r="Q9" s="2">
        <f>+Anual!Q10</f>
        <v>0</v>
      </c>
      <c r="R9" s="2">
        <f>+Anual!R10</f>
        <v>0</v>
      </c>
      <c r="S9" s="2">
        <f>+Anual!S10</f>
        <v>0</v>
      </c>
      <c r="T9" s="2">
        <f>+Anual!T10</f>
        <v>0</v>
      </c>
      <c r="U9" s="2">
        <f>+Anual!U10</f>
        <v>0</v>
      </c>
      <c r="V9" s="2">
        <f>+Anual!V10</f>
        <v>0</v>
      </c>
      <c r="W9" s="2">
        <f>+Anual!W10</f>
        <v>0</v>
      </c>
      <c r="X9" s="2">
        <f>+Anual!X10</f>
        <v>0</v>
      </c>
      <c r="Y9" s="2">
        <f>+Anual!Y10</f>
        <v>0</v>
      </c>
      <c r="Z9" s="2">
        <f>+Anual!Z10</f>
        <v>0</v>
      </c>
      <c r="AA9" s="2">
        <f>+Anual!AA10</f>
        <v>0</v>
      </c>
      <c r="AB9" s="2">
        <f>+Anual!AB10</f>
        <v>0</v>
      </c>
      <c r="AC9" s="2">
        <f>+Anual!AC10</f>
        <v>0</v>
      </c>
      <c r="AD9" s="2">
        <f>+Anual!AD10</f>
        <v>0</v>
      </c>
      <c r="AE9" s="2">
        <f>+Anual!AE10</f>
        <v>0</v>
      </c>
      <c r="AF9" s="2">
        <f>+Anual!AF10</f>
        <v>0</v>
      </c>
      <c r="AG9" s="2"/>
      <c r="AH9" s="2"/>
      <c r="AI9" s="2">
        <f>+Anual!AI10</f>
        <v>55228.162816560653</v>
      </c>
      <c r="AJ9" s="2">
        <f>(+Anual!AJ10)*100</f>
        <v>25.639546690907089</v>
      </c>
      <c r="AK9" s="2">
        <f>+Anual!AK10</f>
        <v>0</v>
      </c>
    </row>
    <row r="10" spans="1:37" x14ac:dyDescent="0.25">
      <c r="A10">
        <f>+Anual!A11</f>
        <v>2008</v>
      </c>
      <c r="B10" s="2">
        <f>+Anual!B11</f>
        <v>11219.259649361822</v>
      </c>
      <c r="C10" s="2">
        <f>+Anual!C11</f>
        <v>1209.0237975035807</v>
      </c>
      <c r="D10" s="2">
        <f>+Anual!D11</f>
        <v>23.270399789044671</v>
      </c>
      <c r="E10" s="2">
        <f>+Anual!E11</f>
        <v>32.026082487819188</v>
      </c>
      <c r="F10" s="2">
        <f t="shared" si="0"/>
        <v>8.7556826987745175</v>
      </c>
      <c r="G10" s="2">
        <f>+Anual!G11</f>
        <v>10.784223350288153</v>
      </c>
      <c r="H10" s="2">
        <f>+Anual!H11</f>
        <v>30.44348810549694</v>
      </c>
      <c r="I10" s="2">
        <f>+Anual!I11</f>
        <v>-3.7974900552469451</v>
      </c>
      <c r="J10" s="2">
        <f>+Anual!J11</f>
        <v>4000.4196436948223</v>
      </c>
      <c r="K10" s="2">
        <f>+Anual!K11</f>
        <v>7218.8400056670007</v>
      </c>
      <c r="L10" s="2">
        <f>+Anual!L11</f>
        <v>35.656716830886218</v>
      </c>
      <c r="M10" s="2">
        <f>+Anual!M11</f>
        <v>64.343283169113789</v>
      </c>
      <c r="N10" s="2">
        <f>+Anual!N11</f>
        <v>0</v>
      </c>
      <c r="O10" s="2">
        <f>+Anual!O11</f>
        <v>0</v>
      </c>
      <c r="P10" s="2">
        <f>+Anual!P11</f>
        <v>0</v>
      </c>
      <c r="Q10" s="2">
        <f>+Anual!Q11</f>
        <v>0</v>
      </c>
      <c r="R10" s="2">
        <f>+Anual!R11</f>
        <v>0</v>
      </c>
      <c r="S10" s="2">
        <f>+Anual!S11</f>
        <v>0</v>
      </c>
      <c r="T10" s="2">
        <f>+Anual!T11</f>
        <v>0</v>
      </c>
      <c r="U10" s="2">
        <f>+Anual!U11</f>
        <v>0</v>
      </c>
      <c r="V10" s="2">
        <f>+Anual!V11</f>
        <v>0</v>
      </c>
      <c r="W10" s="2">
        <f>+Anual!W11</f>
        <v>0</v>
      </c>
      <c r="X10" s="2">
        <f>+Anual!X11</f>
        <v>0</v>
      </c>
      <c r="Y10" s="2">
        <f>+Anual!Y11</f>
        <v>0</v>
      </c>
      <c r="Z10" s="2">
        <f>+Anual!Z11</f>
        <v>0</v>
      </c>
      <c r="AA10" s="2">
        <f>+Anual!AA11</f>
        <v>0</v>
      </c>
      <c r="AB10" s="2">
        <f>+Anual!AB11</f>
        <v>0</v>
      </c>
      <c r="AC10" s="2">
        <f>+Anual!AC11</f>
        <v>0</v>
      </c>
      <c r="AD10" s="2">
        <f>+Anual!AD11</f>
        <v>0</v>
      </c>
      <c r="AE10" s="2">
        <f>+Anual!AE11</f>
        <v>0</v>
      </c>
      <c r="AF10" s="2">
        <f>+Anual!AF11</f>
        <v>0</v>
      </c>
      <c r="AG10" s="2"/>
      <c r="AH10" s="2"/>
      <c r="AI10" s="2">
        <f>+Anual!AI11</f>
        <v>63463.717744397945</v>
      </c>
      <c r="AJ10" s="2">
        <f>(+Anual!AJ11)*100</f>
        <v>27.113677154710164</v>
      </c>
      <c r="AK10" s="2">
        <f>+Anual!AK11</f>
        <v>0</v>
      </c>
    </row>
    <row r="11" spans="1:37" x14ac:dyDescent="0.25">
      <c r="A11">
        <f>+Anual!A12</f>
        <v>2009</v>
      </c>
      <c r="B11" s="2">
        <f>+Anual!B12</f>
        <v>13254.010376193823</v>
      </c>
      <c r="C11" s="2">
        <f>+Anual!C12</f>
        <v>1412.9846058138314</v>
      </c>
      <c r="D11" s="2">
        <f>+Anual!D12</f>
        <v>27.433471167841027</v>
      </c>
      <c r="E11" s="2">
        <f>+Anual!E12</f>
        <v>36.366810854827882</v>
      </c>
      <c r="F11" s="2">
        <f t="shared" si="0"/>
        <v>8.9333396869868551</v>
      </c>
      <c r="G11" s="2">
        <f>+Anual!G12</f>
        <v>14.708655053479808</v>
      </c>
      <c r="H11" s="2">
        <f>+Anual!H12</f>
        <v>51.129795432150047</v>
      </c>
      <c r="I11" s="2">
        <f>+Anual!I12</f>
        <v>-2.7462177952196254</v>
      </c>
      <c r="J11" s="2">
        <f>+Anual!J12</f>
        <v>5039.3187988402769</v>
      </c>
      <c r="K11" s="2">
        <f>+Anual!K12</f>
        <v>8214.6915773535457</v>
      </c>
      <c r="L11" s="2">
        <f>+Anual!L12</f>
        <v>38.021086869613775</v>
      </c>
      <c r="M11" s="2">
        <f>+Anual!M12</f>
        <v>61.978913130386225</v>
      </c>
      <c r="N11" s="2">
        <f>+Anual!N12</f>
        <v>0</v>
      </c>
      <c r="O11" s="2">
        <f>+Anual!O12</f>
        <v>0</v>
      </c>
      <c r="P11" s="2">
        <f>+Anual!P12</f>
        <v>0</v>
      </c>
      <c r="Q11" s="2">
        <f>+Anual!Q12</f>
        <v>0</v>
      </c>
      <c r="R11" s="2">
        <f>+Anual!R12</f>
        <v>0</v>
      </c>
      <c r="S11" s="2">
        <f>+Anual!S12</f>
        <v>0</v>
      </c>
      <c r="T11" s="2">
        <f>+Anual!T12</f>
        <v>0</v>
      </c>
      <c r="U11" s="2">
        <f>+Anual!U12</f>
        <v>0</v>
      </c>
      <c r="V11" s="2">
        <f>+Anual!V12</f>
        <v>0</v>
      </c>
      <c r="W11" s="2">
        <f>+Anual!W12</f>
        <v>0</v>
      </c>
      <c r="X11" s="2">
        <f>+Anual!X12</f>
        <v>0</v>
      </c>
      <c r="Y11" s="2">
        <f>+Anual!Y12</f>
        <v>0</v>
      </c>
      <c r="Z11" s="2">
        <f>+Anual!Z12</f>
        <v>0</v>
      </c>
      <c r="AA11" s="2">
        <f>+Anual!AA12</f>
        <v>0</v>
      </c>
      <c r="AB11" s="2">
        <f>+Anual!AB12</f>
        <v>0</v>
      </c>
      <c r="AC11" s="2">
        <f>+Anual!AC12</f>
        <v>0</v>
      </c>
      <c r="AD11" s="2">
        <f>+Anual!AD12</f>
        <v>0</v>
      </c>
      <c r="AE11" s="2">
        <f>+Anual!AE12</f>
        <v>0</v>
      </c>
      <c r="AF11" s="2">
        <f>+Anual!AF12</f>
        <v>0</v>
      </c>
      <c r="AG11" s="2"/>
      <c r="AH11" s="2"/>
      <c r="AI11" s="2">
        <f>+Anual!AI12</f>
        <v>75506.636011147464</v>
      </c>
      <c r="AJ11" s="2">
        <f>(+Anual!AJ12)*100</f>
        <v>34.755703845303422</v>
      </c>
      <c r="AK11" s="2">
        <f>+Anual!AK12</f>
        <v>0</v>
      </c>
    </row>
    <row r="12" spans="1:37" x14ac:dyDescent="0.25">
      <c r="A12">
        <f>+Anual!A13</f>
        <v>2010</v>
      </c>
      <c r="B12" s="2">
        <f>+Anual!B13</f>
        <v>14818.10359768823</v>
      </c>
      <c r="C12" s="2">
        <f>+Anual!C13</f>
        <v>1563.3199879569108</v>
      </c>
      <c r="D12" s="2">
        <f>+Anual!D13</f>
        <v>27.497146272287544</v>
      </c>
      <c r="E12" s="2">
        <f>+Anual!E13</f>
        <v>36.56604995823082</v>
      </c>
      <c r="F12" s="2">
        <f t="shared" si="0"/>
        <v>9.0689036859432761</v>
      </c>
      <c r="G12" s="2">
        <f>+Anual!G13</f>
        <v>15.213534125500983</v>
      </c>
      <c r="H12" s="2">
        <f>+Anual!H13</f>
        <v>47.633349495066909</v>
      </c>
      <c r="I12" s="2">
        <f>+Anual!I13</f>
        <v>-3.0106488444994479</v>
      </c>
      <c r="J12" s="2">
        <f>+Anual!J13</f>
        <v>4871.1365257380667</v>
      </c>
      <c r="K12" s="2">
        <f>+Anual!K13</f>
        <v>9946.9670719501628</v>
      </c>
      <c r="L12" s="2">
        <f>+Anual!L13</f>
        <v>32.872874005942379</v>
      </c>
      <c r="M12" s="2">
        <f>+Anual!M13</f>
        <v>67.127125994057607</v>
      </c>
      <c r="N12" s="2">
        <f>+Anual!N13</f>
        <v>0</v>
      </c>
      <c r="O12" s="2">
        <f>+Anual!O13</f>
        <v>0</v>
      </c>
      <c r="P12" s="2">
        <f>+Anual!P13</f>
        <v>0</v>
      </c>
      <c r="Q12" s="2">
        <f>+Anual!Q13</f>
        <v>0</v>
      </c>
      <c r="R12" s="2">
        <f>+Anual!R13</f>
        <v>0</v>
      </c>
      <c r="S12" s="2">
        <f>+Anual!S13</f>
        <v>0</v>
      </c>
      <c r="T12" s="2">
        <f>+Anual!T13</f>
        <v>0</v>
      </c>
      <c r="U12" s="2">
        <f>+Anual!U13</f>
        <v>0</v>
      </c>
      <c r="V12" s="2">
        <f>+Anual!V13</f>
        <v>0</v>
      </c>
      <c r="W12" s="2">
        <f>+Anual!W13</f>
        <v>0</v>
      </c>
      <c r="X12" s="2">
        <f>+Anual!X13</f>
        <v>0</v>
      </c>
      <c r="Y12" s="2">
        <f>+Anual!Y13</f>
        <v>0</v>
      </c>
      <c r="Z12" s="2">
        <f>+Anual!Z13</f>
        <v>0</v>
      </c>
      <c r="AA12" s="2">
        <f>+Anual!AA13</f>
        <v>0</v>
      </c>
      <c r="AB12" s="2">
        <f>+Anual!AB13</f>
        <v>0</v>
      </c>
      <c r="AC12" s="2">
        <f>+Anual!AC13</f>
        <v>0</v>
      </c>
      <c r="AD12" s="2">
        <f>+Anual!AD13</f>
        <v>0</v>
      </c>
      <c r="AE12" s="2">
        <f>+Anual!AE13</f>
        <v>0</v>
      </c>
      <c r="AF12" s="2">
        <f>+Anual!AF13</f>
        <v>0</v>
      </c>
      <c r="AG12" s="2"/>
      <c r="AH12" s="2"/>
      <c r="AI12" s="2">
        <f>+Anual!AI13</f>
        <v>94995.92789846033</v>
      </c>
      <c r="AJ12" s="2">
        <f>(+Anual!AJ13)*100</f>
        <v>39.682016275392087</v>
      </c>
      <c r="AK12" s="2">
        <f>+Anual!AK13</f>
        <v>0</v>
      </c>
    </row>
    <row r="13" spans="1:37" x14ac:dyDescent="0.25">
      <c r="A13">
        <f>+Anual!A14</f>
        <v>2011</v>
      </c>
      <c r="B13" s="2">
        <f>+Anual!B14</f>
        <v>16593.089607482078</v>
      </c>
      <c r="C13" s="2">
        <f>+Anual!C14</f>
        <v>1732.0301519092861</v>
      </c>
      <c r="D13" s="2">
        <f>+Anual!D14</f>
        <v>28.572039766933887</v>
      </c>
      <c r="E13" s="2">
        <f>+Anual!E14</f>
        <v>37.84892338662948</v>
      </c>
      <c r="F13" s="2">
        <f t="shared" si="0"/>
        <v>9.2768836196955924</v>
      </c>
      <c r="G13" s="2">
        <f>+Anual!G14</f>
        <v>16.683005167795606</v>
      </c>
      <c r="H13" s="2">
        <f>+Anual!H14</f>
        <v>58.699457753098294</v>
      </c>
      <c r="I13" s="2">
        <f>+Anual!I14</f>
        <v>-3.2839594789683395</v>
      </c>
      <c r="J13" s="2">
        <f>+Anual!J14</f>
        <v>4967.5266252616893</v>
      </c>
      <c r="K13" s="2">
        <f>+Anual!K14</f>
        <v>11625.56298222039</v>
      </c>
      <c r="L13" s="2">
        <f>+Anual!L14</f>
        <v>29.937321757255837</v>
      </c>
      <c r="M13" s="2">
        <f>+Anual!M14</f>
        <v>70.06267824274417</v>
      </c>
      <c r="N13" s="2">
        <f>+Anual!N14</f>
        <v>0</v>
      </c>
      <c r="O13" s="2">
        <f>+Anual!O14</f>
        <v>0</v>
      </c>
      <c r="P13" s="2">
        <f>+Anual!P14</f>
        <v>0</v>
      </c>
      <c r="Q13" s="2">
        <f>+Anual!Q14</f>
        <v>0</v>
      </c>
      <c r="R13" s="2">
        <f>+Anual!R14</f>
        <v>0</v>
      </c>
      <c r="S13" s="2">
        <f>+Anual!S14</f>
        <v>0</v>
      </c>
      <c r="T13" s="2">
        <f>+Anual!T14</f>
        <v>0</v>
      </c>
      <c r="U13" s="2">
        <f>+Anual!U14</f>
        <v>0</v>
      </c>
      <c r="V13" s="2">
        <f>+Anual!V14</f>
        <v>0</v>
      </c>
      <c r="W13" s="2">
        <f>+Anual!W14</f>
        <v>0</v>
      </c>
      <c r="X13" s="2">
        <f>+Anual!X14</f>
        <v>0</v>
      </c>
      <c r="Y13" s="2">
        <f>+Anual!Y14</f>
        <v>0</v>
      </c>
      <c r="Z13" s="2">
        <f>+Anual!Z14</f>
        <v>0</v>
      </c>
      <c r="AA13" s="2">
        <f>+Anual!AA14</f>
        <v>0</v>
      </c>
      <c r="AB13" s="2">
        <f>+Anual!AB14</f>
        <v>0</v>
      </c>
      <c r="AC13" s="2">
        <f>+Anual!AC14</f>
        <v>0</v>
      </c>
      <c r="AD13" s="2">
        <f>+Anual!AD14</f>
        <v>0</v>
      </c>
      <c r="AE13" s="2">
        <f>+Anual!AE14</f>
        <v>0</v>
      </c>
      <c r="AF13" s="2">
        <f>+Anual!AF14</f>
        <v>0</v>
      </c>
      <c r="AG13" s="2"/>
      <c r="AH13" s="2"/>
      <c r="AI13" s="2">
        <f>+Anual!AI14</f>
        <v>106763.27527210269</v>
      </c>
      <c r="AJ13" s="2">
        <f>(+Anual!AJ14)*100</f>
        <v>39.729869513250748</v>
      </c>
      <c r="AK13" s="2">
        <f>+Anual!AK14</f>
        <v>0</v>
      </c>
    </row>
    <row r="14" spans="1:37" x14ac:dyDescent="0.25">
      <c r="A14">
        <f>+Anual!A15</f>
        <v>2012</v>
      </c>
      <c r="B14" s="2">
        <f>+Anual!B15</f>
        <v>19463.331371418637</v>
      </c>
      <c r="C14" s="2">
        <f>+Anual!C15</f>
        <v>2010.4747194487404</v>
      </c>
      <c r="D14" s="2">
        <f>+Anual!D15</f>
        <v>32.043714703993345</v>
      </c>
      <c r="E14" s="2">
        <f>+Anual!E15</f>
        <v>41.265931785118731</v>
      </c>
      <c r="F14" s="2">
        <f t="shared" si="0"/>
        <v>9.2222170811253861</v>
      </c>
      <c r="G14" s="2">
        <f>+Anual!G15</f>
        <v>14.488251316223749</v>
      </c>
      <c r="H14" s="2">
        <f>+Anual!H15</f>
        <v>28.925049373782169</v>
      </c>
      <c r="I14" s="2">
        <f>+Anual!I15</f>
        <v>-6.4085665990648062</v>
      </c>
      <c r="J14" s="2">
        <f>+Anual!J15</f>
        <v>6591.7294102773376</v>
      </c>
      <c r="K14" s="2">
        <f>+Anual!K15</f>
        <v>12871.601961141301</v>
      </c>
      <c r="L14" s="2">
        <f>+Anual!L15</f>
        <v>33.867426313036574</v>
      </c>
      <c r="M14" s="2">
        <f>+Anual!M15</f>
        <v>66.13257368696344</v>
      </c>
      <c r="N14" s="2">
        <f>+Anual!N15</f>
        <v>0</v>
      </c>
      <c r="O14" s="2">
        <f>+Anual!O15</f>
        <v>0</v>
      </c>
      <c r="P14" s="2">
        <f>+Anual!P15</f>
        <v>0</v>
      </c>
      <c r="Q14" s="2">
        <f>+Anual!Q15</f>
        <v>0</v>
      </c>
      <c r="R14" s="2">
        <f>+Anual!R15</f>
        <v>0</v>
      </c>
      <c r="S14" s="2">
        <f>+Anual!S15</f>
        <v>0</v>
      </c>
      <c r="T14" s="2">
        <f>+Anual!T15</f>
        <v>0</v>
      </c>
      <c r="U14" s="2">
        <f>+Anual!U15</f>
        <v>0</v>
      </c>
      <c r="V14" s="2">
        <f>+Anual!V15</f>
        <v>0</v>
      </c>
      <c r="W14" s="2">
        <f>+Anual!W15</f>
        <v>0</v>
      </c>
      <c r="X14" s="2">
        <f>+Anual!X15</f>
        <v>5109.7311745863335</v>
      </c>
      <c r="Y14" s="2">
        <f>+Anual!Y15</f>
        <v>14353.600196832302</v>
      </c>
      <c r="Z14" s="2">
        <f>+Anual!Z15</f>
        <v>26.253117090170043</v>
      </c>
      <c r="AA14" s="2">
        <f>+Anual!AA15</f>
        <v>73.746882909829949</v>
      </c>
      <c r="AB14" s="2">
        <f>+Anual!AB15</f>
        <v>70.517011358636424</v>
      </c>
      <c r="AC14" s="2">
        <f>+Anual!AC15</f>
        <v>28.79511817668088</v>
      </c>
      <c r="AD14" s="2">
        <f>+Anual!AD15</f>
        <v>0.48812106221708612</v>
      </c>
      <c r="AE14" s="2">
        <f>+Anual!AE15</f>
        <v>0.19974940246554751</v>
      </c>
      <c r="AF14" s="2">
        <f>+Anual!AF15</f>
        <v>0</v>
      </c>
      <c r="AG14" s="2"/>
      <c r="AH14" s="2"/>
      <c r="AI14" s="2">
        <f>+Anual!AI15</f>
        <v>107420.97927667639</v>
      </c>
      <c r="AJ14" s="2">
        <f>(+Anual!AJ15)*100</f>
        <v>34.880224872243907</v>
      </c>
      <c r="AK14" s="2">
        <f>+Anual!AK15</f>
        <v>0</v>
      </c>
    </row>
    <row r="15" spans="1:37" x14ac:dyDescent="0.25">
      <c r="A15">
        <f>+Anual!A16</f>
        <v>2013</v>
      </c>
      <c r="B15" s="2">
        <f>+Anual!B16</f>
        <v>23203.778850954644</v>
      </c>
      <c r="C15" s="2">
        <f>+Anual!C16</f>
        <v>2371.4397252597573</v>
      </c>
      <c r="D15" s="2">
        <f>+Anual!D16</f>
        <v>36.99325622478343</v>
      </c>
      <c r="E15" s="2">
        <f>+Anual!E16</f>
        <v>45.066231541464788</v>
      </c>
      <c r="F15" s="2">
        <f t="shared" si="0"/>
        <v>8.072975316681358</v>
      </c>
      <c r="G15" s="2">
        <f>+Anual!G16</f>
        <v>16.623772468896643</v>
      </c>
      <c r="H15" s="2">
        <f>+Anual!H16</f>
        <v>52.121836395311192</v>
      </c>
      <c r="I15" s="2">
        <f>+Anual!I16</f>
        <v>-3.919665924956659</v>
      </c>
      <c r="J15" s="2">
        <f>+Anual!J16</f>
        <v>8044.2508631876408</v>
      </c>
      <c r="K15" s="2">
        <f>+Anual!K16</f>
        <v>15159.527987767002</v>
      </c>
      <c r="L15" s="2">
        <f>+Anual!L16</f>
        <v>34.66784834857485</v>
      </c>
      <c r="M15" s="2">
        <f>+Anual!M16</f>
        <v>65.332151651425136</v>
      </c>
      <c r="N15" s="2">
        <f>+Anual!N16</f>
        <v>38.559584287614577</v>
      </c>
      <c r="O15" s="2">
        <f>+Anual!O16</f>
        <v>27.616428810646116</v>
      </c>
      <c r="P15" s="2">
        <f>+Anual!P16</f>
        <v>6.2156191857232628</v>
      </c>
      <c r="Q15" s="2">
        <f>+Anual!Q16</f>
        <v>0</v>
      </c>
      <c r="R15" s="2">
        <f>+Anual!R16</f>
        <v>3.098491473402798</v>
      </c>
      <c r="S15" s="2">
        <f>+Anual!S16</f>
        <v>23.279148459855719</v>
      </c>
      <c r="T15" s="2">
        <f>+Anual!T16</f>
        <v>1.1142939745601164</v>
      </c>
      <c r="U15" s="2">
        <f>+Anual!U16</f>
        <v>30.073497759071994</v>
      </c>
      <c r="V15" s="2">
        <f>+Anual!V16</f>
        <v>41.159881706343953</v>
      </c>
      <c r="W15" s="2">
        <f>+Anual!W16</f>
        <v>28.76662053458406</v>
      </c>
      <c r="X15" s="2">
        <f>+Anual!X16</f>
        <v>6345.6456597076367</v>
      </c>
      <c r="Y15" s="2">
        <f>+Anual!Y16</f>
        <v>16858.131273541239</v>
      </c>
      <c r="Z15" s="2">
        <f>+Anual!Z16</f>
        <v>27.347466550460446</v>
      </c>
      <c r="AA15" s="2">
        <f>+Anual!AA16</f>
        <v>72.652525184912562</v>
      </c>
      <c r="AB15" s="2">
        <f>+Anual!AB16</f>
        <v>73.960089835473568</v>
      </c>
      <c r="AC15" s="2">
        <f>+Anual!AC16</f>
        <v>25.480701958465552</v>
      </c>
      <c r="AD15" s="2">
        <f>+Anual!AD16</f>
        <v>0.38630174525780819</v>
      </c>
      <c r="AE15" s="2">
        <f>+Anual!AE16</f>
        <v>0.17289819617613464</v>
      </c>
      <c r="AF15" s="2">
        <f>+Anual!AF16</f>
        <v>0</v>
      </c>
      <c r="AG15" s="2"/>
      <c r="AH15" s="2"/>
      <c r="AI15" s="2">
        <f>+Anual!AI16</f>
        <v>144068.59782007613</v>
      </c>
      <c r="AJ15" s="2">
        <f>(+Anual!AJ16)*100</f>
        <v>41.07561997638733</v>
      </c>
      <c r="AK15" s="2">
        <f>+Anual!AK16</f>
        <v>0</v>
      </c>
    </row>
    <row r="16" spans="1:37" x14ac:dyDescent="0.25">
      <c r="A16">
        <f>+Anual!A17</f>
        <v>2014</v>
      </c>
      <c r="B16" s="2">
        <f>+Anual!B17</f>
        <v>23809.062751023754</v>
      </c>
      <c r="C16" s="2">
        <f>+Anual!C17</f>
        <v>2408.9741970620239</v>
      </c>
      <c r="D16" s="2">
        <f>+Anual!D17</f>
        <v>35.401474819803511</v>
      </c>
      <c r="E16" s="2">
        <f>+Anual!E17</f>
        <v>43.608423618247841</v>
      </c>
      <c r="F16" s="2">
        <f t="shared" si="0"/>
        <v>8.2069487984443299</v>
      </c>
      <c r="G16" s="2">
        <f>+Anual!G17</f>
        <v>17.703536862874543</v>
      </c>
      <c r="H16" s="2">
        <f>+Anual!H17</f>
        <v>79.944502233131388</v>
      </c>
      <c r="I16" s="2">
        <f>+Anual!I17</f>
        <v>-3.4889160585256858</v>
      </c>
      <c r="J16" s="2">
        <f>+Anual!J17</f>
        <v>7373.3365892217516</v>
      </c>
      <c r="K16" s="2">
        <f>+Anual!K17</f>
        <v>16435.726161802002</v>
      </c>
      <c r="L16" s="2">
        <f>+Anual!L17</f>
        <v>30.968613365113288</v>
      </c>
      <c r="M16" s="2">
        <f>+Anual!M17</f>
        <v>69.031386634886715</v>
      </c>
      <c r="N16" s="2">
        <f>+Anual!N17</f>
        <v>40.611146280317243</v>
      </c>
      <c r="O16" s="2">
        <f>+Anual!O17</f>
        <v>37.650286204946084</v>
      </c>
      <c r="P16" s="2">
        <f>+Anual!P17</f>
        <v>6.781190495642007</v>
      </c>
      <c r="Q16" s="2">
        <f>+Anual!Q17</f>
        <v>0</v>
      </c>
      <c r="R16" s="2">
        <f>+Anual!R17</f>
        <v>3.2817971747786503</v>
      </c>
      <c r="S16" s="2">
        <f>+Anual!S17</f>
        <v>10.501999878761605</v>
      </c>
      <c r="T16" s="2">
        <f>+Anual!T17</f>
        <v>1.1735799655544188</v>
      </c>
      <c r="U16" s="2">
        <f>+Anual!U17</f>
        <v>23.524807351840685</v>
      </c>
      <c r="V16" s="2">
        <f>+Anual!V17</f>
        <v>38.292563297245692</v>
      </c>
      <c r="W16" s="2">
        <f>+Anual!W17</f>
        <v>38.182629350913636</v>
      </c>
      <c r="X16" s="2">
        <f>+Anual!X17</f>
        <v>6530.0305443817615</v>
      </c>
      <c r="Y16" s="2">
        <f>+Anual!Y17</f>
        <v>17279.031936358009</v>
      </c>
      <c r="Z16" s="2">
        <f>+Anual!Z17</f>
        <v>27.426659388769853</v>
      </c>
      <c r="AA16" s="2">
        <f>+Anual!AA17</f>
        <v>72.573339476015448</v>
      </c>
      <c r="AB16" s="2">
        <f>+Anual!AB17</f>
        <v>79.658878839173397</v>
      </c>
      <c r="AC16" s="2">
        <f>+Anual!AC17</f>
        <v>19.825402671379983</v>
      </c>
      <c r="AD16" s="2">
        <f>+Anual!AD17</f>
        <v>0.36344144206297774</v>
      </c>
      <c r="AE16" s="2">
        <f>+Anual!AE17</f>
        <v>0.15227591216895367</v>
      </c>
      <c r="AF16" s="2">
        <f>+Anual!AF17</f>
        <v>0</v>
      </c>
      <c r="AG16" s="2"/>
      <c r="AH16" s="2"/>
      <c r="AI16" s="2">
        <f>+Anual!AI17</f>
        <v>177395.63451060111</v>
      </c>
      <c r="AJ16" s="2">
        <f>(+Anual!AJ17)*100</f>
        <v>45.615010819362439</v>
      </c>
      <c r="AK16" s="2">
        <f>+Anual!AK17</f>
        <v>0</v>
      </c>
    </row>
    <row r="17" spans="1:41" x14ac:dyDescent="0.25">
      <c r="A17">
        <f>+Anual!A18</f>
        <v>2015</v>
      </c>
      <c r="B17" s="2">
        <f>+Anual!B18</f>
        <v>24153.658162465785</v>
      </c>
      <c r="C17" s="2">
        <f>+Anual!C18</f>
        <v>2420.147301269697</v>
      </c>
      <c r="D17" s="2">
        <f>+Anual!D18</f>
        <v>33.903205111979915</v>
      </c>
      <c r="E17" s="2">
        <f>+Anual!E18</f>
        <v>43.012370143681572</v>
      </c>
      <c r="F17" s="2">
        <f t="shared" si="0"/>
        <v>9.1091650317016573</v>
      </c>
      <c r="G17" s="2">
        <f>+Anual!G18</f>
        <v>18.090297748090798</v>
      </c>
      <c r="H17" s="2">
        <f>+Anual!H18</f>
        <v>70.714563281024638</v>
      </c>
      <c r="I17" s="2">
        <f>+Anual!I18</f>
        <v>-0.25900878623019397</v>
      </c>
      <c r="J17" s="2">
        <f>+Anual!J18</f>
        <v>7907.5560200097843</v>
      </c>
      <c r="K17" s="2">
        <f>+Anual!K18</f>
        <v>16246.102142456</v>
      </c>
      <c r="L17" s="2">
        <f>+Anual!L18</f>
        <v>32.738544061611094</v>
      </c>
      <c r="M17" s="2">
        <f>+Anual!M18</f>
        <v>67.26145593838892</v>
      </c>
      <c r="N17" s="2">
        <f>+Anual!N18</f>
        <v>36.813352144679442</v>
      </c>
      <c r="O17" s="2">
        <f>+Anual!O18</f>
        <v>44.303780076535787</v>
      </c>
      <c r="P17" s="2">
        <f>+Anual!P18</f>
        <v>6.3230661753741382</v>
      </c>
      <c r="Q17" s="2">
        <f>+Anual!Q18</f>
        <v>0</v>
      </c>
      <c r="R17" s="2">
        <f>+Anual!R18</f>
        <v>2.9748964539451848</v>
      </c>
      <c r="S17" s="2">
        <f>+Anual!S18</f>
        <v>9.584905149465456</v>
      </c>
      <c r="T17" s="2">
        <f>+Anual!T18</f>
        <v>0</v>
      </c>
      <c r="U17" s="2">
        <f>+Anual!U18</f>
        <v>25.747671996974393</v>
      </c>
      <c r="V17" s="2">
        <f>+Anual!V18</f>
        <v>15.563552000127704</v>
      </c>
      <c r="W17" s="2">
        <f>+Anual!W18</f>
        <v>58.68730658559457</v>
      </c>
      <c r="X17" s="2">
        <f>+Anual!X18</f>
        <v>6949.4440184550513</v>
      </c>
      <c r="Y17" s="2">
        <f>+Anual!Y18</f>
        <v>17205.110032045988</v>
      </c>
      <c r="Z17" s="2">
        <f>+Anual!Z18</f>
        <v>28.771807449251408</v>
      </c>
      <c r="AA17" s="2">
        <f>+Anual!AA18</f>
        <v>71.231901670208799</v>
      </c>
      <c r="AB17" s="2">
        <f>+Anual!AB18</f>
        <v>79.694754731802163</v>
      </c>
      <c r="AC17" s="2">
        <f>+Anual!AC18</f>
        <v>20.168679701347077</v>
      </c>
      <c r="AD17" s="2">
        <f>+Anual!AD18</f>
        <v>0</v>
      </c>
      <c r="AE17" s="2">
        <f>+Anual!AE18</f>
        <v>0.14027468631087531</v>
      </c>
      <c r="AF17" s="2">
        <f>+Anual!AF18</f>
        <v>0</v>
      </c>
      <c r="AG17" s="2"/>
      <c r="AH17" s="2"/>
      <c r="AI17" s="2">
        <f>+Anual!AI18</f>
        <v>262931.00849679444</v>
      </c>
      <c r="AJ17" s="2">
        <f>(+Anual!AJ18)*100</f>
        <v>64.142195742500704</v>
      </c>
      <c r="AK17" s="2">
        <f>+Anual!AK18</f>
        <v>0</v>
      </c>
    </row>
    <row r="18" spans="1:41" x14ac:dyDescent="0.25">
      <c r="A18">
        <f>+Anual!A19</f>
        <v>2016</v>
      </c>
      <c r="B18" s="2">
        <f>+Anual!B19</f>
        <v>26757.863628567735</v>
      </c>
      <c r="C18" s="2">
        <f>+Anual!C19</f>
        <v>2655.8554952923519</v>
      </c>
      <c r="D18" s="2">
        <f>+Anual!D19</f>
        <v>35.319508699574179</v>
      </c>
      <c r="E18" s="2">
        <f>+Anual!E19</f>
        <v>45.014321550399906</v>
      </c>
      <c r="F18" s="2">
        <f t="shared" si="0"/>
        <v>9.694812850825727</v>
      </c>
      <c r="G18" s="2">
        <f>+Anual!G19</f>
        <v>19.688634028546467</v>
      </c>
      <c r="H18" s="2">
        <f>+Anual!H19</f>
        <v>83.668891859019851</v>
      </c>
      <c r="I18" s="2">
        <f>+Anual!I19</f>
        <v>-2.6819841560906648</v>
      </c>
      <c r="J18" s="2">
        <f>+Anual!J19</f>
        <v>9190.7558765707363</v>
      </c>
      <c r="K18" s="2">
        <f>+Anual!K19</f>
        <v>17567.107751996999</v>
      </c>
      <c r="L18" s="2">
        <f>+Anual!L19</f>
        <v>34.34786873926037</v>
      </c>
      <c r="M18" s="2">
        <f>+Anual!M19</f>
        <v>65.652131260739637</v>
      </c>
      <c r="N18" s="2">
        <f>+Anual!N19</f>
        <v>30.896842597787877</v>
      </c>
      <c r="O18" s="2">
        <f>+Anual!O19</f>
        <v>55.257215404299423</v>
      </c>
      <c r="P18" s="2">
        <f>+Anual!P19</f>
        <v>5.4402489492143973</v>
      </c>
      <c r="Q18" s="2">
        <f>+Anual!Q19</f>
        <v>0</v>
      </c>
      <c r="R18" s="2">
        <f>+Anual!R19</f>
        <v>0.16933432971137652</v>
      </c>
      <c r="S18" s="2">
        <f>+Anual!S19</f>
        <v>8.236358718986919</v>
      </c>
      <c r="T18" s="2">
        <f>+Anual!T19</f>
        <v>0</v>
      </c>
      <c r="U18" s="2">
        <f>+Anual!U19</f>
        <v>25.225701772981061</v>
      </c>
      <c r="V18" s="2">
        <f>+Anual!V19</f>
        <v>14.195325262671762</v>
      </c>
      <c r="W18" s="2">
        <f>+Anual!W19</f>
        <v>60.57897296434718</v>
      </c>
      <c r="X18" s="2">
        <f>+Anual!X19</f>
        <v>8212.953014196868</v>
      </c>
      <c r="Y18" s="2">
        <f>+Anual!Y19</f>
        <v>18544.349263631007</v>
      </c>
      <c r="Z18" s="2">
        <f>+Anual!Z19</f>
        <v>30.693605170438197</v>
      </c>
      <c r="AA18" s="2">
        <f>+Anual!AA19</f>
        <v>69.304296938834611</v>
      </c>
      <c r="AB18" s="2">
        <f>+Anual!AB19</f>
        <v>80.674778315496226</v>
      </c>
      <c r="AC18" s="2">
        <f>+Anual!AC19</f>
        <v>18.687945860936672</v>
      </c>
      <c r="AD18" s="2">
        <f>+Anual!AD19</f>
        <v>0</v>
      </c>
      <c r="AE18" s="2">
        <f>+Anual!AE19</f>
        <v>0.63517793283969093</v>
      </c>
      <c r="AF18" s="2">
        <f>+Anual!AF19</f>
        <v>0</v>
      </c>
      <c r="AG18" s="2"/>
      <c r="AH18" s="2"/>
      <c r="AI18" s="2">
        <f>+Anual!AI19</f>
        <v>182047.84739267992</v>
      </c>
      <c r="AJ18" s="2">
        <f>(+Anual!AJ19)*100</f>
        <v>40.57921361589225</v>
      </c>
      <c r="AK18" s="2">
        <f>+Anual!AK19</f>
        <v>0</v>
      </c>
    </row>
    <row r="19" spans="1:41" x14ac:dyDescent="0.25">
      <c r="A19">
        <f>+Anual!A20</f>
        <v>2017</v>
      </c>
      <c r="B19" s="2">
        <f>+Anual!B20</f>
        <v>29543.619508309814</v>
      </c>
      <c r="C19" s="2">
        <f>+Anual!C20</f>
        <v>2905.2138668034936</v>
      </c>
      <c r="D19" s="2">
        <f>+Anual!D20</f>
        <v>36.918208285609126</v>
      </c>
      <c r="E19" s="2">
        <f>+Anual!E20</f>
        <v>46.504495529483101</v>
      </c>
      <c r="F19" s="2">
        <f t="shared" si="0"/>
        <v>9.5862872438739757</v>
      </c>
      <c r="G19" s="2">
        <f>+Anual!G20</f>
        <v>19.627436136413593</v>
      </c>
      <c r="H19" s="2">
        <f>+Anual!H20</f>
        <v>74.753633020190406</v>
      </c>
      <c r="I19" s="2">
        <f>+Anual!I20</f>
        <v>-2.7831276544242294</v>
      </c>
      <c r="J19" s="2">
        <f>+Anual!J20</f>
        <v>10722.34651119682</v>
      </c>
      <c r="K19" s="2">
        <f>+Anual!K20</f>
        <v>18821.272997112996</v>
      </c>
      <c r="L19" s="2">
        <f>+Anual!L20</f>
        <v>36.293273098040395</v>
      </c>
      <c r="M19" s="2">
        <f>+Anual!M20</f>
        <v>63.706726901959613</v>
      </c>
      <c r="N19" s="2">
        <f>+Anual!N20</f>
        <v>25.616880851721437</v>
      </c>
      <c r="O19" s="2">
        <f>+Anual!O20</f>
        <v>61.029701968991709</v>
      </c>
      <c r="P19" s="2">
        <f>+Anual!P20</f>
        <v>4.663158381216971</v>
      </c>
      <c r="Q19" s="2">
        <f>+Anual!Q20</f>
        <v>0</v>
      </c>
      <c r="R19" s="2">
        <f>+Anual!R20</f>
        <v>0</v>
      </c>
      <c r="S19" s="2">
        <f>+Anual!S20</f>
        <v>8.6902587980698893</v>
      </c>
      <c r="T19" s="2">
        <f>+Anual!T20</f>
        <v>0</v>
      </c>
      <c r="U19" s="2">
        <f>+Anual!U20</f>
        <v>23.621111233230298</v>
      </c>
      <c r="V19" s="2">
        <f>+Anual!V20</f>
        <v>12.846851461210349</v>
      </c>
      <c r="W19" s="2">
        <f>+Anual!W20</f>
        <v>63.532037305559363</v>
      </c>
      <c r="X19" s="2">
        <f>+Anual!X20</f>
        <v>9507.0957760021902</v>
      </c>
      <c r="Y19" s="2">
        <f>+Anual!Y20</f>
        <v>20036.966707792995</v>
      </c>
      <c r="Z19" s="2">
        <f>+Anual!Z20</f>
        <v>32.179861283848801</v>
      </c>
      <c r="AA19" s="2">
        <f>+Anual!AA20</f>
        <v>67.821638110919835</v>
      </c>
      <c r="AB19" s="2">
        <f>+Anual!AB20</f>
        <v>85.885751708835926</v>
      </c>
      <c r="AC19" s="2">
        <f>+Anual!AC20</f>
        <v>13.964501762573732</v>
      </c>
      <c r="AD19" s="2">
        <f>+Anual!AD20</f>
        <v>0</v>
      </c>
      <c r="AE19" s="2">
        <f>+Anual!AE20</f>
        <v>0.15124592335895654</v>
      </c>
      <c r="AF19" s="2">
        <f>+Anual!AF20</f>
        <v>0</v>
      </c>
      <c r="AG19" s="2"/>
      <c r="AH19" s="2"/>
      <c r="AI19" s="2">
        <f>+Anual!AI20</f>
        <v>185222.89436984606</v>
      </c>
      <c r="AJ19" s="2">
        <f>(+Anual!AJ20)*100</f>
        <v>37.544942391149846</v>
      </c>
      <c r="AK19" s="2">
        <f>+Anual!AK20</f>
        <v>0</v>
      </c>
    </row>
    <row r="20" spans="1:41" x14ac:dyDescent="0.25">
      <c r="A20">
        <f>+Anual!A21</f>
        <v>2018</v>
      </c>
      <c r="B20" s="2">
        <f>+Anual!B21</f>
        <v>32158.164947553152</v>
      </c>
      <c r="C20" s="2">
        <f>+Anual!C21</f>
        <v>3132.4467380663532</v>
      </c>
      <c r="D20" s="2">
        <f>+Anual!D21</f>
        <v>37.595665770695</v>
      </c>
      <c r="E20" s="2">
        <f>+Anual!E21</f>
        <v>47.903866666201388</v>
      </c>
      <c r="F20" s="2">
        <f t="shared" si="0"/>
        <v>10.308200895506388</v>
      </c>
      <c r="G20" s="2">
        <f>+Anual!G21</f>
        <v>19.938234575058861</v>
      </c>
      <c r="H20" s="2">
        <f>+Anual!H21</f>
        <v>97.512656660781914</v>
      </c>
      <c r="I20" s="2">
        <f>+Anual!I21</f>
        <v>-2.2770608657879032</v>
      </c>
      <c r="J20" s="2">
        <f>+Anual!J21</f>
        <v>10593.606015131154</v>
      </c>
      <c r="K20" s="2">
        <f>+Anual!K21</f>
        <v>21564.558932421998</v>
      </c>
      <c r="L20" s="2">
        <f>+Anual!L21</f>
        <v>32.942196895899684</v>
      </c>
      <c r="M20" s="2">
        <f>+Anual!M21</f>
        <v>67.057803104100316</v>
      </c>
      <c r="N20" s="2">
        <f>+Anual!N21</f>
        <v>24.888769180913702</v>
      </c>
      <c r="O20" s="2">
        <f>+Anual!O21</f>
        <v>61.77942849174535</v>
      </c>
      <c r="P20" s="2">
        <f>+Anual!P21</f>
        <v>4.7199496299982791</v>
      </c>
      <c r="Q20" s="2">
        <f>+Anual!Q21</f>
        <v>0</v>
      </c>
      <c r="R20" s="2">
        <f>+Anual!R21</f>
        <v>0</v>
      </c>
      <c r="S20" s="2">
        <f>+Anual!S21</f>
        <v>8.6118526973426608</v>
      </c>
      <c r="T20" s="2">
        <f>+Anual!T21</f>
        <v>0</v>
      </c>
      <c r="U20" s="2">
        <f>+Anual!U21</f>
        <v>21.775149152742753</v>
      </c>
      <c r="V20" s="2">
        <f>+Anual!V21</f>
        <v>9.7118343461652223</v>
      </c>
      <c r="W20" s="2">
        <f>+Anual!W21</f>
        <v>68.513016501092025</v>
      </c>
      <c r="X20" s="2">
        <f>+Anual!X21</f>
        <v>10069.368364305168</v>
      </c>
      <c r="Y20" s="2">
        <f>+Anual!Y21</f>
        <v>22088.796583248004</v>
      </c>
      <c r="Z20" s="2">
        <f>+Anual!Z21</f>
        <v>31.312011679544931</v>
      </c>
      <c r="AA20" s="2">
        <f>+Anual!AA21</f>
        <v>68.687988320455133</v>
      </c>
      <c r="AB20" s="2">
        <f>+Anual!AB21</f>
        <v>87.09588686703411</v>
      </c>
      <c r="AC20" s="2">
        <f>+Anual!AC21</f>
        <v>12.824703725464905</v>
      </c>
      <c r="AD20" s="2">
        <f>+Anual!AD21</f>
        <v>0</v>
      </c>
      <c r="AE20" s="2">
        <f>+Anual!AE21</f>
        <v>7.9409407500856274E-2</v>
      </c>
      <c r="AF20" s="2">
        <f>+Anual!AF21</f>
        <v>0</v>
      </c>
      <c r="AG20" s="2"/>
      <c r="AH20" s="2"/>
      <c r="AI20" s="2">
        <f>+Anual!AI21</f>
        <v>233561.46121151224</v>
      </c>
      <c r="AJ20" s="2">
        <f>(+Anual!AJ21)*100</f>
        <v>42.470234387756634</v>
      </c>
      <c r="AK20" s="2">
        <f>+Anual!AK21</f>
        <v>0</v>
      </c>
    </row>
    <row r="21" spans="1:41" x14ac:dyDescent="0.25">
      <c r="A21">
        <f>+Anual!A22</f>
        <v>2019</v>
      </c>
      <c r="B21" s="2">
        <f>+Anual!B22</f>
        <v>35942.486211186901</v>
      </c>
      <c r="C21" s="2">
        <f>+Anual!C22</f>
        <v>3439.9664689815158</v>
      </c>
      <c r="D21" s="2">
        <f>+Anual!D22</f>
        <v>40.427469218857759</v>
      </c>
      <c r="E21" s="2">
        <f>+Anual!E22</f>
        <v>50.534440591242799</v>
      </c>
      <c r="F21" s="2">
        <f t="shared" si="0"/>
        <v>10.10697137238504</v>
      </c>
      <c r="G21" s="2">
        <f>+Anual!G22</f>
        <v>20.689702944937729</v>
      </c>
      <c r="H21" s="2">
        <f>+Anual!H22</f>
        <v>117.90276281109678</v>
      </c>
      <c r="I21" s="2">
        <f>+Anual!I22</f>
        <v>-2.3200110083950896</v>
      </c>
      <c r="J21" s="2">
        <f>+Anual!J22</f>
        <v>12559.332331954885</v>
      </c>
      <c r="K21" s="2">
        <f>+Anual!K22</f>
        <v>23383.153879232003</v>
      </c>
      <c r="L21" s="2">
        <f>+Anual!L22</f>
        <v>34.942859150477638</v>
      </c>
      <c r="M21" s="2">
        <f>+Anual!M22</f>
        <v>65.057140849522327</v>
      </c>
      <c r="N21" s="2">
        <f>+Anual!N22</f>
        <v>19.921577028104291</v>
      </c>
      <c r="O21" s="2">
        <f>+Anual!O22</f>
        <v>65.008327146624353</v>
      </c>
      <c r="P21" s="2">
        <f>+Anual!P22</f>
        <v>3.9811033483670384</v>
      </c>
      <c r="Q21" s="2">
        <f>+Anual!Q22</f>
        <v>0</v>
      </c>
      <c r="R21" s="2">
        <f>+Anual!R22</f>
        <v>0</v>
      </c>
      <c r="S21" s="2">
        <f>+Anual!S22</f>
        <v>11.088992476904318</v>
      </c>
      <c r="T21" s="2">
        <f>+Anual!T22</f>
        <v>0</v>
      </c>
      <c r="U21" s="2">
        <f>+Anual!U22</f>
        <v>21.54709120782848</v>
      </c>
      <c r="V21" s="2">
        <f>+Anual!V22</f>
        <v>7.7784113615974624</v>
      </c>
      <c r="W21" s="2">
        <f>+Anual!W22</f>
        <v>70.674497430574064</v>
      </c>
      <c r="X21" s="2">
        <f>+Anual!X22</f>
        <v>11797.867356605895</v>
      </c>
      <c r="Y21" s="2">
        <f>+Anual!Y22</f>
        <v>24144.62879345398</v>
      </c>
      <c r="Z21" s="2">
        <f>+Anual!Z22</f>
        <v>32.824294032653405</v>
      </c>
      <c r="AA21" s="2">
        <f>+Anual!AA22</f>
        <v>67.175733619504314</v>
      </c>
      <c r="AB21" s="2">
        <f>+Anual!AB22</f>
        <v>86.56725575474718</v>
      </c>
      <c r="AC21" s="2">
        <f>+Anual!AC22</f>
        <v>13.356919652758394</v>
      </c>
      <c r="AD21" s="2">
        <f>+Anual!AD22</f>
        <v>0</v>
      </c>
      <c r="AE21" s="2">
        <f>+Anual!AE22</f>
        <v>7.5824592494432339E-2</v>
      </c>
      <c r="AF21" s="2">
        <f>+Anual!AF22</f>
        <v>0</v>
      </c>
      <c r="AG21" s="2">
        <f>+E21</f>
        <v>50.534440591242799</v>
      </c>
      <c r="AH21" s="2">
        <f>+Anual!AH22</f>
        <v>0</v>
      </c>
      <c r="AI21" s="2">
        <f>+Anual!AI22</f>
        <v>269846.91750127089</v>
      </c>
      <c r="AJ21" s="2">
        <f>(+Anual!AJ22)*100</f>
        <v>44.574828370174401</v>
      </c>
      <c r="AK21" s="2">
        <f>+Anual!AK22</f>
        <v>0</v>
      </c>
    </row>
    <row r="22" spans="1:41" x14ac:dyDescent="0.25">
      <c r="A22">
        <f>+Anual!A23</f>
        <v>2020</v>
      </c>
      <c r="B22" s="2">
        <f>+Anual!B23</f>
        <v>44519.085780271707</v>
      </c>
      <c r="C22" s="2">
        <f>+Anual!C23</f>
        <v>4260.8116036831416</v>
      </c>
      <c r="D22" s="2">
        <f>+Anual!D23</f>
        <v>56.475528231409363</v>
      </c>
      <c r="E22" s="2">
        <f>+Anual!E23</f>
        <v>69.098022301437283</v>
      </c>
      <c r="F22" s="2">
        <f t="shared" si="0"/>
        <v>12.622494070027919</v>
      </c>
      <c r="G22" s="2">
        <f>+Anual!G23</f>
        <v>26.224424971314313</v>
      </c>
      <c r="H22" s="2">
        <f>+Anual!H23</f>
        <v>110.00935986039497</v>
      </c>
      <c r="I22" s="2">
        <f>+Anual!I23</f>
        <v>-7.5872523336652939</v>
      </c>
      <c r="J22" s="2">
        <f>+Anual!J23</f>
        <v>13816.550838843703</v>
      </c>
      <c r="K22" s="2">
        <f>+Anual!K23</f>
        <v>30702.534941427999</v>
      </c>
      <c r="L22" s="2">
        <f>+Anual!L23</f>
        <v>31.035118077304279</v>
      </c>
      <c r="M22" s="2">
        <f>+Anual!M23</f>
        <v>68.96488192269571</v>
      </c>
      <c r="N22" s="2">
        <f>+Anual!N23</f>
        <v>16.485051868065334</v>
      </c>
      <c r="O22" s="2">
        <f>+Anual!O23</f>
        <v>71.38600832817869</v>
      </c>
      <c r="P22" s="2">
        <f>+Anual!P23</f>
        <v>3.6188481903479506</v>
      </c>
      <c r="Q22" s="2">
        <f>+Anual!Q23</f>
        <v>3.5392335301602964</v>
      </c>
      <c r="R22" s="2">
        <f>+Anual!R23</f>
        <v>0</v>
      </c>
      <c r="S22" s="2">
        <f>+Anual!S23</f>
        <v>4.9708580832477312</v>
      </c>
      <c r="T22" s="2">
        <f>+Anual!T23</f>
        <v>0</v>
      </c>
      <c r="U22" s="2">
        <f>+Anual!U23</f>
        <v>21.439098524148928</v>
      </c>
      <c r="V22" s="2">
        <f>+Anual!V23</f>
        <v>6.3371841216460307</v>
      </c>
      <c r="W22" s="2">
        <f>+Anual!W23</f>
        <v>72.223717354205036</v>
      </c>
      <c r="X22" s="2">
        <f>+Anual!X23</f>
        <v>12478.037858738695</v>
      </c>
      <c r="Y22" s="2">
        <f>+Anual!Y23</f>
        <v>32041.047921533012</v>
      </c>
      <c r="Z22" s="2">
        <f>+Anual!Z23</f>
        <v>28.028513254574161</v>
      </c>
      <c r="AA22" s="2">
        <f>+Anual!AA23</f>
        <v>71.971486745425835</v>
      </c>
      <c r="AB22" s="2">
        <f>+Anual!AB23</f>
        <v>86.746328998539951</v>
      </c>
      <c r="AC22" s="2">
        <f>+Anual!AC23</f>
        <v>13.197199430704801</v>
      </c>
      <c r="AD22" s="2">
        <f>+Anual!AD23</f>
        <v>0</v>
      </c>
      <c r="AE22" s="2">
        <f>+Anual!AE23</f>
        <v>5.6471570755257675E-2</v>
      </c>
      <c r="AF22" s="2">
        <f>+Anual!AF23</f>
        <v>0</v>
      </c>
      <c r="AG22" s="2">
        <f>+Anual!AG23</f>
        <v>68.400000000000006</v>
      </c>
      <c r="AH22" s="2">
        <f>+Anual!AH23</f>
        <v>0</v>
      </c>
      <c r="AI22" s="2">
        <f>+Anual!AI23</f>
        <v>392875.11119685986</v>
      </c>
      <c r="AJ22" s="2">
        <f>+Anual!AJ23</f>
        <v>0.71353334202828245</v>
      </c>
      <c r="AK22" s="2">
        <f>+Anual!AK23</f>
        <v>0</v>
      </c>
      <c r="AL22" s="14"/>
    </row>
    <row r="23" spans="1:41" x14ac:dyDescent="0.25">
      <c r="A23">
        <f>+Anual!A24</f>
        <v>2021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>
        <f>+Anual!AF24</f>
        <v>77.433666000000002</v>
      </c>
      <c r="AG23" s="2">
        <f>+Anual!AG24</f>
        <v>69.099999999999994</v>
      </c>
      <c r="AH23" s="2">
        <f>+Anual!AH24</f>
        <v>0</v>
      </c>
      <c r="AI23" s="2">
        <f>+Anual!AI24</f>
        <v>0</v>
      </c>
      <c r="AJ23" s="2">
        <f>+Anual!AJ24</f>
        <v>0</v>
      </c>
      <c r="AK23" s="2">
        <f>+Anual!AK24</f>
        <v>0</v>
      </c>
    </row>
    <row r="24" spans="1:41" x14ac:dyDescent="0.25">
      <c r="A24">
        <f>+Anual!A25</f>
        <v>2022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>
        <f>+Anual!AF25</f>
        <v>203.83066666666664</v>
      </c>
      <c r="AG24" s="2">
        <f>+Anual!AG25</f>
        <v>71.2</v>
      </c>
      <c r="AH24" s="2">
        <f>+Anual!AH25</f>
        <v>0</v>
      </c>
      <c r="AI24" s="2">
        <f>+Anual!AI25</f>
        <v>0</v>
      </c>
      <c r="AJ24" s="2">
        <f>+Anual!AJ25</f>
        <v>0</v>
      </c>
      <c r="AK24" s="2">
        <f>+Anual!AK25</f>
        <v>0</v>
      </c>
      <c r="AL24" s="14"/>
    </row>
    <row r="25" spans="1:41" x14ac:dyDescent="0.25">
      <c r="A25">
        <f>+Anual!A26</f>
        <v>2023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>
        <f>+Anual!AF26</f>
        <v>892.14362866666659</v>
      </c>
      <c r="AG25" s="2">
        <f>+Anual!AG26</f>
        <v>69.8</v>
      </c>
      <c r="AH25" s="2">
        <f>+Anual!AH26</f>
        <v>0</v>
      </c>
      <c r="AI25" s="2">
        <f>+Anual!AI26</f>
        <v>0</v>
      </c>
      <c r="AJ25" s="2">
        <f>+Anual!AJ26</f>
        <v>0</v>
      </c>
      <c r="AK25" s="2">
        <f>+Anual!AK26</f>
        <v>0</v>
      </c>
    </row>
    <row r="26" spans="1:41" x14ac:dyDescent="0.25">
      <c r="A26">
        <f>+Anual!A27</f>
        <v>2024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>
        <f>+Anual!AF27</f>
        <v>482.78966666666668</v>
      </c>
      <c r="AG26" s="2">
        <f>+Anual!AG27</f>
        <v>68.5</v>
      </c>
      <c r="AH26" s="2">
        <f>+Anual!AH27</f>
        <v>0</v>
      </c>
      <c r="AI26" s="2">
        <f>+Anual!AI27</f>
        <v>0</v>
      </c>
      <c r="AJ26" s="2">
        <f>+Anual!AJ27</f>
        <v>0</v>
      </c>
      <c r="AK26" s="2">
        <f>+Anual!AK27</f>
        <v>0</v>
      </c>
    </row>
    <row r="27" spans="1:41" x14ac:dyDescent="0.25">
      <c r="A27">
        <f>+Anual!A28</f>
        <v>2025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>
        <f>+Anual!AF28</f>
        <v>1372.202</v>
      </c>
      <c r="AG27" s="2">
        <f>+Anual!AG28</f>
        <v>67.099999999999994</v>
      </c>
      <c r="AH27" s="2"/>
      <c r="AI27" s="2"/>
      <c r="AJ27" s="2"/>
      <c r="AK27" s="2"/>
    </row>
    <row r="28" spans="1:41" x14ac:dyDescent="0.25">
      <c r="A28">
        <f>+Anual!A29</f>
        <v>2026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>
        <f>+Anual!AF29</f>
        <v>2770.527814</v>
      </c>
      <c r="AG28" s="2"/>
      <c r="AH28" s="2"/>
      <c r="AI28" s="2"/>
      <c r="AJ28" s="2"/>
      <c r="AK28" s="2"/>
      <c r="AL28" s="1"/>
      <c r="AM28" s="1"/>
      <c r="AN28" s="1"/>
      <c r="AO28" s="1"/>
    </row>
    <row r="29" spans="1:41" x14ac:dyDescent="0.25">
      <c r="A29">
        <f>+Anual!A30</f>
        <v>2027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f>+Anual!AF30</f>
        <v>1800</v>
      </c>
      <c r="AG29" s="2"/>
      <c r="AH29" s="2"/>
      <c r="AI29" s="2"/>
      <c r="AJ29" s="2"/>
      <c r="AK29" s="2"/>
      <c r="AL29" s="1"/>
      <c r="AM29" s="1"/>
      <c r="AN29" s="1"/>
      <c r="AO29" s="1"/>
    </row>
    <row r="30" spans="1:41" x14ac:dyDescent="0.25">
      <c r="A30">
        <f>+Anual!A31</f>
        <v>2028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>
        <f>+Anual!AF31</f>
        <v>1300</v>
      </c>
      <c r="AG30" s="2"/>
      <c r="AH30" s="2"/>
      <c r="AI30" s="2"/>
      <c r="AJ30" s="2"/>
      <c r="AK30" s="2"/>
    </row>
    <row r="31" spans="1:41" x14ac:dyDescent="0.25">
      <c r="A31">
        <f>+Anual!A32</f>
        <v>2029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>
        <f>+Anual!AF32</f>
        <v>0</v>
      </c>
      <c r="AG31" s="2"/>
      <c r="AH31" s="2"/>
      <c r="AI31" s="2"/>
      <c r="AJ31" s="2"/>
      <c r="AK31" s="2"/>
    </row>
    <row r="32" spans="1:41" x14ac:dyDescent="0.25">
      <c r="A32">
        <f>+Anual!A33</f>
        <v>2030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f>+Anual!AF33</f>
        <v>2000</v>
      </c>
      <c r="AG32" s="2"/>
      <c r="AH32" s="2"/>
      <c r="AI32" s="2"/>
      <c r="AJ32" s="2"/>
      <c r="AK32" s="2"/>
    </row>
    <row r="33" spans="1:37" x14ac:dyDescent="0.25">
      <c r="A33">
        <f>+Anual!A34</f>
        <v>2031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f>+Anual!AF34</f>
        <v>0</v>
      </c>
      <c r="AG33" s="2"/>
      <c r="AH33" s="2"/>
      <c r="AI33" s="2"/>
      <c r="AJ33" s="2"/>
      <c r="AK33" s="2"/>
    </row>
    <row r="34" spans="1:37" x14ac:dyDescent="0.25">
      <c r="A34">
        <f>+Anual!A35</f>
        <v>2032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f>+Anual!AF35</f>
        <v>3066</v>
      </c>
      <c r="AG34" s="2"/>
      <c r="AH34" s="2"/>
      <c r="AI34" s="2"/>
      <c r="AJ34" s="2"/>
      <c r="AK34" s="2"/>
    </row>
    <row r="35" spans="1:37" x14ac:dyDescent="0.25">
      <c r="A35" t="str">
        <f>+Anual!A36</f>
        <v>2033-2040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f>+Anual!AF36</f>
        <v>0</v>
      </c>
      <c r="AG35" s="2"/>
      <c r="AH35" s="2"/>
      <c r="AI35" s="2"/>
      <c r="AJ35" s="2"/>
      <c r="AK35" s="2"/>
    </row>
    <row r="36" spans="1:37" x14ac:dyDescent="0.25">
      <c r="A36">
        <f>+Anual!A37</f>
        <v>2041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>
        <f>+Anual!AF37</f>
        <v>1500</v>
      </c>
      <c r="AG36" s="2"/>
      <c r="AH36" s="2"/>
      <c r="AI36" s="2"/>
      <c r="AJ36" s="2"/>
      <c r="AK36" s="2"/>
    </row>
    <row r="37" spans="1:37" x14ac:dyDescent="0.25">
      <c r="A37" t="str">
        <f>+Anual!A38</f>
        <v>2042-2043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>
        <f>+Anual!AF38</f>
        <v>0</v>
      </c>
      <c r="AG37" s="2"/>
      <c r="AH37" s="2"/>
      <c r="AI37" s="2"/>
      <c r="AJ37" s="2"/>
      <c r="AK37" s="2"/>
    </row>
    <row r="38" spans="1:37" x14ac:dyDescent="0.25">
      <c r="A38">
        <f>+Anual!A39</f>
        <v>2044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f>+Anual!AF39</f>
        <v>1500</v>
      </c>
      <c r="AG38" s="2"/>
      <c r="AH38" s="2"/>
      <c r="AI38" s="2"/>
      <c r="AJ38" s="2"/>
      <c r="AK38" s="2"/>
    </row>
    <row r="39" spans="1:37" x14ac:dyDescent="0.25">
      <c r="A39">
        <f>+Anual!A40</f>
        <v>2045</v>
      </c>
      <c r="AF39" s="2">
        <f>+Anual!AF40</f>
        <v>2000</v>
      </c>
    </row>
    <row r="40" spans="1:37" x14ac:dyDescent="0.25">
      <c r="A40" t="str">
        <f>+Anual!A41</f>
        <v>2046-2047</v>
      </c>
      <c r="AF40" s="2">
        <f>+Anual!AF41</f>
        <v>0</v>
      </c>
    </row>
    <row r="41" spans="1:37" x14ac:dyDescent="0.25">
      <c r="A41">
        <f>+Anual!A42</f>
        <v>2048</v>
      </c>
      <c r="AF41" s="2">
        <f>+Anual!AF42</f>
        <v>1000</v>
      </c>
    </row>
    <row r="42" spans="1:37" x14ac:dyDescent="0.25">
      <c r="A42">
        <f>+Anual!A43</f>
        <v>2049</v>
      </c>
      <c r="AF42" s="2">
        <f>+Anual!AF43</f>
        <v>1500</v>
      </c>
    </row>
    <row r="43" spans="1:37" x14ac:dyDescent="0.25">
      <c r="A43" t="str">
        <f>+Anual!A44</f>
        <v>2050-2059</v>
      </c>
      <c r="AF43" s="2">
        <f>+Anual!AF44</f>
        <v>0</v>
      </c>
    </row>
    <row r="44" spans="1:37" x14ac:dyDescent="0.25">
      <c r="A44">
        <f>+Anual!A45</f>
        <v>2060</v>
      </c>
      <c r="AF44" s="2">
        <f>+Anual!AF45</f>
        <v>3200</v>
      </c>
    </row>
    <row r="45" spans="1:37" x14ac:dyDescent="0.25">
      <c r="AF45" s="2"/>
    </row>
    <row r="46" spans="1:37" x14ac:dyDescent="0.25">
      <c r="AF46" s="2"/>
    </row>
    <row r="47" spans="1:37" x14ac:dyDescent="0.25">
      <c r="AF47" s="2"/>
    </row>
    <row r="48" spans="1:37" x14ac:dyDescent="0.25">
      <c r="AF48" s="2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E0C0-7AFE-4B65-80E2-3B9012C464AB}">
  <dimension ref="A1:I38"/>
  <sheetViews>
    <sheetView tabSelected="1" workbookViewId="0">
      <pane xSplit="2" ySplit="1" topLeftCell="C1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5" x14ac:dyDescent="0.25"/>
  <cols>
    <col min="2" max="2" width="28.85546875" bestFit="1" customWidth="1"/>
    <col min="3" max="4" width="30.85546875" bestFit="1" customWidth="1"/>
    <col min="5" max="5" width="33.28515625" bestFit="1" customWidth="1"/>
  </cols>
  <sheetData>
    <row r="1" spans="1:9" x14ac:dyDescent="0.25">
      <c r="A1" s="62" t="s">
        <v>153</v>
      </c>
      <c r="B1" s="65" t="s">
        <v>117</v>
      </c>
      <c r="C1" s="47" t="s">
        <v>118</v>
      </c>
      <c r="D1" s="47" t="s">
        <v>119</v>
      </c>
      <c r="E1" t="s">
        <v>120</v>
      </c>
    </row>
    <row r="2" spans="1:9" x14ac:dyDescent="0.25">
      <c r="A2" t="s">
        <v>137</v>
      </c>
      <c r="B2" t="s">
        <v>109</v>
      </c>
      <c r="C2" s="13">
        <f>+'[28]Deuda América Latina y el Carib'!H31</f>
        <v>82.295000000000002</v>
      </c>
      <c r="D2" s="13">
        <f>+'[28]Deuda América Latina y el Carib'!I31</f>
        <v>145.268</v>
      </c>
      <c r="E2" s="13">
        <f>+D2-C2</f>
        <v>62.972999999999999</v>
      </c>
    </row>
    <row r="3" spans="1:9" x14ac:dyDescent="0.25">
      <c r="A3" t="s">
        <v>124</v>
      </c>
      <c r="B3" s="70" t="s">
        <v>90</v>
      </c>
      <c r="C3" s="13">
        <f>+'[28]Deuda América Latina y el Carib'!H7</f>
        <v>105.081</v>
      </c>
      <c r="D3" s="13">
        <f>+'[28]Deuda América Latina y el Carib'!I7</f>
        <v>134.60900000000001</v>
      </c>
      <c r="E3" s="13">
        <f>+D3-C3</f>
        <v>29.528000000000006</v>
      </c>
      <c r="G3" s="13"/>
      <c r="H3" s="13"/>
      <c r="I3" s="13"/>
    </row>
    <row r="4" spans="1:9" x14ac:dyDescent="0.25">
      <c r="A4" t="s">
        <v>136</v>
      </c>
      <c r="B4" t="s">
        <v>89</v>
      </c>
      <c r="C4" s="13">
        <f>+'[28]Deuda América Latina y el Carib'!H6</f>
        <v>122.22199999999999</v>
      </c>
      <c r="D4" s="13">
        <f>+'[28]Deuda América Latina y el Carib'!I6</f>
        <v>134.09399999999999</v>
      </c>
      <c r="E4" s="13">
        <f>+D4-C4</f>
        <v>11.872</v>
      </c>
      <c r="G4" s="13"/>
      <c r="H4" s="13">
        <f>+AVERAGE(D2:D33)</f>
        <v>76.083249999999992</v>
      </c>
      <c r="I4" s="13"/>
    </row>
    <row r="5" spans="1:9" x14ac:dyDescent="0.25">
      <c r="A5" t="s">
        <v>135</v>
      </c>
      <c r="B5" t="s">
        <v>88</v>
      </c>
      <c r="C5" s="13">
        <f>+'[28]Deuda América Latina y el Carib'!H4</f>
        <v>81.286000000000001</v>
      </c>
      <c r="D5" s="13">
        <f>+'[28]Deuda América Latina y el Carib'!I4</f>
        <v>127.142</v>
      </c>
      <c r="E5" s="13">
        <f>+D5-C5</f>
        <v>45.855999999999995</v>
      </c>
    </row>
    <row r="6" spans="1:9" x14ac:dyDescent="0.25">
      <c r="A6" t="s">
        <v>121</v>
      </c>
      <c r="B6" t="s">
        <v>86</v>
      </c>
      <c r="C6" s="13">
        <f>+'[28]Deuda América Latina y el Carib'!H2</f>
        <v>84.468000000000004</v>
      </c>
      <c r="D6" s="13">
        <f>+'[28]Deuda América Latina y el Carib'!I2</f>
        <v>113.687</v>
      </c>
      <c r="E6" s="13">
        <f>+D6-C6</f>
        <v>29.218999999999994</v>
      </c>
    </row>
    <row r="7" spans="1:9" x14ac:dyDescent="0.25">
      <c r="A7" t="s">
        <v>123</v>
      </c>
      <c r="B7" t="s">
        <v>92</v>
      </c>
      <c r="C7" s="13">
        <f>+'[28]Deuda América Latina y el Carib'!H9</f>
        <v>89.471000000000004</v>
      </c>
      <c r="D7" s="13">
        <f>+'[28]Deuda América Latina y el Carib'!I9</f>
        <v>101.399</v>
      </c>
      <c r="E7" s="13">
        <f>+D7-C7</f>
        <v>11.927999999999997</v>
      </c>
    </row>
    <row r="8" spans="1:9" x14ac:dyDescent="0.25">
      <c r="A8" t="s">
        <v>131</v>
      </c>
      <c r="B8" t="s">
        <v>103</v>
      </c>
      <c r="C8" s="13">
        <f>+'[28]Deuda América Latina y el Carib'!H22</f>
        <v>93.861000000000004</v>
      </c>
      <c r="D8" s="13">
        <f>+'[28]Deuda América Latina y el Carib'!I22</f>
        <v>101.334</v>
      </c>
      <c r="E8" s="13">
        <f>+D8-C8</f>
        <v>7.472999999999999</v>
      </c>
    </row>
    <row r="9" spans="1:9" x14ac:dyDescent="0.25">
      <c r="A9" t="s">
        <v>125</v>
      </c>
      <c r="B9" t="s">
        <v>87</v>
      </c>
      <c r="C9" s="13">
        <f>+'[28]Deuda América Latina y el Carib'!H3</f>
        <v>90.382000000000005</v>
      </c>
      <c r="D9" s="13">
        <f>+'[28]Deuda América Latina y el Carib'!I3</f>
        <v>96.692999999999998</v>
      </c>
      <c r="E9" s="13">
        <f>+D9-C9</f>
        <v>6.3109999999999928</v>
      </c>
    </row>
    <row r="10" spans="1:9" x14ac:dyDescent="0.25">
      <c r="A10" t="s">
        <v>140</v>
      </c>
      <c r="B10" t="s">
        <v>96</v>
      </c>
      <c r="C10" s="13">
        <f>+'[28]Deuda América Latina y el Carib'!H13</f>
        <v>85.718000000000004</v>
      </c>
      <c r="D10" s="13">
        <f>+'[28]Deuda América Latina y el Carib'!I13</f>
        <v>90.757999999999996</v>
      </c>
      <c r="E10" s="13">
        <f>+D10-C10</f>
        <v>5.039999999999992</v>
      </c>
    </row>
    <row r="11" spans="1:9" x14ac:dyDescent="0.25">
      <c r="A11" t="s">
        <v>141</v>
      </c>
      <c r="B11" s="70" t="s">
        <v>98</v>
      </c>
      <c r="C11" s="13">
        <f>+'[28]Deuda América Latina y el Carib'!H16</f>
        <v>69.402000000000001</v>
      </c>
      <c r="D11" s="13">
        <f>+'[28]Deuda América Latina y el Carib'!I16</f>
        <v>88.986999999999995</v>
      </c>
      <c r="E11" s="13">
        <f>+D11-C11</f>
        <v>19.584999999999994</v>
      </c>
    </row>
    <row r="12" spans="1:9" x14ac:dyDescent="0.25">
      <c r="A12" t="s">
        <v>150</v>
      </c>
      <c r="B12" t="s">
        <v>108</v>
      </c>
      <c r="C12" s="13">
        <f>+'[28]Deuda América Latina y el Carib'!H30</f>
        <v>75.195999999999998</v>
      </c>
      <c r="D12" s="13">
        <f>+'[28]Deuda América Latina y el Carib'!I30</f>
        <v>87.927000000000007</v>
      </c>
      <c r="E12" s="13">
        <f>+D12-C12</f>
        <v>12.731000000000009</v>
      </c>
    </row>
    <row r="13" spans="1:9" x14ac:dyDescent="0.25">
      <c r="A13" t="s">
        <v>149</v>
      </c>
      <c r="B13" t="s">
        <v>107</v>
      </c>
      <c r="C13" s="13">
        <f>+'[28]Deuda América Latina y el Carib'!H29</f>
        <v>61.320999999999998</v>
      </c>
      <c r="D13" s="13">
        <f>+'[28]Deuda América Latina y el Carib'!I29</f>
        <v>85.096000000000004</v>
      </c>
      <c r="E13" s="13">
        <f>+D13-C13</f>
        <v>23.775000000000006</v>
      </c>
    </row>
    <row r="14" spans="1:9" x14ac:dyDescent="0.25">
      <c r="A14" t="s">
        <v>142</v>
      </c>
      <c r="B14" t="s">
        <v>99</v>
      </c>
      <c r="C14" s="13">
        <f>+'[28]Deuda América Latina y el Carib'!H17</f>
        <v>59.079000000000001</v>
      </c>
      <c r="D14" s="13">
        <f>+'[28]Deuda América Latina y el Carib'!I17</f>
        <v>71.495999999999995</v>
      </c>
      <c r="E14" s="13">
        <f>+D14-C14</f>
        <v>12.416999999999994</v>
      </c>
    </row>
    <row r="15" spans="1:9" x14ac:dyDescent="0.25">
      <c r="A15" t="s">
        <v>139</v>
      </c>
      <c r="B15" t="s">
        <v>95</v>
      </c>
      <c r="C15" s="13">
        <f>+'[28]Deuda América Latina y el Carib'!H12</f>
        <v>58.38</v>
      </c>
      <c r="D15" s="13">
        <f>+'[28]Deuda América Latina y el Carib'!I12</f>
        <v>70.052000000000007</v>
      </c>
      <c r="E15" s="13">
        <f>+D15-C15</f>
        <v>11.672000000000004</v>
      </c>
    </row>
    <row r="16" spans="1:9" x14ac:dyDescent="0.25">
      <c r="A16" t="s">
        <v>152</v>
      </c>
      <c r="B16" t="s">
        <v>111</v>
      </c>
      <c r="C16" s="13">
        <f>+'[28]Deuda América Latina y el Carib'!H33</f>
        <v>65.911000000000001</v>
      </c>
      <c r="D16" s="13">
        <f>+'[28]Deuda América Latina y el Carib'!I33</f>
        <v>69.495999999999995</v>
      </c>
      <c r="E16" s="13">
        <f>+D16-C16</f>
        <v>3.5849999999999937</v>
      </c>
    </row>
    <row r="17" spans="1:5" x14ac:dyDescent="0.25">
      <c r="A17" t="s">
        <v>126</v>
      </c>
      <c r="B17" t="s">
        <v>91</v>
      </c>
      <c r="C17" s="13">
        <f>+'[28]Deuda América Latina y el Carib'!H8</f>
        <v>59</v>
      </c>
      <c r="D17" s="13">
        <f>+'[28]Deuda América Latina y el Carib'!I8</f>
        <v>69.447000000000003</v>
      </c>
      <c r="E17" s="13">
        <f>+D17-C17</f>
        <v>10.447000000000003</v>
      </c>
    </row>
    <row r="18" spans="1:5" x14ac:dyDescent="0.25">
      <c r="A18" t="s">
        <v>148</v>
      </c>
      <c r="B18" t="s">
        <v>106</v>
      </c>
      <c r="C18" s="13">
        <f>+'[28]Deuda América Latina y el Carib'!H28</f>
        <v>56.22</v>
      </c>
      <c r="D18" s="13">
        <f>+'[28]Deuda América Latina y el Carib'!I28</f>
        <v>69.069000000000003</v>
      </c>
      <c r="E18" s="13">
        <f>+D18-C18</f>
        <v>12.849000000000004</v>
      </c>
    </row>
    <row r="19" spans="1:5" x14ac:dyDescent="0.25">
      <c r="A19" t="s">
        <v>129</v>
      </c>
      <c r="B19" t="s">
        <v>97</v>
      </c>
      <c r="C19" s="13">
        <f>+'[28]Deuda América Latina y el Carib'!H15</f>
        <v>51.825000000000003</v>
      </c>
      <c r="D19" s="13">
        <f>+'[28]Deuda América Latina y el Carib'!I15</f>
        <v>68.921000000000006</v>
      </c>
      <c r="E19" s="13">
        <f>+D19-C19</f>
        <v>17.096000000000004</v>
      </c>
    </row>
    <row r="20" spans="1:5" x14ac:dyDescent="0.25">
      <c r="A20" t="s">
        <v>128</v>
      </c>
      <c r="B20" s="70" t="s">
        <v>156</v>
      </c>
      <c r="C20" s="13">
        <f>+'[28]Deuda América Latina y el Carib'!H14</f>
        <v>53.758000000000003</v>
      </c>
      <c r="D20" s="69">
        <f>+'[28]Deuda América Latina y el Carib'!I14</f>
        <v>68.771000000000001</v>
      </c>
      <c r="E20" s="13">
        <f>+D20-C20</f>
        <v>15.012999999999998</v>
      </c>
    </row>
    <row r="21" spans="1:5" x14ac:dyDescent="0.25">
      <c r="A21" t="s">
        <v>122</v>
      </c>
      <c r="B21" t="s">
        <v>112</v>
      </c>
      <c r="C21" s="13">
        <f>+'[28]Deuda América Latina y el Carib'!H5</f>
        <v>58.841000000000001</v>
      </c>
      <c r="D21" s="13">
        <f>+'[28]Deuda América Latina y el Carib'!I5</f>
        <v>68.709000000000003</v>
      </c>
      <c r="E21" s="13">
        <f>+D21-C21</f>
        <v>9.8680000000000021</v>
      </c>
    </row>
    <row r="22" spans="1:5" x14ac:dyDescent="0.25">
      <c r="A22" t="s">
        <v>127</v>
      </c>
      <c r="B22" t="s">
        <v>94</v>
      </c>
      <c r="C22" s="13">
        <f>+'[28]Deuda América Latina y el Carib'!H11</f>
        <v>52.284999999999997</v>
      </c>
      <c r="D22" s="13">
        <f>+'[28]Deuda América Latina y el Carib'!I11</f>
        <v>68.230999999999995</v>
      </c>
      <c r="E22" s="13">
        <f>+D22-C22</f>
        <v>15.945999999999998</v>
      </c>
    </row>
    <row r="23" spans="1:5" x14ac:dyDescent="0.25">
      <c r="A23" t="s">
        <v>146</v>
      </c>
      <c r="B23" t="s">
        <v>114</v>
      </c>
      <c r="C23" s="13">
        <f>+'[28]Deuda América Latina y el Carib'!H23</f>
        <v>53.749000000000002</v>
      </c>
      <c r="D23" s="13">
        <f>+'[28]Deuda América Latina y el Carib'!I23</f>
        <v>65.540999999999997</v>
      </c>
      <c r="E23" s="13">
        <f>+D23-C23</f>
        <v>11.791999999999994</v>
      </c>
    </row>
    <row r="24" spans="1:5" x14ac:dyDescent="0.25">
      <c r="A24" t="s">
        <v>151</v>
      </c>
      <c r="B24" t="s">
        <v>110</v>
      </c>
      <c r="C24" s="13">
        <f>+'[28]Deuda América Latina y el Carib'!H32</f>
        <v>45.116</v>
      </c>
      <c r="D24" s="13">
        <f>+'[28]Deuda América Latina y el Carib'!I32</f>
        <v>57.46</v>
      </c>
      <c r="E24" s="13">
        <f>+D24-C24</f>
        <v>12.344000000000001</v>
      </c>
    </row>
    <row r="25" spans="1:5" x14ac:dyDescent="0.25">
      <c r="A25" t="s">
        <v>133</v>
      </c>
      <c r="B25" s="70" t="s">
        <v>115</v>
      </c>
      <c r="C25" s="13">
        <f>+'[28]Deuda América Latina y el Carib'!H25</f>
        <v>41.036999999999999</v>
      </c>
      <c r="D25" s="13">
        <f>+'[28]Deuda América Latina y el Carib'!I25</f>
        <v>54.951000000000001</v>
      </c>
      <c r="E25" s="13">
        <f>+D25-C25</f>
        <v>13.914000000000001</v>
      </c>
    </row>
    <row r="26" spans="1:5" x14ac:dyDescent="0.25">
      <c r="A26" t="s">
        <v>144</v>
      </c>
      <c r="B26" t="s">
        <v>113</v>
      </c>
      <c r="C26" s="13">
        <f>+'[28]Deuda América Latina y el Carib'!H20</f>
        <v>47.686</v>
      </c>
      <c r="D26" s="13">
        <f>+'[28]Deuda América Latina y el Carib'!I20</f>
        <v>54.363</v>
      </c>
      <c r="E26" s="13">
        <f>+D26-C26</f>
        <v>6.6769999999999996</v>
      </c>
    </row>
    <row r="27" spans="1:5" x14ac:dyDescent="0.25">
      <c r="A27" t="s">
        <v>132</v>
      </c>
      <c r="B27" s="70" t="s">
        <v>104</v>
      </c>
      <c r="C27" s="13">
        <f>+'[28]Deuda América Latina y el Carib'!H24</f>
        <v>42.139000000000003</v>
      </c>
      <c r="D27" s="13">
        <f>+'[28]Deuda América Latina y el Carib'!I24</f>
        <v>48.255000000000003</v>
      </c>
      <c r="E27" s="13">
        <f>+D27-C27</f>
        <v>6.1159999999999997</v>
      </c>
    </row>
    <row r="28" spans="1:5" x14ac:dyDescent="0.25">
      <c r="A28" t="s">
        <v>145</v>
      </c>
      <c r="B28" s="70" t="s">
        <v>102</v>
      </c>
      <c r="C28" s="13">
        <f>+'[28]Deuda América Latina y el Carib'!H21</f>
        <v>40.286999999999999</v>
      </c>
      <c r="D28" s="13">
        <f>+'[28]Deuda América Latina y el Carib'!I21</f>
        <v>45.957000000000001</v>
      </c>
      <c r="E28" s="13">
        <f>+D28-C28</f>
        <v>5.6700000000000017</v>
      </c>
    </row>
    <row r="29" spans="1:5" x14ac:dyDescent="0.25">
      <c r="A29" t="s">
        <v>134</v>
      </c>
      <c r="B29" t="s">
        <v>116</v>
      </c>
      <c r="C29" s="13">
        <f>+'[28]Deuda América Latina y el Carib'!H27</f>
        <v>27.122</v>
      </c>
      <c r="D29" s="13">
        <f>+'[28]Deuda América Latina y el Carib'!I27</f>
        <v>39.481999999999999</v>
      </c>
      <c r="E29" s="13">
        <f>+D29-C29</f>
        <v>12.36</v>
      </c>
    </row>
    <row r="30" spans="1:5" x14ac:dyDescent="0.25">
      <c r="A30" t="s">
        <v>130</v>
      </c>
      <c r="B30" t="s">
        <v>101</v>
      </c>
      <c r="C30" s="13">
        <f>+'[28]Deuda América Latina y el Carib'!H19</f>
        <v>39.792000000000002</v>
      </c>
      <c r="D30" s="13">
        <f>+'[28]Deuda América Latina y el Carib'!I19</f>
        <v>36.981000000000002</v>
      </c>
      <c r="E30" s="13">
        <f>+D30-C30</f>
        <v>-2.8109999999999999</v>
      </c>
    </row>
    <row r="31" spans="1:5" x14ac:dyDescent="0.25">
      <c r="A31" t="s">
        <v>147</v>
      </c>
      <c r="B31" t="s">
        <v>105</v>
      </c>
      <c r="C31" s="13">
        <f>+'[28]Deuda América Latina y el Carib'!H26</f>
        <v>26.106999999999999</v>
      </c>
      <c r="D31" s="13">
        <f>+'[28]Deuda América Latina y el Carib'!I26</f>
        <v>35.453000000000003</v>
      </c>
      <c r="E31" s="13">
        <f>+D31-C31</f>
        <v>9.3460000000000036</v>
      </c>
    </row>
    <row r="32" spans="1:5" x14ac:dyDescent="0.25">
      <c r="A32" t="s">
        <v>138</v>
      </c>
      <c r="B32" t="s">
        <v>93</v>
      </c>
      <c r="C32" s="13">
        <f>+'[28]Deuda América Latina y el Carib'!H10</f>
        <v>27.907</v>
      </c>
      <c r="D32" s="13">
        <f>+'[28]Deuda América Latina y el Carib'!I10</f>
        <v>32.805999999999997</v>
      </c>
      <c r="E32" s="13">
        <f>+D32-C32</f>
        <v>4.8989999999999974</v>
      </c>
    </row>
    <row r="33" spans="1:5" x14ac:dyDescent="0.25">
      <c r="A33" t="s">
        <v>143</v>
      </c>
      <c r="B33" s="70" t="s">
        <v>100</v>
      </c>
      <c r="C33" s="13">
        <f>+'[28]Deuda América Latina y el Carib'!H18</f>
        <v>26.591000000000001</v>
      </c>
      <c r="D33" s="13">
        <f>+'[28]Deuda América Latina y el Carib'!I18</f>
        <v>32.228999999999999</v>
      </c>
      <c r="E33" s="13">
        <f>+D33-C33</f>
        <v>5.6379999999999981</v>
      </c>
    </row>
    <row r="34" spans="1:5" x14ac:dyDescent="0.25">
      <c r="A34" t="s">
        <v>154</v>
      </c>
      <c r="B34" t="s">
        <v>155</v>
      </c>
      <c r="C34">
        <v>0</v>
      </c>
      <c r="D34">
        <v>0</v>
      </c>
      <c r="E34">
        <v>0</v>
      </c>
    </row>
    <row r="38" spans="1:5" x14ac:dyDescent="0.25">
      <c r="D38" s="13"/>
    </row>
  </sheetData>
  <autoFilter ref="A1:E34" xr:uid="{51352FB9-29FD-4B0A-97B4-E3C3C062312E}">
    <sortState ref="A2:E34">
      <sortCondition descending="1" ref="D1:D34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Trimestral</vt:lpstr>
      <vt:lpstr>Anual</vt:lpstr>
      <vt:lpstr>GSPNF</vt:lpstr>
      <vt:lpstr>Descomposición</vt:lpstr>
      <vt:lpstr>Gráficos</vt:lpstr>
      <vt:lpstr>Aumento SPNF</vt:lpstr>
      <vt:lpstr>Descom</vt:lpstr>
      <vt:lpstr>Data anual</vt:lpstr>
      <vt:lpstr>Internacional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 Jesus Diaz Ferreiras</dc:creator>
  <cp:lastModifiedBy>Valeria Gonzalez Jimenez</cp:lastModifiedBy>
  <cp:lastPrinted>2020-02-18T14:07:57Z</cp:lastPrinted>
  <dcterms:created xsi:type="dcterms:W3CDTF">2019-07-19T15:22:32Z</dcterms:created>
  <dcterms:modified xsi:type="dcterms:W3CDTF">2021-04-08T16:42:37Z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v.diaz@bancentral.gov.do</vt:lpwstr>
  </property>
  <property fmtid="{D5CDD505-2E9C-101B-9397-08002B2CF9AE}" pid="5" name="MSIP_Label_b374117e-0e4c-4686-a7d7-10af5af37635_SetDate">
    <vt:lpwstr>2019-07-19T15:22:34.5746615Z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