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bvctl/Documents/coding/joeWeb/resources/"/>
    </mc:Choice>
  </mc:AlternateContent>
  <xr:revisionPtr revIDLastSave="0" documentId="13_ncr:1_{043B83D8-831A-F14A-8504-B2EA6840F5E7}" xr6:coauthVersionLast="47" xr6:coauthVersionMax="47" xr10:uidLastSave="{00000000-0000-0000-0000-000000000000}"/>
  <bookViews>
    <workbookView xWindow="-22440" yWindow="11860" windowWidth="19420" windowHeight="16360" tabRatio="773" xr2:uid="{5DD43760-6828-4818-B3E4-A269271CC715}"/>
  </bookViews>
  <sheets>
    <sheet name="Personal AUM" sheetId="4" r:id="rId1"/>
    <sheet name="Personal Monthly Activity" sheetId="16" r:id="rId2"/>
    <sheet name="Baseshop Monthly Activity" sheetId="14" r:id="rId3"/>
    <sheet name="Background Information" sheetId="2" r:id="rId4"/>
  </sheets>
  <definedNames>
    <definedName name="Agentlevels">'Background Information'!$A$4:$B$10</definedName>
    <definedName name="bonusrate">'Background Information'!$F$4:$H$7</definedName>
    <definedName name="bonusrate2">'Background Information'!$F$11:$H$15</definedName>
    <definedName name="Salescharge">'Background Information'!$A$13:$B$15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4" l="1"/>
  <c r="R45" i="14"/>
  <c r="O45" i="14"/>
  <c r="K45" i="14"/>
  <c r="G45" i="14"/>
  <c r="V44" i="14"/>
  <c r="R44" i="14"/>
  <c r="O44" i="14"/>
  <c r="K44" i="14"/>
  <c r="G44" i="14"/>
  <c r="W43" i="14"/>
  <c r="X43" i="14" s="1"/>
  <c r="R43" i="14"/>
  <c r="O43" i="14"/>
  <c r="K43" i="14"/>
  <c r="G43" i="14"/>
  <c r="R42" i="14"/>
  <c r="O42" i="14"/>
  <c r="K42" i="14"/>
  <c r="G42" i="14"/>
  <c r="V41" i="14"/>
  <c r="V42" i="14" s="1"/>
  <c r="R41" i="14"/>
  <c r="O41" i="14"/>
  <c r="K41" i="14"/>
  <c r="G41" i="14"/>
  <c r="W40" i="14"/>
  <c r="X40" i="14" s="1"/>
  <c r="R40" i="14"/>
  <c r="O40" i="14"/>
  <c r="K40" i="14"/>
  <c r="G40" i="14"/>
  <c r="R39" i="14"/>
  <c r="O39" i="14"/>
  <c r="K39" i="14"/>
  <c r="G39" i="14"/>
  <c r="V38" i="14"/>
  <c r="V39" i="14" s="1"/>
  <c r="R38" i="14"/>
  <c r="O38" i="14"/>
  <c r="K38" i="14"/>
  <c r="G38" i="14"/>
  <c r="W37" i="14"/>
  <c r="X37" i="14" s="1"/>
  <c r="R37" i="14"/>
  <c r="O37" i="14"/>
  <c r="K37" i="14"/>
  <c r="G37" i="14"/>
  <c r="R36" i="14"/>
  <c r="O36" i="14"/>
  <c r="K36" i="14"/>
  <c r="G36" i="14"/>
  <c r="V35" i="14"/>
  <c r="V36" i="14" s="1"/>
  <c r="R35" i="14"/>
  <c r="O35" i="14"/>
  <c r="K35" i="14"/>
  <c r="G35" i="14"/>
  <c r="W34" i="14"/>
  <c r="X34" i="14" s="1"/>
  <c r="R34" i="14"/>
  <c r="O34" i="14"/>
  <c r="K34" i="14"/>
  <c r="G34" i="14"/>
  <c r="R33" i="14"/>
  <c r="O33" i="14"/>
  <c r="K33" i="14"/>
  <c r="G33" i="14"/>
  <c r="V32" i="14"/>
  <c r="V33" i="14" s="1"/>
  <c r="R32" i="14"/>
  <c r="O32" i="14"/>
  <c r="K32" i="14"/>
  <c r="G32" i="14"/>
  <c r="W31" i="14"/>
  <c r="X31" i="14" s="1"/>
  <c r="R31" i="14"/>
  <c r="O31" i="14"/>
  <c r="K31" i="14"/>
  <c r="G31" i="14"/>
  <c r="R30" i="14"/>
  <c r="O30" i="14"/>
  <c r="K30" i="14"/>
  <c r="G30" i="14"/>
  <c r="V29" i="14"/>
  <c r="V30" i="14" s="1"/>
  <c r="R29" i="14"/>
  <c r="O29" i="14"/>
  <c r="K29" i="14"/>
  <c r="G29" i="14"/>
  <c r="W28" i="14"/>
  <c r="X28" i="14" s="1"/>
  <c r="R28" i="14"/>
  <c r="O28" i="14"/>
  <c r="K28" i="14"/>
  <c r="G28" i="14"/>
  <c r="R27" i="14"/>
  <c r="O27" i="14"/>
  <c r="K27" i="14"/>
  <c r="G27" i="14"/>
  <c r="V26" i="14"/>
  <c r="V27" i="14" s="1"/>
  <c r="R26" i="14"/>
  <c r="O26" i="14"/>
  <c r="K26" i="14"/>
  <c r="G26" i="14"/>
  <c r="X25" i="14"/>
  <c r="W25" i="14"/>
  <c r="R25" i="14"/>
  <c r="O25" i="14"/>
  <c r="K25" i="14"/>
  <c r="G25" i="14"/>
  <c r="R24" i="14"/>
  <c r="O24" i="14"/>
  <c r="K24" i="14"/>
  <c r="G24" i="14"/>
  <c r="V23" i="14"/>
  <c r="V24" i="14" s="1"/>
  <c r="R23" i="14"/>
  <c r="O23" i="14"/>
  <c r="K23" i="14"/>
  <c r="G23" i="14"/>
  <c r="W22" i="14"/>
  <c r="X22" i="14" s="1"/>
  <c r="R22" i="14"/>
  <c r="O22" i="14"/>
  <c r="K22" i="14"/>
  <c r="G22" i="14"/>
  <c r="R21" i="14"/>
  <c r="O21" i="14"/>
  <c r="K21" i="14"/>
  <c r="G21" i="14"/>
  <c r="V20" i="14"/>
  <c r="V21" i="14" s="1"/>
  <c r="R20" i="14"/>
  <c r="O20" i="14"/>
  <c r="K20" i="14"/>
  <c r="G20" i="14"/>
  <c r="W19" i="14"/>
  <c r="X19" i="14" s="1"/>
  <c r="R19" i="14"/>
  <c r="O19" i="14"/>
  <c r="K19" i="14"/>
  <c r="G19" i="14"/>
  <c r="R17" i="14"/>
  <c r="R18" i="14"/>
  <c r="R16" i="14"/>
  <c r="K17" i="14"/>
  <c r="K18" i="14"/>
  <c r="K16" i="14"/>
  <c r="W16" i="14"/>
  <c r="X16" i="14" s="1"/>
  <c r="W10" i="14"/>
  <c r="O18" i="14"/>
  <c r="G18" i="14"/>
  <c r="V17" i="14"/>
  <c r="V18" i="14" s="1"/>
  <c r="O17" i="14"/>
  <c r="G17" i="14"/>
  <c r="O16" i="14"/>
  <c r="G16" i="14"/>
  <c r="AA25" i="14" l="1"/>
  <c r="AA19" i="14"/>
  <c r="S37" i="14"/>
  <c r="T37" i="14" s="1"/>
  <c r="AC41" i="14"/>
  <c r="AF27" i="14"/>
  <c r="L43" i="14"/>
  <c r="M43" i="14" s="1"/>
  <c r="L22" i="14"/>
  <c r="M22" i="14" s="1"/>
  <c r="S34" i="14"/>
  <c r="T34" i="14" s="1"/>
  <c r="AF22" i="14"/>
  <c r="AC40" i="14"/>
  <c r="S22" i="14"/>
  <c r="T22" i="14" s="1"/>
  <c r="AF31" i="14"/>
  <c r="L37" i="14"/>
  <c r="M37" i="14" s="1"/>
  <c r="AC43" i="14"/>
  <c r="AF34" i="14"/>
  <c r="S40" i="14"/>
  <c r="T40" i="14" s="1"/>
  <c r="AF19" i="14"/>
  <c r="L25" i="14"/>
  <c r="M25" i="14" s="1"/>
  <c r="S43" i="14"/>
  <c r="T43" i="14" s="1"/>
  <c r="AA44" i="14"/>
  <c r="S25" i="14"/>
  <c r="T25" i="14" s="1"/>
  <c r="S19" i="14"/>
  <c r="T19" i="14" s="1"/>
  <c r="AF21" i="14"/>
  <c r="AA28" i="14"/>
  <c r="AF35" i="14"/>
  <c r="AA38" i="14"/>
  <c r="AF41" i="14"/>
  <c r="AC21" i="14"/>
  <c r="AC27" i="14"/>
  <c r="AF37" i="14"/>
  <c r="AA23" i="14"/>
  <c r="AC32" i="14"/>
  <c r="AC44" i="14"/>
  <c r="V45" i="14"/>
  <c r="AF43" i="14"/>
  <c r="AF44" i="14"/>
  <c r="AA45" i="14"/>
  <c r="AC45" i="14"/>
  <c r="AA43" i="14"/>
  <c r="AF45" i="14"/>
  <c r="AF40" i="14"/>
  <c r="AC42" i="14"/>
  <c r="AA41" i="14"/>
  <c r="AA42" i="14"/>
  <c r="L40" i="14"/>
  <c r="M40" i="14" s="1"/>
  <c r="AA40" i="14"/>
  <c r="AF42" i="14"/>
  <c r="AC38" i="14"/>
  <c r="AF38" i="14"/>
  <c r="AA39" i="14"/>
  <c r="AC39" i="14"/>
  <c r="AA37" i="14"/>
  <c r="AF39" i="14"/>
  <c r="AC37" i="14"/>
  <c r="AA35" i="14"/>
  <c r="AC35" i="14"/>
  <c r="AA36" i="14"/>
  <c r="AC36" i="14"/>
  <c r="L34" i="14"/>
  <c r="M34" i="14" s="1"/>
  <c r="AA34" i="14"/>
  <c r="AF36" i="14"/>
  <c r="AC34" i="14"/>
  <c r="AC31" i="14"/>
  <c r="S31" i="14"/>
  <c r="T31" i="14" s="1"/>
  <c r="AA32" i="14"/>
  <c r="AF32" i="14"/>
  <c r="AA33" i="14"/>
  <c r="L31" i="14"/>
  <c r="M31" i="14" s="1"/>
  <c r="AC33" i="14"/>
  <c r="AA31" i="14"/>
  <c r="AF33" i="14"/>
  <c r="S28" i="14"/>
  <c r="T28" i="14" s="1"/>
  <c r="AA29" i="14"/>
  <c r="AC28" i="14"/>
  <c r="AF28" i="14"/>
  <c r="AC29" i="14"/>
  <c r="AF29" i="14"/>
  <c r="AA30" i="14"/>
  <c r="L28" i="14"/>
  <c r="M28" i="14" s="1"/>
  <c r="AC30" i="14"/>
  <c r="AF30" i="14"/>
  <c r="AC25" i="14"/>
  <c r="AA26" i="14"/>
  <c r="AF25" i="14"/>
  <c r="AC26" i="14"/>
  <c r="AF26" i="14"/>
  <c r="AA27" i="14"/>
  <c r="AC23" i="14"/>
  <c r="AF23" i="14"/>
  <c r="AA24" i="14"/>
  <c r="AC24" i="14"/>
  <c r="AA22" i="14"/>
  <c r="AF24" i="14"/>
  <c r="AC22" i="14"/>
  <c r="AC19" i="14"/>
  <c r="AA20" i="14"/>
  <c r="AC20" i="14"/>
  <c r="AF20" i="14"/>
  <c r="AA21" i="14"/>
  <c r="L19" i="14"/>
  <c r="M19" i="14" s="1"/>
  <c r="AF18" i="14"/>
  <c r="AF16" i="14"/>
  <c r="S16" i="14"/>
  <c r="T16" i="14" s="1"/>
  <c r="AA17" i="14"/>
  <c r="AC17" i="14"/>
  <c r="AF17" i="14"/>
  <c r="AA18" i="14"/>
  <c r="AC18" i="14"/>
  <c r="AC16" i="14"/>
  <c r="L16" i="14"/>
  <c r="M16" i="14" s="1"/>
  <c r="AA16" i="14"/>
  <c r="V10" i="16"/>
  <c r="W10" i="16" s="1"/>
  <c r="Q11" i="16"/>
  <c r="Q12" i="16"/>
  <c r="Q10" i="16"/>
  <c r="K12" i="14"/>
  <c r="K11" i="14"/>
  <c r="K10" i="14"/>
  <c r="R12" i="14"/>
  <c r="R11" i="14"/>
  <c r="R10" i="14"/>
  <c r="J11" i="16"/>
  <c r="AA11" i="16" s="1"/>
  <c r="J12" i="16"/>
  <c r="J10" i="16"/>
  <c r="C10" i="16"/>
  <c r="B10" i="16"/>
  <c r="N12" i="16"/>
  <c r="F12" i="16"/>
  <c r="U11" i="16"/>
  <c r="U12" i="16" s="1"/>
  <c r="N11" i="16"/>
  <c r="F11" i="16"/>
  <c r="N10" i="16"/>
  <c r="F10" i="16"/>
  <c r="O12" i="14"/>
  <c r="O11" i="14"/>
  <c r="O10" i="14"/>
  <c r="H43" i="14" l="1"/>
  <c r="H37" i="14"/>
  <c r="AB19" i="14"/>
  <c r="AD40" i="14"/>
  <c r="H22" i="14"/>
  <c r="AG22" i="14"/>
  <c r="AG25" i="14"/>
  <c r="AB37" i="14"/>
  <c r="AB25" i="14"/>
  <c r="AG34" i="14"/>
  <c r="H25" i="14"/>
  <c r="AB22" i="14"/>
  <c r="AB28" i="14"/>
  <c r="AD31" i="14"/>
  <c r="AC46" i="14"/>
  <c r="AG19" i="14"/>
  <c r="AD43" i="14"/>
  <c r="AB40" i="14"/>
  <c r="AF46" i="14"/>
  <c r="AD22" i="14"/>
  <c r="AG31" i="14"/>
  <c r="AD37" i="14"/>
  <c r="AG37" i="14"/>
  <c r="AB43" i="14"/>
  <c r="AG43" i="14"/>
  <c r="AG40" i="14"/>
  <c r="H40" i="14"/>
  <c r="AD34" i="14"/>
  <c r="AB34" i="14"/>
  <c r="H34" i="14"/>
  <c r="H31" i="14"/>
  <c r="AB31" i="14"/>
  <c r="H28" i="14"/>
  <c r="AG28" i="14"/>
  <c r="AD28" i="14"/>
  <c r="AD25" i="14"/>
  <c r="AD19" i="14"/>
  <c r="H19" i="14"/>
  <c r="AG16" i="14"/>
  <c r="H16" i="14"/>
  <c r="AB16" i="14"/>
  <c r="AD16" i="14"/>
  <c r="AA10" i="16"/>
  <c r="AH12" i="16"/>
  <c r="AJ12" i="16"/>
  <c r="AH11" i="16"/>
  <c r="AJ11" i="16"/>
  <c r="AJ10" i="16"/>
  <c r="AH10" i="16"/>
  <c r="Y10" i="16"/>
  <c r="Y12" i="16"/>
  <c r="Y11" i="16"/>
  <c r="AA12" i="16"/>
  <c r="AD10" i="16"/>
  <c r="R10" i="16"/>
  <c r="S10" i="16" s="1"/>
  <c r="AD11" i="16"/>
  <c r="K10" i="16"/>
  <c r="L10" i="16" s="1"/>
  <c r="AD12" i="16"/>
  <c r="AE19" i="14" l="1"/>
  <c r="AH19" i="14" s="1"/>
  <c r="AE40" i="14"/>
  <c r="AH40" i="14" s="1"/>
  <c r="AE43" i="14"/>
  <c r="AH43" i="14" s="1"/>
  <c r="AE31" i="14"/>
  <c r="AH31" i="14" s="1"/>
  <c r="AE37" i="14"/>
  <c r="AH37" i="14" s="1"/>
  <c r="AE25" i="14"/>
  <c r="AH25" i="14" s="1"/>
  <c r="AE22" i="14"/>
  <c r="AH22" i="14" s="1"/>
  <c r="AG46" i="14"/>
  <c r="AD46" i="14"/>
  <c r="AE28" i="14"/>
  <c r="AH28" i="14" s="1"/>
  <c r="AB46" i="14"/>
  <c r="AE34" i="14"/>
  <c r="AH34" i="14" s="1"/>
  <c r="AE16" i="14"/>
  <c r="AB10" i="16"/>
  <c r="AE10" i="16"/>
  <c r="G10" i="16"/>
  <c r="AM10" i="16" s="1"/>
  <c r="Z10" i="16"/>
  <c r="AH16" i="14" l="1"/>
  <c r="AH46" i="14" s="1"/>
  <c r="AE46" i="14"/>
  <c r="AC10" i="16"/>
  <c r="AF10" i="16" s="1"/>
  <c r="H2" i="16" s="1"/>
  <c r="X10" i="14"/>
  <c r="G11" i="14"/>
  <c r="AA11" i="14" s="1"/>
  <c r="G12" i="14"/>
  <c r="AA12" i="14" s="1"/>
  <c r="G10" i="14"/>
  <c r="AA10" i="14" s="1"/>
  <c r="V11" i="14"/>
  <c r="V12" i="14" l="1"/>
  <c r="AC10" i="14"/>
  <c r="AC12" i="14"/>
  <c r="AC11" i="14"/>
  <c r="AF12" i="14"/>
  <c r="AF10" i="14"/>
  <c r="AF11" i="14"/>
  <c r="S10" i="14"/>
  <c r="T10" i="14" s="1"/>
  <c r="L10" i="14"/>
  <c r="M10" i="14" s="1"/>
  <c r="AG10" i="14" l="1"/>
  <c r="AD10" i="14"/>
  <c r="AB10" i="14"/>
  <c r="AE10" i="14" l="1"/>
  <c r="AH10" i="14" s="1"/>
  <c r="I2" i="14" s="1"/>
  <c r="H10" i="14"/>
  <c r="C8" i="4"/>
  <c r="H22" i="4"/>
  <c r="H21" i="4"/>
  <c r="H19" i="4"/>
  <c r="H18" i="4"/>
  <c r="H16" i="4"/>
  <c r="H15" i="4"/>
  <c r="H13" i="4"/>
  <c r="H12" i="4"/>
  <c r="C9" i="4" l="1"/>
  <c r="H5" i="4"/>
  <c r="Y43" i="14" l="1"/>
  <c r="Y25" i="14"/>
  <c r="Y40" i="14"/>
  <c r="Y34" i="14"/>
  <c r="Y28" i="14"/>
  <c r="Y37" i="14"/>
  <c r="Y19" i="14"/>
  <c r="Y31" i="14"/>
  <c r="Y22" i="14"/>
  <c r="Y16" i="14"/>
  <c r="F24" i="4"/>
  <c r="Y10" i="14"/>
  <c r="E24" i="4"/>
  <c r="C24" i="4"/>
  <c r="G24" i="4"/>
  <c r="AL19" i="14" l="1"/>
  <c r="AJ19" i="14"/>
  <c r="AJ20" i="14"/>
  <c r="AJ21" i="14"/>
  <c r="AL21" i="14"/>
  <c r="AL20" i="14"/>
  <c r="AO19" i="14"/>
  <c r="AL32" i="14"/>
  <c r="AJ31" i="14"/>
  <c r="AJ32" i="14"/>
  <c r="AJ33" i="14"/>
  <c r="AL31" i="14"/>
  <c r="AL33" i="14"/>
  <c r="AO31" i="14"/>
  <c r="AL39" i="14"/>
  <c r="AJ39" i="14"/>
  <c r="AJ38" i="14"/>
  <c r="AL37" i="14"/>
  <c r="AL38" i="14"/>
  <c r="AJ37" i="14"/>
  <c r="AO37" i="14"/>
  <c r="AL29" i="14"/>
  <c r="AL30" i="14"/>
  <c r="AJ28" i="14"/>
  <c r="AL28" i="14"/>
  <c r="AJ29" i="14"/>
  <c r="AJ30" i="14"/>
  <c r="AO28" i="14"/>
  <c r="AJ35" i="14"/>
  <c r="AL35" i="14"/>
  <c r="AL34" i="14"/>
  <c r="AL36" i="14"/>
  <c r="AJ34" i="14"/>
  <c r="AJ36" i="14"/>
  <c r="AO34" i="14"/>
  <c r="AL41" i="14"/>
  <c r="AJ40" i="14"/>
  <c r="AJ42" i="14"/>
  <c r="AL42" i="14"/>
  <c r="AL40" i="14"/>
  <c r="AJ41" i="14"/>
  <c r="AO40" i="14"/>
  <c r="AL25" i="14"/>
  <c r="AL27" i="14"/>
  <c r="AJ25" i="14"/>
  <c r="AJ27" i="14"/>
  <c r="AL26" i="14"/>
  <c r="AJ26" i="14"/>
  <c r="AO25" i="14"/>
  <c r="AL17" i="14"/>
  <c r="AL18" i="14"/>
  <c r="AJ18" i="14"/>
  <c r="AJ17" i="14"/>
  <c r="AJ16" i="14"/>
  <c r="AL16" i="14"/>
  <c r="AO16" i="14"/>
  <c r="AJ23" i="14"/>
  <c r="AL22" i="14"/>
  <c r="AL23" i="14"/>
  <c r="AJ22" i="14"/>
  <c r="AJ24" i="14"/>
  <c r="AL24" i="14"/>
  <c r="AO22" i="14"/>
  <c r="AJ45" i="14"/>
  <c r="AL43" i="14"/>
  <c r="AJ43" i="14"/>
  <c r="AJ44" i="14"/>
  <c r="AL44" i="14"/>
  <c r="AL45" i="14"/>
  <c r="AO43" i="14"/>
  <c r="AK10" i="16"/>
  <c r="H4" i="16" s="1"/>
  <c r="AI10" i="16"/>
  <c r="AO10" i="14"/>
  <c r="AL10" i="14"/>
  <c r="AL11" i="14"/>
  <c r="AL12" i="14"/>
  <c r="AJ11" i="14"/>
  <c r="AJ12" i="14"/>
  <c r="AJ10" i="14"/>
  <c r="H24" i="4"/>
  <c r="AM40" i="14" l="1"/>
  <c r="AO46" i="14"/>
  <c r="AK28" i="14"/>
  <c r="AM16" i="14"/>
  <c r="AM34" i="14"/>
  <c r="AK22" i="14"/>
  <c r="AK16" i="14"/>
  <c r="AK25" i="14"/>
  <c r="AK40" i="14"/>
  <c r="AK37" i="14"/>
  <c r="AM31" i="14"/>
  <c r="AM25" i="14"/>
  <c r="AK43" i="14"/>
  <c r="AM22" i="14"/>
  <c r="AM37" i="14"/>
  <c r="AK19" i="14"/>
  <c r="AN19" i="14" s="1"/>
  <c r="AP19" i="14" s="1"/>
  <c r="AM43" i="14"/>
  <c r="AK34" i="14"/>
  <c r="AM28" i="14"/>
  <c r="AN28" i="14" s="1"/>
  <c r="AP28" i="14" s="1"/>
  <c r="AK31" i="14"/>
  <c r="AM19" i="14"/>
  <c r="AL10" i="16"/>
  <c r="AN10" i="16" s="1"/>
  <c r="H3" i="16" s="1"/>
  <c r="AM10" i="14"/>
  <c r="AK10" i="14"/>
  <c r="H6" i="4"/>
  <c r="AN40" i="14" l="1"/>
  <c r="AP40" i="14" s="1"/>
  <c r="AN22" i="14"/>
  <c r="AP22" i="14" s="1"/>
  <c r="AN37" i="14"/>
  <c r="AP37" i="14" s="1"/>
  <c r="AM46" i="14"/>
  <c r="I4" i="14" s="1"/>
  <c r="AN34" i="14"/>
  <c r="AP34" i="14" s="1"/>
  <c r="AN25" i="14"/>
  <c r="AP25" i="14" s="1"/>
  <c r="AN16" i="14"/>
  <c r="AK46" i="14"/>
  <c r="AN31" i="14"/>
  <c r="AP31" i="14" s="1"/>
  <c r="AN43" i="14"/>
  <c r="AP43" i="14" s="1"/>
  <c r="AN10" i="14"/>
  <c r="AP10" i="14" s="1"/>
  <c r="AP16" i="14" l="1"/>
  <c r="AP46" i="14" s="1"/>
  <c r="I3" i="14" s="1"/>
  <c r="AN4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Joe Galbraith</author>
  </authors>
  <commentList>
    <comment ref="D9" authorId="0" shapeId="0" xr:uid="{22E05495-D6EE-4B4A-A58B-B2DF37F87C17}">
      <text>
        <r>
          <rPr>
            <sz val="9"/>
            <color indexed="81"/>
            <rFont val="Tahoma"/>
            <family val="2"/>
          </rPr>
          <t xml:space="preserve">Answer Yes or No. 
Elite Advisor are advisors who attained Elite status as of the end of the previous calendar year. To attain 2023 Elite Advisor status, an advisor must have $1,250,000 in gross deposits in at least 5 policies or $10,000,000 in assets under management with Equitable. 
</t>
        </r>
      </text>
    </comment>
    <comment ref="H9" authorId="0" shapeId="0" xr:uid="{8B2C2FAB-574B-4EBE-B183-83A991CD9FFF}">
      <text>
        <r>
          <rPr>
            <sz val="9"/>
            <color indexed="81"/>
            <rFont val="Tahoma"/>
            <family val="2"/>
          </rPr>
          <t xml:space="preserve">Enter the lump sum dollar amount you believe you will do under each sales charge type.
</t>
        </r>
      </text>
    </comment>
    <comment ref="I9" authorId="0" shapeId="0" xr:uid="{D564E990-E43C-402E-8E53-C6C8A1E7C721}">
      <text>
        <r>
          <rPr>
            <sz val="9"/>
            <color indexed="81"/>
            <rFont val="Tahoma"/>
            <family val="2"/>
          </rPr>
          <t xml:space="preserve">Enter the number of times you will make a lump sum contribution under each sales charge type.
</t>
        </r>
      </text>
    </comment>
    <comment ref="O9" authorId="0" shapeId="0" xr:uid="{8B81DAC4-1D78-4C28-B037-5C451D03098F}">
      <text>
        <r>
          <rPr>
            <sz val="9"/>
            <color indexed="81"/>
            <rFont val="Tahoma"/>
            <family val="2"/>
          </rPr>
          <t>Enter the average PAD dollar amount you believe you will do under each sales charge type.</t>
        </r>
      </text>
    </comment>
    <comment ref="P9" authorId="0" shapeId="0" xr:uid="{7D2DB6FA-A7CC-494E-B1CE-7F6A0FF0CFC6}">
      <text>
        <r>
          <rPr>
            <sz val="9"/>
            <color indexed="81"/>
            <rFont val="Tahoma"/>
            <family val="2"/>
          </rPr>
          <t xml:space="preserve">Enter the number of times each month you will make a monthly PAD contribution under each sales charge type.
</t>
        </r>
      </text>
    </comment>
    <comment ref="T9" authorId="0" shapeId="0" xr:uid="{C278DE40-9B08-4782-8570-DC5988FD2C5F}">
      <text>
        <r>
          <rPr>
            <sz val="9"/>
            <color indexed="81"/>
            <rFont val="Tahoma"/>
            <family val="2"/>
          </rPr>
          <t xml:space="preserve">Enter the percentage of the lump sum and monthly PAD contributions that will be in fixed income funds.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Joe Galbraith</author>
  </authors>
  <commentList>
    <comment ref="D9" authorId="0" shapeId="0" xr:uid="{5333847D-4313-49D8-9B98-89C45EC72006}">
      <text>
        <r>
          <rPr>
            <sz val="9"/>
            <color indexed="81"/>
            <rFont val="Tahoma"/>
            <family val="2"/>
          </rPr>
          <t xml:space="preserve">Answer Yes or No. 
Elite Advisor are advisors who attained Elite status as of the end of the previous calendar year. To attain 2023 Elite Advisor status, an advisor must have $1,250,000 in gross deposits in at least 5 policies or $10,000,000 in assets under management with Equitable. </t>
        </r>
      </text>
    </comment>
    <comment ref="E9" authorId="0" shapeId="0" xr:uid="{BC7E70EF-8C38-434A-AB1F-AA468DC68EBB}">
      <text>
        <r>
          <rPr>
            <sz val="9"/>
            <color indexed="81"/>
            <rFont val="Tahoma"/>
            <family val="2"/>
          </rPr>
          <t>Enter the number of direct downline agents you have in your baseshop at this particular contract level.</t>
        </r>
      </text>
    </comment>
    <comment ref="I9" authorId="0" shapeId="0" xr:uid="{A613C392-80F8-4189-B713-2EC61AD2047C}">
      <text>
        <r>
          <rPr>
            <sz val="9"/>
            <color indexed="81"/>
            <rFont val="Tahoma"/>
            <family val="2"/>
          </rPr>
          <t xml:space="preserve">Enter the lump sum dollar amount you believe each individual downline agent will do under each sales charge type.
</t>
        </r>
      </text>
    </comment>
    <comment ref="J9" authorId="0" shapeId="0" xr:uid="{EBCA549F-56E7-4B04-80F4-B4ACAC4785AD}">
      <text>
        <r>
          <rPr>
            <sz val="9"/>
            <color indexed="81"/>
            <rFont val="Tahoma"/>
            <family val="2"/>
          </rPr>
          <t>Enter the number of times each month an individual will make a lump sum contribution under each sales charge type.</t>
        </r>
        <r>
          <rPr>
            <b/>
            <sz val="9"/>
            <color indexed="81"/>
            <rFont val="Tahoma"/>
            <family val="2"/>
          </rPr>
          <t xml:space="preserve">  </t>
        </r>
        <r>
          <rPr>
            <sz val="9"/>
            <color indexed="81"/>
            <rFont val="Tahoma"/>
            <family val="2"/>
          </rPr>
          <t xml:space="preserve">
</t>
        </r>
      </text>
    </comment>
    <comment ref="P9" authorId="0" shapeId="0" xr:uid="{20DFFD36-88F0-4842-B089-004B77085C4E}">
      <text>
        <r>
          <rPr>
            <sz val="9"/>
            <color indexed="81"/>
            <rFont val="Tahoma"/>
            <family val="2"/>
          </rPr>
          <t xml:space="preserve">Enter the average PAD dollar amount you believe each individual downline agent will do under each sales charge type.
</t>
        </r>
      </text>
    </comment>
    <comment ref="Q9" authorId="0" shapeId="0" xr:uid="{E9464436-885B-4956-BAFF-939FF8261CD7}">
      <text>
        <r>
          <rPr>
            <sz val="9"/>
            <color indexed="81"/>
            <rFont val="Tahoma"/>
            <family val="2"/>
          </rPr>
          <t xml:space="preserve">Enter the number of times each month an individual will make a monthly PAD contribution under each sales charge type.
</t>
        </r>
      </text>
    </comment>
    <comment ref="U9" authorId="0" shapeId="0" xr:uid="{C86E5224-55C1-4C58-9CDC-B02B46EB11B2}">
      <text>
        <r>
          <rPr>
            <sz val="9"/>
            <color indexed="81"/>
            <rFont val="Tahoma"/>
            <family val="2"/>
          </rPr>
          <t xml:space="preserve">Enter the percentage of the lump sum and monthly PAD contributions that will be in fixed income funds.
</t>
        </r>
      </text>
    </comment>
    <comment ref="D15" authorId="0" shapeId="0" xr:uid="{EDF178C9-3CA2-4585-B58B-EF87DAEC0737}">
      <text>
        <r>
          <rPr>
            <sz val="9"/>
            <color indexed="81"/>
            <rFont val="Tahoma"/>
            <family val="2"/>
          </rPr>
          <t xml:space="preserve">Answer Yes or No. 
Elite Advisor are advisors who attained Elite status as of the end of the previous calendar year. To attain 2023 Elite Advisor status, an advisor must have $1,250,000 in gross deposits in at least 5 policies or $10,000,000 in assets under management with Equitable. 
</t>
        </r>
      </text>
    </comment>
    <comment ref="E15" authorId="0" shapeId="0" xr:uid="{9BB13B61-8DA6-4055-9A00-BE7407473F63}">
      <text>
        <r>
          <rPr>
            <sz val="9"/>
            <color indexed="81"/>
            <rFont val="Tahoma"/>
            <family val="2"/>
          </rPr>
          <t xml:space="preserve">Enter the number of direct downline agents you have in your baseshop at this particular contract level.
</t>
        </r>
      </text>
    </comment>
    <comment ref="I15" authorId="0" shapeId="0" xr:uid="{B25504FB-DE37-4B2A-8797-7FD1B9E9B3F0}">
      <text>
        <r>
          <rPr>
            <sz val="9"/>
            <color indexed="81"/>
            <rFont val="Tahoma"/>
            <family val="2"/>
          </rPr>
          <t xml:space="preserve">Enter the lump sum dollar amount you believe each individual downline agent will do under each sales charge type.
</t>
        </r>
      </text>
    </comment>
    <comment ref="J15" authorId="0" shapeId="0" xr:uid="{A33CDCA8-3481-482F-A239-030F6C5CDA92}">
      <text>
        <r>
          <rPr>
            <sz val="9"/>
            <color indexed="81"/>
            <rFont val="Tahoma"/>
            <family val="2"/>
          </rPr>
          <t xml:space="preserve">Enter the number of times each month an individual will make a lump sum contribution under each sales charge type.
</t>
        </r>
      </text>
    </comment>
    <comment ref="P15" authorId="0" shapeId="0" xr:uid="{B7F71092-ACAB-414E-A63A-7705F120A489}">
      <text>
        <r>
          <rPr>
            <sz val="9"/>
            <color indexed="81"/>
            <rFont val="Tahoma"/>
            <family val="2"/>
          </rPr>
          <t xml:space="preserve">Enter the average PAD dollar amount you believe each individual downline agent will do under each sales charge type.
</t>
        </r>
      </text>
    </comment>
    <comment ref="Q15" authorId="0" shapeId="0" xr:uid="{F3F02234-4657-4D86-A684-08D2C2713FFD}">
      <text>
        <r>
          <rPr>
            <sz val="9"/>
            <color indexed="81"/>
            <rFont val="Tahoma"/>
            <family val="2"/>
          </rPr>
          <t xml:space="preserve">Enter the number of times each month an individual will make a monthly PAD contribution under each sales charge type.
</t>
        </r>
      </text>
    </comment>
    <comment ref="U15" authorId="0" shapeId="0" xr:uid="{B93FC101-1698-45A1-BAEA-B9832492D6E8}">
      <text>
        <r>
          <rPr>
            <sz val="9"/>
            <color indexed="81"/>
            <rFont val="Tahoma"/>
            <family val="2"/>
          </rPr>
          <t xml:space="preserve">Enter the percentage of the lump sum and monthly PAD contributions that will be in fixed income funds.
</t>
        </r>
      </text>
    </comment>
  </commentList>
</comments>
</file>

<file path=xl/sharedStrings.xml><?xml version="1.0" encoding="utf-8"?>
<sst xmlns="http://schemas.openxmlformats.org/spreadsheetml/2006/main" count="422" uniqueCount="117">
  <si>
    <t>Inputs</t>
  </si>
  <si>
    <t>Lump Sum</t>
  </si>
  <si>
    <t>NL</t>
  </si>
  <si>
    <t>NLCB</t>
  </si>
  <si>
    <t>NLCB5</t>
  </si>
  <si>
    <t>Fixed Income</t>
  </si>
  <si>
    <t>Writing Agent Level</t>
  </si>
  <si>
    <t>Writing Agent % of Dealer Allowance</t>
  </si>
  <si>
    <t>WFG Compensation Guidelines</t>
  </si>
  <si>
    <t xml:space="preserve">Business Development </t>
  </si>
  <si>
    <t>Commission Rate</t>
  </si>
  <si>
    <t>Trail Rate</t>
  </si>
  <si>
    <t>Training Associate</t>
  </si>
  <si>
    <t>Associate</t>
  </si>
  <si>
    <t>Marketing Director</t>
  </si>
  <si>
    <t>Senior Marketing Director</t>
  </si>
  <si>
    <t>Executive Marketing Director</t>
  </si>
  <si>
    <t>CEO Marketing Director</t>
  </si>
  <si>
    <t>Executive Vice Chairman</t>
  </si>
  <si>
    <t>Number of Direct Downline Agents</t>
  </si>
  <si>
    <t>Upfront Sales Charge</t>
  </si>
  <si>
    <t>Upfront Commission Rate</t>
  </si>
  <si>
    <t>Personal Monthly Activity</t>
  </si>
  <si>
    <t>LL</t>
  </si>
  <si>
    <t>DSC</t>
  </si>
  <si>
    <t>All Other Funds</t>
  </si>
  <si>
    <t>Deposited in the last (0-12 months)</t>
  </si>
  <si>
    <t>Deposited in the last (13-36 months)</t>
  </si>
  <si>
    <t>Deposited in the last (37-48 months)</t>
  </si>
  <si>
    <t>Deposited in the last (49+ months)</t>
  </si>
  <si>
    <t>Totals</t>
  </si>
  <si>
    <t>Current Personal Assets Under Management (AUM)</t>
  </si>
  <si>
    <t>In how many years would you like to achieve your passive income goal?</t>
  </si>
  <si>
    <t>What is your annual passive income goal?</t>
  </si>
  <si>
    <t>Total AUM</t>
  </si>
  <si>
    <t>Baseshop Monthly Activity</t>
  </si>
  <si>
    <t>Total Annual Personal Commission (Including Trail)</t>
  </si>
  <si>
    <t>Total Personal Points</t>
  </si>
  <si>
    <t>Total Annual Trailing Commissions</t>
  </si>
  <si>
    <t>Total Current Personal AUM</t>
  </si>
  <si>
    <t>Total Current Trail Commission on Personal AUM</t>
  </si>
  <si>
    <t>Total Baseshop Points</t>
  </si>
  <si>
    <t>Total Annual Upfront Override Commission (Including Trail)</t>
  </si>
  <si>
    <t>Total Annual Override Trailing Commission</t>
  </si>
  <si>
    <t>Total Annual Trailing Commission</t>
  </si>
  <si>
    <t>Your Name</t>
  </si>
  <si>
    <t>Your Contract Level</t>
  </si>
  <si>
    <t>Joe Galbraith</t>
  </si>
  <si>
    <t>Name</t>
  </si>
  <si>
    <t>Edmonton</t>
  </si>
  <si>
    <t>City</t>
  </si>
  <si>
    <t>Sales Charge Type</t>
  </si>
  <si>
    <t>NL-CB</t>
  </si>
  <si>
    <t>NL-CB5</t>
  </si>
  <si>
    <t>Number of Monthly Lump Sum Contributions Per Agent</t>
  </si>
  <si>
    <t>N/A</t>
  </si>
  <si>
    <t>Total Monthly Lump Sum Contribution</t>
  </si>
  <si>
    <t>Total Annual Lump Sum Contribution</t>
  </si>
  <si>
    <t>Average Monthly PAD Amount</t>
  </si>
  <si>
    <t>Number of Monthly PAD Contributions Per Agent</t>
  </si>
  <si>
    <t>Total Monthly Lump Sum Contribution Per Sales Charge Type</t>
  </si>
  <si>
    <t>Total Monthly PAD Contribution Per Sales Charge Type</t>
  </si>
  <si>
    <t>Total Monthly PAD Contribution</t>
  </si>
  <si>
    <t>Total Annual PAD Contribution</t>
  </si>
  <si>
    <t>Fixed Income Funds</t>
  </si>
  <si>
    <t>Total</t>
  </si>
  <si>
    <t>Direct Downline Writing Rep</t>
  </si>
  <si>
    <t>Direct Downline Writing Rep % of Dealer Allowance</t>
  </si>
  <si>
    <t>Upline Overide</t>
  </si>
  <si>
    <t>Total Baseshop Monthly Points</t>
  </si>
  <si>
    <t>Total Monthly Baseshop Upfront Points</t>
  </si>
  <si>
    <t>Monthly Baseshop Upfront Points</t>
  </si>
  <si>
    <t>Monthly Baseshop Upfront Override Commissions</t>
  </si>
  <si>
    <t>Total Monthly Baseshop Upfront Override Commissions</t>
  </si>
  <si>
    <t>Monthly Baseshop Trailing Points</t>
  </si>
  <si>
    <t>Monthly Baseshop Trailing Override Commissions</t>
  </si>
  <si>
    <t>Elite Advisor</t>
  </si>
  <si>
    <t>Elite Advisor
(Yes or No)</t>
  </si>
  <si>
    <t>Yes</t>
  </si>
  <si>
    <t>No</t>
  </si>
  <si>
    <t>Step Up Your Wealth</t>
  </si>
  <si>
    <t>Tier</t>
  </si>
  <si>
    <t>Lower</t>
  </si>
  <si>
    <t>Upper</t>
  </si>
  <si>
    <t>Bonus Rate</t>
  </si>
  <si>
    <t>Total Step Up Your Wealth Program Rate</t>
  </si>
  <si>
    <t>Total Annual Baseshop Override Commissions</t>
  </si>
  <si>
    <t>Annual Baseshop Upfront Step Up Your Wealth Override Commissions</t>
  </si>
  <si>
    <t>Total Monthly Baseshop Trailing Points</t>
  </si>
  <si>
    <t xml:space="preserve"> Asset
Allocation Mix</t>
  </si>
  <si>
    <t>Pre-Authorized Debit</t>
  </si>
  <si>
    <t>Baseshop Points</t>
  </si>
  <si>
    <t>Agent Info</t>
  </si>
  <si>
    <t>Upline Override Commissions</t>
  </si>
  <si>
    <t>Total Monthly Baseshop Trailing Override Commissions</t>
  </si>
  <si>
    <t>Monthly Personal Upfront Points</t>
  </si>
  <si>
    <t>Total Monthly Personal Upfront Points</t>
  </si>
  <si>
    <t>Monthly Personal Trailing Points</t>
  </si>
  <si>
    <t>Total Monthly Personal Trailing Points</t>
  </si>
  <si>
    <t>Annual Baseshop Step Up Your Wealth Upfront Points</t>
  </si>
  <si>
    <t>Total Annual Baseshop Step Up Your Wealth Upfront Points</t>
  </si>
  <si>
    <t>Annual Personal Step Up Your Wealth Upfront Points</t>
  </si>
  <si>
    <t>Total Personal Monthly Points</t>
  </si>
  <si>
    <t>Total Annual Personal Step Up Your Wealth Upfront Points</t>
  </si>
  <si>
    <t>Personal Points</t>
  </si>
  <si>
    <t>Monthly Personal Upfront Commissions</t>
  </si>
  <si>
    <t>Total Monthly Personal Upfront Commissions</t>
  </si>
  <si>
    <t>Personal Commissions</t>
  </si>
  <si>
    <t>Monthly Personal Trailing Commissions</t>
  </si>
  <si>
    <t>Total Monthly Personal Trailing Commissions</t>
  </si>
  <si>
    <t>Total Annual Personal Commissions</t>
  </si>
  <si>
    <t>Annual Personal Upfront Step Up Your Wealth Commissions</t>
  </si>
  <si>
    <t>Total Personal Annual Points</t>
  </si>
  <si>
    <t>Total Baseshop Annual Points</t>
  </si>
  <si>
    <t>Lump Sum Contribution</t>
  </si>
  <si>
    <r>
      <t xml:space="preserve">Simple Illustration </t>
    </r>
    <r>
      <rPr>
        <b/>
        <sz val="14"/>
        <color rgb="FFFFFF00"/>
        <rFont val="Calibri"/>
        <family val="2"/>
        <scheme val="minor"/>
      </rPr>
      <t>(Select one of either the Simple Illustration or Custom Illustration when inputting Baseshop Monthly Activity)</t>
    </r>
  </si>
  <si>
    <r>
      <t xml:space="preserve">Custom Illustration </t>
    </r>
    <r>
      <rPr>
        <b/>
        <sz val="14"/>
        <color rgb="FFFFFF00"/>
        <rFont val="Calibri"/>
        <family val="2"/>
        <scheme val="minor"/>
      </rPr>
      <t xml:space="preserve">(Select one of either the Simple Illustration or Custom Illustration when inputting Baseshop Monthly Activity)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</si>
</sst>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5" formatCode="&quot;$&quot;#,##0"/>
  </numFmts>
  <fonts count="16"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b/>
      <sz val="14"/>
      <color theme="0"/>
      <name val="Calibri"/>
      <family val="2"/>
      <scheme val="minor"/>
    </font>
    <font>
      <b/>
      <sz val="16"/>
      <color theme="0"/>
      <name val="Calibri"/>
      <family val="2"/>
      <scheme val="minor"/>
    </font>
    <font>
      <sz val="12"/>
      <color theme="1"/>
      <name val="Calibri"/>
      <family val="2"/>
      <scheme val="minor"/>
    </font>
    <font>
      <sz val="14"/>
      <color theme="1"/>
      <name val="Calibri"/>
      <family val="2"/>
      <scheme val="minor"/>
    </font>
    <font>
      <b/>
      <sz val="14"/>
      <name val="Calibri"/>
      <family val="2"/>
      <scheme val="minor"/>
    </font>
    <font>
      <b/>
      <sz val="14"/>
      <color theme="1"/>
      <name val="Calibri"/>
      <family val="2"/>
      <scheme val="minor"/>
    </font>
    <font>
      <b/>
      <sz val="14"/>
      <color rgb="FFFFFF00"/>
      <name val="Calibri"/>
      <family val="2"/>
      <scheme val="minor"/>
    </font>
    <font>
      <sz val="9"/>
      <color indexed="81"/>
      <name val="Tahoma"/>
      <family val="2"/>
    </font>
    <font>
      <b/>
      <sz val="9"/>
      <color indexed="81"/>
      <name val="Tahoma"/>
      <family val="2"/>
    </font>
    <font>
      <sz val="12"/>
      <color rgb="FF6A9955"/>
      <name val="Menlo"/>
      <family val="2"/>
    </font>
  </fonts>
  <fills count="5">
    <fill>
      <patternFill patternType="none"/>
    </fill>
    <fill>
      <patternFill patternType="gray125"/>
    </fill>
    <fill>
      <patternFill patternType="solid">
        <fgColor rgb="FFFFFF00"/>
        <bgColor indexed="64"/>
      </patternFill>
    </fill>
    <fill>
      <patternFill patternType="solid">
        <fgColor rgb="FF00519A"/>
        <bgColor indexed="64"/>
      </patternFill>
    </fill>
    <fill>
      <patternFill patternType="solid">
        <fgColor theme="0" tint="-0.249977111117893"/>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medium">
        <color auto="1"/>
      </bottom>
      <diagonal/>
    </border>
    <border>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medium">
        <color auto="1"/>
      </right>
      <top style="medium">
        <color auto="1"/>
      </top>
      <bottom style="thin">
        <color auto="1"/>
      </bottom>
      <diagonal/>
    </border>
  </borders>
  <cellStyleXfs count="3">
    <xf numFmtId="0" fontId="0" fillId="0" borderId="0"/>
    <xf numFmtId="0" fontId="3" fillId="0" borderId="0" applyNumberFormat="0" applyFill="0" applyBorder="0" applyAlignment="0" applyProtection="0"/>
    <xf numFmtId="9" fontId="1" fillId="0" borderId="0" applyFont="0" applyFill="0" applyBorder="0" applyAlignment="0" applyProtection="0"/>
  </cellStyleXfs>
  <cellXfs count="256">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xf numFmtId="0" fontId="0" fillId="2" borderId="0" xfId="0" applyFill="1"/>
    <xf numFmtId="10" fontId="0" fillId="0" borderId="0" xfId="0" applyNumberFormat="1"/>
    <xf numFmtId="10" fontId="0" fillId="0" borderId="0" xfId="0" applyNumberFormat="1" applyAlignment="1">
      <alignment horizontal="center"/>
    </xf>
    <xf numFmtId="0" fontId="0" fillId="2" borderId="0" xfId="0" applyFill="1" applyAlignment="1">
      <alignment horizontal="center"/>
    </xf>
    <xf numFmtId="0" fontId="0" fillId="0" borderId="0" xfId="0" applyAlignment="1">
      <alignment horizontal="left"/>
    </xf>
    <xf numFmtId="8" fontId="0" fillId="0" borderId="0" xfId="0" applyNumberFormat="1"/>
    <xf numFmtId="0" fontId="0" fillId="0" borderId="0" xfId="0" applyAlignment="1">
      <alignment horizontal="center" vertical="center"/>
    </xf>
    <xf numFmtId="10" fontId="0" fillId="0" borderId="0" xfId="0" applyNumberFormat="1" applyAlignment="1">
      <alignment horizontal="left"/>
    </xf>
    <xf numFmtId="164" fontId="0" fillId="0" borderId="0" xfId="0" applyNumberFormat="1" applyAlignment="1">
      <alignment horizontal="left"/>
    </xf>
    <xf numFmtId="8" fontId="0" fillId="0" borderId="0" xfId="0" applyNumberFormat="1" applyAlignment="1">
      <alignment horizontal="center" vertical="center"/>
    </xf>
    <xf numFmtId="10" fontId="0" fillId="0" borderId="0" xfId="2" applyNumberFormat="1" applyFont="1" applyFill="1" applyAlignment="1">
      <alignment horizontal="center"/>
    </xf>
    <xf numFmtId="9" fontId="0" fillId="0" borderId="0" xfId="2" applyFont="1" applyFill="1" applyAlignment="1">
      <alignment horizontal="center"/>
    </xf>
    <xf numFmtId="9" fontId="0" fillId="0" borderId="0" xfId="2" applyFont="1" applyFill="1" applyAlignment="1">
      <alignment horizontal="left"/>
    </xf>
    <xf numFmtId="0" fontId="0" fillId="0" borderId="0" xfId="0" applyAlignment="1">
      <alignment vertical="center"/>
    </xf>
    <xf numFmtId="164" fontId="0" fillId="2" borderId="0" xfId="0" applyNumberFormat="1" applyFill="1" applyAlignment="1">
      <alignment horizontal="center" vertical="center"/>
    </xf>
    <xf numFmtId="164" fontId="0" fillId="0" borderId="0" xfId="0" applyNumberFormat="1" applyAlignment="1">
      <alignment horizontal="center"/>
    </xf>
    <xf numFmtId="164" fontId="0" fillId="0" borderId="0" xfId="0" applyNumberFormat="1" applyAlignment="1">
      <alignment horizontal="center" vertical="center"/>
    </xf>
    <xf numFmtId="164" fontId="0" fillId="2" borderId="0" xfId="0" applyNumberFormat="1" applyFill="1" applyAlignment="1">
      <alignment horizontal="center"/>
    </xf>
    <xf numFmtId="10" fontId="0" fillId="0" borderId="0" xfId="0" applyNumberFormat="1" applyAlignment="1">
      <alignment horizontal="center" vertical="center"/>
    </xf>
    <xf numFmtId="3" fontId="0" fillId="0" borderId="0" xfId="0" applyNumberFormat="1" applyAlignment="1">
      <alignment horizontal="center" vertical="center"/>
    </xf>
    <xf numFmtId="0" fontId="2" fillId="0" borderId="0" xfId="0" applyFont="1" applyAlignment="1">
      <alignment horizontal="center"/>
    </xf>
    <xf numFmtId="9" fontId="4" fillId="0" borderId="0" xfId="2" applyFont="1" applyFill="1" applyAlignment="1">
      <alignment horizontal="center"/>
    </xf>
    <xf numFmtId="9" fontId="2" fillId="0" borderId="0" xfId="2" applyFont="1" applyFill="1" applyAlignment="1">
      <alignment horizontal="center"/>
    </xf>
    <xf numFmtId="0" fontId="2" fillId="0" borderId="0" xfId="0" applyFont="1"/>
    <xf numFmtId="8" fontId="2" fillId="0" borderId="0" xfId="0" applyNumberFormat="1" applyFont="1"/>
    <xf numFmtId="9" fontId="5" fillId="0" borderId="0" xfId="1" applyNumberFormat="1" applyFont="1" applyFill="1" applyAlignment="1">
      <alignment horizontal="left" vertical="center"/>
    </xf>
    <xf numFmtId="9" fontId="5" fillId="0" borderId="0" xfId="2" applyFont="1" applyFill="1" applyAlignment="1">
      <alignment horizontal="center" vertical="center"/>
    </xf>
    <xf numFmtId="9" fontId="5" fillId="0" borderId="0" xfId="2" applyFont="1" applyFill="1" applyAlignment="1">
      <alignment horizontal="center" vertical="center" wrapText="1"/>
    </xf>
    <xf numFmtId="0" fontId="5" fillId="0" borderId="0" xfId="0" applyFont="1" applyAlignment="1">
      <alignment horizontal="center" vertical="center" wrapText="1"/>
    </xf>
    <xf numFmtId="0" fontId="2" fillId="0" borderId="0" xfId="0" applyFont="1" applyAlignment="1">
      <alignment horizontal="center" vertical="center"/>
    </xf>
    <xf numFmtId="165" fontId="2" fillId="0" borderId="0" xfId="2" applyNumberFormat="1" applyFont="1" applyFill="1" applyAlignment="1">
      <alignment horizontal="center"/>
    </xf>
    <xf numFmtId="9" fontId="2" fillId="0" borderId="0" xfId="2" applyFont="1" applyFill="1" applyAlignment="1">
      <alignment horizontal="center" vertical="center"/>
    </xf>
    <xf numFmtId="10" fontId="2" fillId="0" borderId="0" xfId="2" applyNumberFormat="1" applyFont="1" applyFill="1" applyAlignment="1">
      <alignment horizontal="center" vertical="center"/>
    </xf>
    <xf numFmtId="164" fontId="2" fillId="0" borderId="0" xfId="0" applyNumberFormat="1" applyFont="1"/>
    <xf numFmtId="164" fontId="2" fillId="0" borderId="0" xfId="0" applyNumberFormat="1" applyFont="1" applyAlignment="1">
      <alignment horizontal="center"/>
    </xf>
    <xf numFmtId="164" fontId="2" fillId="0" borderId="0" xfId="0" applyNumberFormat="1" applyFont="1" applyAlignment="1">
      <alignment horizontal="center" vertical="center"/>
    </xf>
    <xf numFmtId="165" fontId="2" fillId="0" borderId="0" xfId="0" applyNumberFormat="1" applyFont="1" applyAlignment="1">
      <alignment horizontal="center" vertical="center"/>
    </xf>
    <xf numFmtId="9" fontId="2" fillId="0" borderId="0" xfId="0" applyNumberFormat="1" applyFont="1" applyAlignment="1">
      <alignment horizontal="center" vertical="center"/>
    </xf>
    <xf numFmtId="0" fontId="3" fillId="0" borderId="0" xfId="0" applyFont="1" applyAlignment="1">
      <alignment horizontal="center" vertical="center" wrapText="1"/>
    </xf>
    <xf numFmtId="3" fontId="2" fillId="0" borderId="0" xfId="0" applyNumberFormat="1" applyFont="1"/>
    <xf numFmtId="3" fontId="2" fillId="0" borderId="0" xfId="0" applyNumberFormat="1" applyFont="1" applyAlignment="1">
      <alignment horizontal="center" vertical="center" wrapText="1"/>
    </xf>
    <xf numFmtId="3" fontId="2" fillId="0" borderId="0" xfId="0" applyNumberFormat="1" applyFont="1" applyAlignment="1">
      <alignment horizontal="center" vertical="center"/>
    </xf>
    <xf numFmtId="9" fontId="2" fillId="0" borderId="0" xfId="0" applyNumberFormat="1" applyFont="1" applyAlignment="1">
      <alignment horizontal="center" vertical="center" wrapText="1"/>
    </xf>
    <xf numFmtId="9" fontId="2" fillId="0" borderId="0" xfId="1" applyNumberFormat="1" applyFont="1" applyFill="1" applyAlignment="1">
      <alignment horizontal="left" vertical="center"/>
    </xf>
    <xf numFmtId="0" fontId="2" fillId="0" borderId="0" xfId="2" applyNumberFormat="1" applyFont="1" applyFill="1" applyAlignment="1">
      <alignment horizontal="left" vertical="center"/>
    </xf>
    <xf numFmtId="164" fontId="2" fillId="0" borderId="0" xfId="0" applyNumberFormat="1" applyFont="1" applyAlignment="1">
      <alignment horizontal="center" vertical="center" wrapText="1"/>
    </xf>
    <xf numFmtId="9" fontId="5" fillId="0" borderId="1" xfId="2" applyFont="1" applyFill="1" applyBorder="1" applyAlignment="1">
      <alignment horizontal="left" vertical="center"/>
    </xf>
    <xf numFmtId="9" fontId="5" fillId="0" borderId="1" xfId="2" applyFont="1" applyFill="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10" fontId="2" fillId="0" borderId="1" xfId="2" applyNumberFormat="1" applyFont="1" applyFill="1" applyBorder="1" applyAlignment="1">
      <alignment horizontal="center" vertical="center"/>
    </xf>
    <xf numFmtId="165" fontId="2" fillId="2" borderId="1" xfId="2" applyNumberFormat="1" applyFont="1" applyFill="1" applyBorder="1" applyAlignment="1">
      <alignment horizontal="center"/>
    </xf>
    <xf numFmtId="0" fontId="2" fillId="2" borderId="1" xfId="0" applyFont="1" applyFill="1" applyBorder="1" applyAlignment="1">
      <alignment horizontal="center" vertical="center"/>
    </xf>
    <xf numFmtId="165" fontId="2" fillId="0" borderId="1" xfId="2" applyNumberFormat="1" applyFont="1" applyFill="1" applyBorder="1" applyAlignment="1">
      <alignment horizontal="center"/>
    </xf>
    <xf numFmtId="9" fontId="2" fillId="2" borderId="1" xfId="0" applyNumberFormat="1" applyFont="1" applyFill="1" applyBorder="1" applyAlignment="1">
      <alignment horizontal="center" vertical="center"/>
    </xf>
    <xf numFmtId="164" fontId="2" fillId="2" borderId="1" xfId="0" applyNumberFormat="1" applyFont="1" applyFill="1" applyBorder="1" applyAlignment="1">
      <alignment horizontal="center"/>
    </xf>
    <xf numFmtId="0" fontId="2" fillId="2" borderId="1" xfId="0" applyFont="1" applyFill="1" applyBorder="1" applyAlignment="1">
      <alignment horizontal="center"/>
    </xf>
    <xf numFmtId="164" fontId="2" fillId="0" borderId="1" xfId="0" applyNumberFormat="1" applyFont="1" applyBorder="1" applyAlignment="1">
      <alignment horizontal="center" vertical="center"/>
    </xf>
    <xf numFmtId="3" fontId="2" fillId="0" borderId="1" xfId="0" applyNumberFormat="1" applyFont="1" applyBorder="1" applyAlignment="1">
      <alignment horizontal="center" vertical="center"/>
    </xf>
    <xf numFmtId="3" fontId="2" fillId="0" borderId="1" xfId="0" applyNumberFormat="1" applyFont="1" applyBorder="1" applyAlignment="1">
      <alignment horizontal="center" vertical="center" wrapText="1"/>
    </xf>
    <xf numFmtId="9" fontId="2" fillId="0" borderId="1" xfId="0" applyNumberFormat="1" applyFont="1" applyBorder="1" applyAlignment="1">
      <alignment horizontal="center" vertical="center"/>
    </xf>
    <xf numFmtId="9" fontId="5" fillId="0" borderId="6" xfId="2" applyFont="1" applyFill="1" applyBorder="1" applyAlignment="1">
      <alignment horizontal="center" vertical="center" wrapText="1"/>
    </xf>
    <xf numFmtId="0" fontId="5" fillId="0" borderId="7" xfId="0" applyFont="1" applyBorder="1" applyAlignment="1">
      <alignment horizontal="center" vertical="center" wrapText="1"/>
    </xf>
    <xf numFmtId="9" fontId="2" fillId="0" borderId="6" xfId="2" applyFont="1" applyFill="1" applyBorder="1" applyAlignment="1">
      <alignment horizontal="center" vertical="center"/>
    </xf>
    <xf numFmtId="9" fontId="2" fillId="0" borderId="8" xfId="2" applyFont="1" applyFill="1" applyBorder="1" applyAlignment="1">
      <alignment horizontal="center" vertical="center"/>
    </xf>
    <xf numFmtId="10" fontId="2" fillId="0" borderId="9" xfId="2" applyNumberFormat="1" applyFont="1" applyFill="1" applyBorder="1" applyAlignment="1">
      <alignment horizontal="center" vertical="center"/>
    </xf>
    <xf numFmtId="165" fontId="2" fillId="2" borderId="9" xfId="2" applyNumberFormat="1" applyFont="1" applyFill="1" applyBorder="1" applyAlignment="1">
      <alignment horizontal="center"/>
    </xf>
    <xf numFmtId="0" fontId="2" fillId="2" borderId="9" xfId="0" applyFont="1" applyFill="1" applyBorder="1" applyAlignment="1">
      <alignment horizontal="center" vertical="center"/>
    </xf>
    <xf numFmtId="165" fontId="2" fillId="0" borderId="9" xfId="2" applyNumberFormat="1" applyFont="1" applyFill="1" applyBorder="1" applyAlignment="1">
      <alignment horizontal="center"/>
    </xf>
    <xf numFmtId="164" fontId="2" fillId="2" borderId="9" xfId="0" applyNumberFormat="1" applyFont="1" applyFill="1" applyBorder="1" applyAlignment="1">
      <alignment horizontal="center"/>
    </xf>
    <xf numFmtId="0" fontId="2" fillId="2" borderId="9" xfId="0" applyFont="1" applyFill="1" applyBorder="1" applyAlignment="1">
      <alignment horizontal="center"/>
    </xf>
    <xf numFmtId="164" fontId="2" fillId="0" borderId="9" xfId="0" applyNumberFormat="1" applyFont="1" applyBorder="1" applyAlignment="1">
      <alignment horizontal="center" vertical="center"/>
    </xf>
    <xf numFmtId="0" fontId="2" fillId="0" borderId="6" xfId="0" applyFont="1" applyBorder="1"/>
    <xf numFmtId="0" fontId="2" fillId="0" borderId="8" xfId="0" applyFont="1" applyBorder="1"/>
    <xf numFmtId="3" fontId="2" fillId="0" borderId="9" xfId="0" applyNumberFormat="1" applyFont="1" applyBorder="1" applyAlignment="1">
      <alignment horizontal="center" vertical="center"/>
    </xf>
    <xf numFmtId="3" fontId="2" fillId="0" borderId="9" xfId="0" applyNumberFormat="1" applyFont="1" applyBorder="1" applyAlignment="1">
      <alignment horizontal="center" vertical="center" wrapText="1"/>
    </xf>
    <xf numFmtId="9" fontId="5" fillId="0" borderId="6" xfId="1" applyNumberFormat="1" applyFont="1" applyFill="1" applyBorder="1" applyAlignment="1">
      <alignment horizontal="left" vertical="center"/>
    </xf>
    <xf numFmtId="9" fontId="5" fillId="0" borderId="7" xfId="2" applyFont="1" applyFill="1" applyBorder="1" applyAlignment="1">
      <alignment horizontal="center" vertical="center" wrapText="1"/>
    </xf>
    <xf numFmtId="0" fontId="5" fillId="0" borderId="7" xfId="0" applyFont="1" applyBorder="1" applyAlignment="1">
      <alignment horizontal="center" vertical="center"/>
    </xf>
    <xf numFmtId="165" fontId="2" fillId="0" borderId="6" xfId="0" applyNumberFormat="1" applyFont="1" applyBorder="1" applyAlignment="1">
      <alignment horizontal="center" vertical="center"/>
    </xf>
    <xf numFmtId="165" fontId="2" fillId="0" borderId="8" xfId="0" applyNumberFormat="1" applyFont="1" applyBorder="1" applyAlignment="1">
      <alignment horizontal="center" vertical="center"/>
    </xf>
    <xf numFmtId="9" fontId="2" fillId="0" borderId="9" xfId="0" applyNumberFormat="1" applyFont="1" applyBorder="1" applyAlignment="1">
      <alignment horizontal="center" vertical="center"/>
    </xf>
    <xf numFmtId="10" fontId="2" fillId="0" borderId="0" xfId="2" applyNumberFormat="1" applyFont="1" applyFill="1" applyAlignment="1">
      <alignment horizontal="center"/>
    </xf>
    <xf numFmtId="9" fontId="2" fillId="0" borderId="0" xfId="2" applyFont="1" applyFill="1" applyAlignment="1">
      <alignment horizontal="left"/>
    </xf>
    <xf numFmtId="10" fontId="2" fillId="0" borderId="0" xfId="0" applyNumberFormat="1" applyFont="1" applyAlignment="1">
      <alignment horizontal="center" vertical="center"/>
    </xf>
    <xf numFmtId="0" fontId="2" fillId="0" borderId="0" xfId="0" applyFont="1" applyAlignment="1">
      <alignment horizontal="left"/>
    </xf>
    <xf numFmtId="10" fontId="2" fillId="0" borderId="0" xfId="0" applyNumberFormat="1" applyFont="1" applyAlignment="1">
      <alignment horizontal="center"/>
    </xf>
    <xf numFmtId="10" fontId="2" fillId="0" borderId="0" xfId="0" applyNumberFormat="1" applyFont="1" applyAlignment="1">
      <alignment horizontal="left"/>
    </xf>
    <xf numFmtId="164" fontId="2" fillId="0" borderId="0" xfId="0" applyNumberFormat="1" applyFont="1" applyAlignment="1">
      <alignment horizontal="left" vertical="center"/>
    </xf>
    <xf numFmtId="8" fontId="2" fillId="0" borderId="0" xfId="0" applyNumberFormat="1" applyFont="1" applyAlignment="1">
      <alignment horizontal="center" vertical="center"/>
    </xf>
    <xf numFmtId="164" fontId="2" fillId="0" borderId="0" xfId="0" applyNumberFormat="1" applyFont="1" applyAlignment="1">
      <alignment horizontal="left" vertical="top"/>
    </xf>
    <xf numFmtId="10" fontId="2" fillId="0" borderId="0" xfId="0" applyNumberFormat="1" applyFont="1"/>
    <xf numFmtId="3" fontId="2" fillId="0" borderId="0" xfId="2" applyNumberFormat="1" applyFont="1" applyFill="1" applyAlignment="1">
      <alignment horizontal="center" vertical="center"/>
    </xf>
    <xf numFmtId="164" fontId="2" fillId="0" borderId="0" xfId="0" applyNumberFormat="1" applyFont="1" applyAlignment="1">
      <alignment horizontal="left"/>
    </xf>
    <xf numFmtId="0" fontId="2" fillId="0" borderId="0" xfId="0" applyFont="1" applyAlignment="1">
      <alignment vertical="center"/>
    </xf>
    <xf numFmtId="3" fontId="0" fillId="0" borderId="0" xfId="2" applyNumberFormat="1" applyFont="1" applyFill="1" applyAlignment="1">
      <alignment horizontal="center" vertical="center"/>
    </xf>
    <xf numFmtId="9" fontId="4" fillId="0" borderId="0" xfId="2" applyFont="1" applyFill="1" applyAlignment="1">
      <alignment horizontal="left"/>
    </xf>
    <xf numFmtId="9" fontId="0" fillId="0" borderId="0" xfId="2" applyFont="1" applyFill="1" applyAlignment="1"/>
    <xf numFmtId="164" fontId="0" fillId="0" borderId="0" xfId="0" applyNumberFormat="1" applyAlignment="1">
      <alignment vertical="center"/>
    </xf>
    <xf numFmtId="0" fontId="8" fillId="0" borderId="0" xfId="0" applyFont="1" applyAlignment="1">
      <alignment vertical="center"/>
    </xf>
    <xf numFmtId="0" fontId="9" fillId="0" borderId="0" xfId="0" applyFont="1" applyAlignment="1">
      <alignment vertical="center"/>
    </xf>
    <xf numFmtId="3" fontId="11" fillId="0" borderId="24" xfId="0" applyNumberFormat="1" applyFont="1" applyBorder="1" applyAlignment="1">
      <alignment horizontal="center" vertical="center"/>
    </xf>
    <xf numFmtId="164" fontId="11" fillId="0" borderId="24" xfId="0" applyNumberFormat="1" applyFont="1" applyBorder="1" applyAlignment="1">
      <alignment horizontal="center" vertical="center"/>
    </xf>
    <xf numFmtId="164" fontId="11" fillId="4" borderId="24" xfId="0" applyNumberFormat="1" applyFont="1" applyFill="1" applyBorder="1" applyAlignment="1">
      <alignment horizontal="center" vertical="center"/>
    </xf>
    <xf numFmtId="164" fontId="11" fillId="0" borderId="25" xfId="0" applyNumberFormat="1" applyFont="1" applyBorder="1" applyAlignment="1">
      <alignment horizontal="center" vertical="center"/>
    </xf>
    <xf numFmtId="9" fontId="5" fillId="0" borderId="28" xfId="1" applyNumberFormat="1" applyFont="1" applyFill="1" applyBorder="1" applyAlignment="1">
      <alignment horizontal="left" vertical="center"/>
    </xf>
    <xf numFmtId="9" fontId="5" fillId="0" borderId="2" xfId="2" applyFont="1" applyFill="1" applyBorder="1" applyAlignment="1">
      <alignment horizontal="left" vertical="center"/>
    </xf>
    <xf numFmtId="9" fontId="5" fillId="0" borderId="2" xfId="2" applyFont="1" applyFill="1" applyBorder="1" applyAlignment="1">
      <alignment horizontal="center" vertical="center" wrapText="1"/>
    </xf>
    <xf numFmtId="9" fontId="5" fillId="0" borderId="29" xfId="2" applyFont="1" applyFill="1" applyBorder="1" applyAlignment="1">
      <alignment horizontal="center" vertical="center" wrapText="1"/>
    </xf>
    <xf numFmtId="9" fontId="5" fillId="0" borderId="28" xfId="2"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29" xfId="0" applyFont="1" applyBorder="1" applyAlignment="1">
      <alignment horizontal="center" vertical="center" wrapText="1"/>
    </xf>
    <xf numFmtId="0" fontId="3" fillId="0" borderId="2" xfId="0" applyFont="1" applyBorder="1" applyAlignment="1">
      <alignment horizontal="center" vertical="center" wrapText="1"/>
    </xf>
    <xf numFmtId="0" fontId="5" fillId="0" borderId="29" xfId="0" applyFont="1" applyBorder="1" applyAlignment="1">
      <alignment horizontal="center" vertical="center"/>
    </xf>
    <xf numFmtId="9" fontId="2" fillId="0" borderId="17" xfId="2" applyFont="1" applyFill="1" applyBorder="1" applyAlignment="1">
      <alignment horizontal="center" vertical="center"/>
    </xf>
    <xf numFmtId="10" fontId="2" fillId="0" borderId="4" xfId="2" applyNumberFormat="1" applyFont="1" applyFill="1" applyBorder="1" applyAlignment="1">
      <alignment horizontal="center" vertical="center"/>
    </xf>
    <xf numFmtId="165" fontId="2" fillId="2" borderId="4" xfId="2" applyNumberFormat="1" applyFont="1" applyFill="1" applyBorder="1" applyAlignment="1">
      <alignment horizontal="center"/>
    </xf>
    <xf numFmtId="0" fontId="2" fillId="2" borderId="4" xfId="0" applyFont="1" applyFill="1" applyBorder="1" applyAlignment="1">
      <alignment horizontal="center" vertical="center"/>
    </xf>
    <xf numFmtId="165" fontId="2" fillId="0" borderId="4" xfId="2" applyNumberFormat="1" applyFont="1" applyFill="1" applyBorder="1" applyAlignment="1">
      <alignment horizontal="center"/>
    </xf>
    <xf numFmtId="164" fontId="2" fillId="2" borderId="4" xfId="0" applyNumberFormat="1" applyFont="1" applyFill="1" applyBorder="1" applyAlignment="1">
      <alignment horizontal="center"/>
    </xf>
    <xf numFmtId="0" fontId="2" fillId="2" borderId="4" xfId="0" applyFont="1" applyFill="1" applyBorder="1" applyAlignment="1">
      <alignment horizontal="center"/>
    </xf>
    <xf numFmtId="164" fontId="2" fillId="0" borderId="4" xfId="0" applyNumberFormat="1" applyFont="1" applyBorder="1" applyAlignment="1">
      <alignment horizontal="center" vertical="center"/>
    </xf>
    <xf numFmtId="165" fontId="2" fillId="0" borderId="17" xfId="0" applyNumberFormat="1" applyFont="1" applyBorder="1" applyAlignment="1">
      <alignment horizontal="center" vertical="center"/>
    </xf>
    <xf numFmtId="9" fontId="2" fillId="2" borderId="4" xfId="0" applyNumberFormat="1" applyFont="1" applyFill="1" applyBorder="1" applyAlignment="1">
      <alignment horizontal="center" vertical="center"/>
    </xf>
    <xf numFmtId="0" fontId="2" fillId="0" borderId="17" xfId="0" applyFont="1" applyBorder="1"/>
    <xf numFmtId="3" fontId="2" fillId="0" borderId="4" xfId="0" applyNumberFormat="1" applyFont="1" applyBorder="1" applyAlignment="1">
      <alignment horizontal="center" vertical="center"/>
    </xf>
    <xf numFmtId="3" fontId="2" fillId="0" borderId="4" xfId="0" applyNumberFormat="1" applyFont="1" applyBorder="1" applyAlignment="1">
      <alignment horizontal="center" vertical="center" wrapText="1"/>
    </xf>
    <xf numFmtId="9" fontId="2" fillId="0" borderId="30" xfId="2" applyFont="1" applyFill="1" applyBorder="1" applyAlignment="1">
      <alignment horizontal="center" vertical="center"/>
    </xf>
    <xf numFmtId="10" fontId="2" fillId="0" borderId="31" xfId="2" applyNumberFormat="1" applyFont="1" applyFill="1" applyBorder="1" applyAlignment="1">
      <alignment horizontal="center" vertical="center"/>
    </xf>
    <xf numFmtId="165" fontId="2" fillId="2" borderId="31" xfId="2" applyNumberFormat="1" applyFont="1" applyFill="1" applyBorder="1" applyAlignment="1">
      <alignment horizontal="center"/>
    </xf>
    <xf numFmtId="0" fontId="2" fillId="2" borderId="31" xfId="0" applyFont="1" applyFill="1" applyBorder="1" applyAlignment="1">
      <alignment horizontal="center" vertical="center"/>
    </xf>
    <xf numFmtId="165" fontId="2" fillId="0" borderId="31" xfId="2" applyNumberFormat="1" applyFont="1" applyFill="1" applyBorder="1" applyAlignment="1">
      <alignment horizontal="center"/>
    </xf>
    <xf numFmtId="164" fontId="2" fillId="2" borderId="31" xfId="0" applyNumberFormat="1" applyFont="1" applyFill="1" applyBorder="1" applyAlignment="1">
      <alignment horizontal="center"/>
    </xf>
    <xf numFmtId="0" fontId="2" fillId="2" borderId="31" xfId="0" applyFont="1" applyFill="1" applyBorder="1" applyAlignment="1">
      <alignment horizontal="center"/>
    </xf>
    <xf numFmtId="164" fontId="2" fillId="0" borderId="31" xfId="0" applyNumberFormat="1" applyFont="1" applyBorder="1" applyAlignment="1">
      <alignment horizontal="center" vertical="center"/>
    </xf>
    <xf numFmtId="165" fontId="2" fillId="0" borderId="30" xfId="0" applyNumberFormat="1" applyFont="1" applyBorder="1" applyAlignment="1">
      <alignment horizontal="center" vertical="center"/>
    </xf>
    <xf numFmtId="9" fontId="2" fillId="2" borderId="31" xfId="0" applyNumberFormat="1" applyFont="1" applyFill="1" applyBorder="1" applyAlignment="1">
      <alignment horizontal="center" vertical="center"/>
    </xf>
    <xf numFmtId="0" fontId="2" fillId="0" borderId="30" xfId="0" applyFont="1" applyBorder="1"/>
    <xf numFmtId="3" fontId="2" fillId="0" borderId="31" xfId="0" applyNumberFormat="1" applyFont="1" applyBorder="1" applyAlignment="1">
      <alignment horizontal="center" vertical="center"/>
    </xf>
    <xf numFmtId="3" fontId="2" fillId="0" borderId="31" xfId="0" applyNumberFormat="1" applyFont="1" applyBorder="1" applyAlignment="1">
      <alignment horizontal="center" vertical="center" wrapText="1"/>
    </xf>
    <xf numFmtId="0" fontId="0" fillId="0" borderId="0" xfId="0"/>
    <xf numFmtId="0" fontId="0" fillId="2" borderId="0" xfId="0" applyFill="1"/>
    <xf numFmtId="0" fontId="0" fillId="0" borderId="0" xfId="0" applyAlignment="1">
      <alignment horizontal="center"/>
    </xf>
    <xf numFmtId="9" fontId="0" fillId="0" borderId="0" xfId="2" applyFont="1" applyAlignment="1">
      <alignment horizontal="center"/>
    </xf>
    <xf numFmtId="0" fontId="0" fillId="0" borderId="0" xfId="0" applyAlignment="1">
      <alignment horizontal="left"/>
    </xf>
    <xf numFmtId="164" fontId="0" fillId="0" borderId="0" xfId="0" applyNumberFormat="1" applyAlignment="1">
      <alignment horizontal="left" vertical="center"/>
    </xf>
    <xf numFmtId="8" fontId="0" fillId="0" borderId="0" xfId="0" applyNumberFormat="1" applyAlignment="1">
      <alignment horizontal="center" vertical="center"/>
    </xf>
    <xf numFmtId="164" fontId="0" fillId="0" borderId="0" xfId="0" applyNumberFormat="1" applyAlignment="1">
      <alignment horizontal="left" vertical="top"/>
    </xf>
    <xf numFmtId="0" fontId="0" fillId="0" borderId="0" xfId="0" applyAlignment="1">
      <alignment horizontal="center" vertical="center"/>
    </xf>
    <xf numFmtId="9" fontId="0" fillId="0" borderId="0" xfId="2" applyFont="1" applyFill="1" applyAlignment="1">
      <alignment horizontal="center"/>
    </xf>
    <xf numFmtId="0" fontId="0" fillId="0" borderId="0" xfId="0" applyAlignment="1">
      <alignment vertical="center"/>
    </xf>
    <xf numFmtId="164" fontId="2" fillId="0" borderId="1" xfId="0" applyNumberFormat="1" applyFont="1" applyBorder="1" applyAlignment="1">
      <alignment horizontal="center" vertical="center" wrapText="1"/>
    </xf>
    <xf numFmtId="164" fontId="2" fillId="0" borderId="9" xfId="0" applyNumberFormat="1" applyFont="1" applyBorder="1" applyAlignment="1">
      <alignment horizontal="center" vertical="center" wrapText="1"/>
    </xf>
    <xf numFmtId="164" fontId="2" fillId="0" borderId="2" xfId="0" applyNumberFormat="1" applyFont="1" applyBorder="1" applyAlignment="1">
      <alignment horizontal="center" vertical="center"/>
    </xf>
    <xf numFmtId="164" fontId="2" fillId="0" borderId="3" xfId="0" applyNumberFormat="1" applyFont="1" applyBorder="1" applyAlignment="1">
      <alignment horizontal="center" vertical="center"/>
    </xf>
    <xf numFmtId="164" fontId="2" fillId="0" borderId="15" xfId="0" applyNumberFormat="1" applyFont="1" applyBorder="1" applyAlignment="1">
      <alignment horizontal="center" vertical="center"/>
    </xf>
    <xf numFmtId="164" fontId="2" fillId="0" borderId="7" xfId="0" applyNumberFormat="1" applyFont="1" applyBorder="1" applyAlignment="1">
      <alignment horizontal="center" vertical="center" wrapText="1"/>
    </xf>
    <xf numFmtId="164" fontId="2" fillId="0" borderId="10" xfId="0" applyNumberFormat="1" applyFont="1" applyBorder="1" applyAlignment="1">
      <alignment horizontal="center" vertical="center" wrapText="1"/>
    </xf>
    <xf numFmtId="3" fontId="2" fillId="0" borderId="1" xfId="0" applyNumberFormat="1" applyFont="1" applyBorder="1" applyAlignment="1">
      <alignment horizontal="center" vertical="center"/>
    </xf>
    <xf numFmtId="3" fontId="2" fillId="0" borderId="9" xfId="0" applyNumberFormat="1" applyFont="1" applyBorder="1" applyAlignment="1">
      <alignment horizontal="center" vertical="center"/>
    </xf>
    <xf numFmtId="3" fontId="2" fillId="0" borderId="1" xfId="0" applyNumberFormat="1" applyFont="1" applyBorder="1" applyAlignment="1">
      <alignment horizontal="center" vertical="center" wrapText="1"/>
    </xf>
    <xf numFmtId="3" fontId="2" fillId="0" borderId="9"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10" xfId="0" applyNumberFormat="1" applyFont="1" applyBorder="1" applyAlignment="1">
      <alignment horizontal="center" vertical="center" wrapText="1"/>
    </xf>
    <xf numFmtId="164" fontId="2" fillId="0" borderId="1" xfId="0" applyNumberFormat="1" applyFont="1" applyBorder="1" applyAlignment="1">
      <alignment horizontal="center" vertical="center"/>
    </xf>
    <xf numFmtId="164" fontId="2" fillId="0" borderId="9" xfId="0" applyNumberFormat="1" applyFont="1" applyBorder="1" applyAlignment="1">
      <alignment horizontal="center" vertical="center"/>
    </xf>
    <xf numFmtId="0" fontId="2" fillId="0" borderId="3" xfId="0" applyFont="1" applyBorder="1" applyAlignment="1">
      <alignment horizontal="center" vertical="center"/>
    </xf>
    <xf numFmtId="0" fontId="2" fillId="0" borderId="15" xfId="0" applyFont="1" applyBorder="1" applyAlignment="1">
      <alignment horizontal="center" vertical="center"/>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9" fontId="2" fillId="0" borderId="6" xfId="1" applyNumberFormat="1" applyFont="1" applyFill="1" applyBorder="1" applyAlignment="1">
      <alignment horizontal="left" vertical="center"/>
    </xf>
    <xf numFmtId="9" fontId="2" fillId="0" borderId="8" xfId="1" applyNumberFormat="1" applyFont="1" applyFill="1" applyBorder="1" applyAlignment="1">
      <alignment horizontal="left" vertical="center"/>
    </xf>
    <xf numFmtId="0" fontId="2" fillId="0" borderId="1" xfId="2" applyNumberFormat="1" applyFont="1" applyFill="1" applyBorder="1" applyAlignment="1">
      <alignment horizontal="left" vertical="center"/>
    </xf>
    <xf numFmtId="0" fontId="2" fillId="0" borderId="9" xfId="2" applyNumberFormat="1" applyFont="1" applyFill="1" applyBorder="1" applyAlignment="1">
      <alignment horizontal="left" vertical="center"/>
    </xf>
    <xf numFmtId="0" fontId="2" fillId="2" borderId="2" xfId="2" applyNumberFormat="1" applyFont="1" applyFill="1" applyBorder="1" applyAlignment="1">
      <alignment horizontal="center" vertical="center"/>
    </xf>
    <xf numFmtId="0" fontId="2" fillId="2" borderId="3" xfId="2" applyNumberFormat="1" applyFont="1" applyFill="1" applyBorder="1" applyAlignment="1">
      <alignment horizontal="center" vertical="center"/>
    </xf>
    <xf numFmtId="0" fontId="2" fillId="2" borderId="15" xfId="2" applyNumberFormat="1" applyFont="1" applyFill="1" applyBorder="1" applyAlignment="1">
      <alignment horizontal="center" vertical="center"/>
    </xf>
    <xf numFmtId="10" fontId="2" fillId="0" borderId="1" xfId="0" applyNumberFormat="1" applyFont="1" applyBorder="1" applyAlignment="1">
      <alignment horizontal="center" vertical="center" wrapText="1"/>
    </xf>
    <xf numFmtId="10" fontId="2" fillId="0" borderId="9" xfId="0" applyNumberFormat="1" applyFont="1" applyBorder="1" applyAlignment="1">
      <alignment horizontal="center" vertical="center" wrapText="1"/>
    </xf>
    <xf numFmtId="165" fontId="2" fillId="0" borderId="1" xfId="0" applyNumberFormat="1" applyFont="1" applyBorder="1" applyAlignment="1">
      <alignment horizontal="center" vertical="center"/>
    </xf>
    <xf numFmtId="165" fontId="2" fillId="0" borderId="9" xfId="0" applyNumberFormat="1" applyFont="1" applyBorder="1" applyAlignment="1">
      <alignment horizontal="center" vertical="center"/>
    </xf>
    <xf numFmtId="165" fontId="2" fillId="0" borderId="7" xfId="0" applyNumberFormat="1" applyFont="1" applyBorder="1" applyAlignment="1">
      <alignment horizontal="center" vertical="center"/>
    </xf>
    <xf numFmtId="165" fontId="2" fillId="0" borderId="10" xfId="0" applyNumberFormat="1" applyFont="1" applyBorder="1" applyAlignment="1">
      <alignment horizontal="center" vertical="center"/>
    </xf>
    <xf numFmtId="164" fontId="2" fillId="0" borderId="7" xfId="0" applyNumberFormat="1" applyFont="1" applyBorder="1" applyAlignment="1">
      <alignment horizontal="center" vertical="center"/>
    </xf>
    <xf numFmtId="164" fontId="2" fillId="0" borderId="10" xfId="0" applyNumberFormat="1" applyFont="1" applyBorder="1" applyAlignment="1">
      <alignment horizontal="center" vertical="center"/>
    </xf>
    <xf numFmtId="9" fontId="2" fillId="0" borderId="1" xfId="0" applyNumberFormat="1" applyFont="1" applyBorder="1" applyAlignment="1">
      <alignment horizontal="center" vertical="center" wrapText="1"/>
    </xf>
    <xf numFmtId="9" fontId="2" fillId="0" borderId="9" xfId="0" applyNumberFormat="1" applyFont="1" applyBorder="1" applyAlignment="1">
      <alignment horizontal="center" vertical="center" wrapText="1"/>
    </xf>
    <xf numFmtId="9" fontId="6" fillId="3" borderId="12" xfId="1" applyNumberFormat="1" applyFont="1" applyFill="1" applyBorder="1" applyAlignment="1">
      <alignment horizontal="center" vertical="center"/>
    </xf>
    <xf numFmtId="9" fontId="6" fillId="3" borderId="13" xfId="1" applyNumberFormat="1" applyFont="1" applyFill="1" applyBorder="1" applyAlignment="1">
      <alignment horizontal="center" vertical="center"/>
    </xf>
    <xf numFmtId="9" fontId="6" fillId="3" borderId="14" xfId="1" applyNumberFormat="1" applyFont="1" applyFill="1" applyBorder="1" applyAlignment="1">
      <alignment horizontal="center" vertical="center"/>
    </xf>
    <xf numFmtId="9" fontId="6" fillId="3" borderId="11" xfId="1" applyNumberFormat="1" applyFont="1" applyFill="1" applyBorder="1" applyAlignment="1">
      <alignment horizontal="center" vertical="center"/>
    </xf>
    <xf numFmtId="9" fontId="6" fillId="3" borderId="5" xfId="1" applyNumberFormat="1" applyFont="1" applyFill="1" applyBorder="1" applyAlignment="1">
      <alignment horizontal="center" vertical="center"/>
    </xf>
    <xf numFmtId="9" fontId="6" fillId="3" borderId="17" xfId="1" applyNumberFormat="1" applyFont="1" applyFill="1" applyBorder="1" applyAlignment="1">
      <alignment horizontal="center" vertical="center"/>
    </xf>
    <xf numFmtId="9" fontId="6" fillId="3" borderId="4" xfId="1" applyNumberFormat="1" applyFont="1" applyFill="1" applyBorder="1" applyAlignment="1">
      <alignment horizontal="center" vertical="center"/>
    </xf>
    <xf numFmtId="9" fontId="6" fillId="3" borderId="18" xfId="1" applyNumberFormat="1" applyFont="1" applyFill="1" applyBorder="1" applyAlignment="1">
      <alignment horizontal="center" vertical="center"/>
    </xf>
    <xf numFmtId="9" fontId="6" fillId="3" borderId="16" xfId="1" applyNumberFormat="1" applyFont="1" applyFill="1" applyBorder="1" applyAlignment="1">
      <alignment horizontal="center" vertical="center"/>
    </xf>
    <xf numFmtId="9" fontId="6" fillId="0" borderId="19" xfId="1" applyNumberFormat="1" applyFont="1" applyFill="1" applyBorder="1" applyAlignment="1">
      <alignment horizontal="left" vertical="center"/>
    </xf>
    <xf numFmtId="9" fontId="6" fillId="0" borderId="0" xfId="1" applyNumberFormat="1" applyFont="1" applyFill="1" applyBorder="1" applyAlignment="1">
      <alignment horizontal="left" vertical="center"/>
    </xf>
    <xf numFmtId="9" fontId="7" fillId="3" borderId="20" xfId="1" applyNumberFormat="1" applyFont="1" applyFill="1" applyBorder="1" applyAlignment="1">
      <alignment horizontal="left" vertical="center"/>
    </xf>
    <xf numFmtId="9" fontId="7" fillId="3" borderId="21" xfId="1" applyNumberFormat="1" applyFont="1" applyFill="1" applyBorder="1" applyAlignment="1">
      <alignment horizontal="left" vertical="center"/>
    </xf>
    <xf numFmtId="9" fontId="7" fillId="3" borderId="22" xfId="1" applyNumberFormat="1" applyFont="1" applyFill="1" applyBorder="1" applyAlignment="1">
      <alignment horizontal="left" vertical="center"/>
    </xf>
    <xf numFmtId="9" fontId="6" fillId="3" borderId="20" xfId="1" applyNumberFormat="1" applyFont="1" applyFill="1" applyBorder="1" applyAlignment="1">
      <alignment horizontal="left" vertical="center"/>
    </xf>
    <xf numFmtId="9" fontId="6" fillId="3" borderId="21" xfId="1" applyNumberFormat="1" applyFont="1" applyFill="1" applyBorder="1" applyAlignment="1">
      <alignment horizontal="left" vertical="center"/>
    </xf>
    <xf numFmtId="9" fontId="6" fillId="3" borderId="22" xfId="1" applyNumberFormat="1" applyFont="1" applyFill="1" applyBorder="1" applyAlignment="1">
      <alignment horizontal="left" vertical="center"/>
    </xf>
    <xf numFmtId="9" fontId="2" fillId="0" borderId="7" xfId="0" applyNumberFormat="1" applyFont="1" applyBorder="1" applyAlignment="1">
      <alignment horizontal="center" vertical="center" wrapText="1"/>
    </xf>
    <xf numFmtId="0" fontId="2" fillId="0" borderId="7" xfId="0" applyFont="1" applyBorder="1" applyAlignment="1">
      <alignment horizontal="center" vertical="center" wrapText="1"/>
    </xf>
    <xf numFmtId="0" fontId="2" fillId="0" borderId="10" xfId="0" applyFont="1" applyBorder="1" applyAlignment="1">
      <alignment horizontal="center" vertical="center" wrapText="1"/>
    </xf>
    <xf numFmtId="1" fontId="2" fillId="2" borderId="7" xfId="2" applyNumberFormat="1" applyFont="1" applyFill="1" applyBorder="1" applyAlignment="1">
      <alignment horizontal="center" vertical="center" wrapText="1"/>
    </xf>
    <xf numFmtId="1" fontId="2" fillId="2" borderId="10" xfId="2" applyNumberFormat="1" applyFont="1" applyFill="1" applyBorder="1" applyAlignment="1">
      <alignment horizontal="center" vertical="center" wrapText="1"/>
    </xf>
    <xf numFmtId="0" fontId="5" fillId="0" borderId="28" xfId="0" applyFont="1" applyBorder="1" applyAlignment="1">
      <alignment horizontal="center" vertical="center" wrapText="1"/>
    </xf>
    <xf numFmtId="0" fontId="5" fillId="0" borderId="2" xfId="0" applyFont="1" applyBorder="1" applyAlignment="1">
      <alignment horizontal="center" vertical="center" wrapText="1"/>
    </xf>
    <xf numFmtId="9" fontId="2" fillId="0" borderId="30" xfId="1" applyNumberFormat="1" applyFont="1" applyFill="1" applyBorder="1" applyAlignment="1">
      <alignment horizontal="left" vertical="center"/>
    </xf>
    <xf numFmtId="0" fontId="2" fillId="0" borderId="31" xfId="2" applyNumberFormat="1" applyFont="1" applyFill="1" applyBorder="1" applyAlignment="1">
      <alignment horizontal="left" vertical="center"/>
    </xf>
    <xf numFmtId="0" fontId="2" fillId="2" borderId="32" xfId="2" applyNumberFormat="1" applyFont="1" applyFill="1" applyBorder="1" applyAlignment="1">
      <alignment horizontal="center" vertical="center"/>
    </xf>
    <xf numFmtId="1" fontId="2" fillId="0" borderId="33" xfId="2" applyNumberFormat="1" applyFont="1" applyFill="1" applyBorder="1" applyAlignment="1">
      <alignment horizontal="center" vertical="center" wrapText="1"/>
    </xf>
    <xf numFmtId="1" fontId="2" fillId="0" borderId="7" xfId="2" applyNumberFormat="1" applyFont="1" applyFill="1" applyBorder="1" applyAlignment="1">
      <alignment horizontal="center" vertical="center" wrapText="1"/>
    </xf>
    <xf numFmtId="1" fontId="2" fillId="0" borderId="10" xfId="2" applyNumberFormat="1" applyFont="1" applyFill="1" applyBorder="1" applyAlignment="1">
      <alignment horizontal="center" vertical="center" wrapText="1"/>
    </xf>
    <xf numFmtId="10" fontId="2" fillId="0" borderId="31" xfId="0" applyNumberFormat="1" applyFont="1" applyBorder="1" applyAlignment="1">
      <alignment horizontal="center" vertical="center" wrapText="1"/>
    </xf>
    <xf numFmtId="165" fontId="2" fillId="0" borderId="31" xfId="0" applyNumberFormat="1" applyFont="1" applyBorder="1" applyAlignment="1">
      <alignment horizontal="center" vertical="center"/>
    </xf>
    <xf numFmtId="165" fontId="2" fillId="0" borderId="33" xfId="0" applyNumberFormat="1" applyFont="1" applyBorder="1" applyAlignment="1">
      <alignment horizontal="center" vertical="center"/>
    </xf>
    <xf numFmtId="164" fontId="2" fillId="0" borderId="31" xfId="0" applyNumberFormat="1" applyFont="1" applyBorder="1" applyAlignment="1">
      <alignment horizontal="center" vertical="center"/>
    </xf>
    <xf numFmtId="164" fontId="2" fillId="0" borderId="33" xfId="0" applyNumberFormat="1" applyFont="1" applyBorder="1" applyAlignment="1">
      <alignment horizontal="center" vertical="center"/>
    </xf>
    <xf numFmtId="9" fontId="2" fillId="0" borderId="31" xfId="0" applyNumberFormat="1" applyFont="1" applyBorder="1" applyAlignment="1">
      <alignment horizontal="center" vertical="center" wrapText="1"/>
    </xf>
    <xf numFmtId="9" fontId="2" fillId="0" borderId="33" xfId="0" applyNumberFormat="1" applyFont="1" applyBorder="1" applyAlignment="1">
      <alignment horizontal="center" vertical="center" wrapText="1"/>
    </xf>
    <xf numFmtId="3" fontId="2" fillId="0" borderId="31" xfId="0" applyNumberFormat="1" applyFont="1" applyBorder="1" applyAlignment="1">
      <alignment horizontal="center" vertical="center"/>
    </xf>
    <xf numFmtId="164" fontId="2" fillId="0" borderId="32" xfId="0" applyNumberFormat="1" applyFont="1" applyBorder="1" applyAlignment="1">
      <alignment horizontal="center" vertical="center"/>
    </xf>
    <xf numFmtId="164" fontId="2" fillId="0" borderId="31" xfId="0" applyNumberFormat="1" applyFont="1" applyBorder="1" applyAlignment="1">
      <alignment horizontal="center" vertical="center" wrapText="1"/>
    </xf>
    <xf numFmtId="164" fontId="2" fillId="0" borderId="33" xfId="0" applyNumberFormat="1" applyFont="1" applyBorder="1" applyAlignment="1">
      <alignment horizontal="center" vertical="center" wrapText="1"/>
    </xf>
    <xf numFmtId="9" fontId="2" fillId="0" borderId="17" xfId="1" applyNumberFormat="1" applyFont="1" applyFill="1" applyBorder="1" applyAlignment="1">
      <alignment horizontal="left" vertical="center"/>
    </xf>
    <xf numFmtId="0" fontId="2" fillId="0" borderId="4" xfId="2" applyNumberFormat="1" applyFont="1" applyFill="1" applyBorder="1" applyAlignment="1">
      <alignment horizontal="left" vertical="center"/>
    </xf>
    <xf numFmtId="1" fontId="2" fillId="0" borderId="18" xfId="2" applyNumberFormat="1" applyFont="1" applyFill="1" applyBorder="1" applyAlignment="1">
      <alignment horizontal="center" vertical="center" wrapText="1"/>
    </xf>
    <xf numFmtId="10" fontId="2" fillId="0" borderId="4" xfId="0" applyNumberFormat="1" applyFont="1" applyBorder="1" applyAlignment="1">
      <alignment horizontal="center" vertical="center" wrapText="1"/>
    </xf>
    <xf numFmtId="165" fontId="2" fillId="0" borderId="4" xfId="0" applyNumberFormat="1" applyFont="1" applyBorder="1" applyAlignment="1">
      <alignment horizontal="center" vertical="center"/>
    </xf>
    <xf numFmtId="165" fontId="2" fillId="0" borderId="18" xfId="0" applyNumberFormat="1" applyFont="1" applyBorder="1" applyAlignment="1">
      <alignment horizontal="center" vertical="center"/>
    </xf>
    <xf numFmtId="164" fontId="2" fillId="0" borderId="4" xfId="0" applyNumberFormat="1" applyFont="1" applyBorder="1" applyAlignment="1">
      <alignment horizontal="center" vertical="center"/>
    </xf>
    <xf numFmtId="164" fontId="2" fillId="0" borderId="18" xfId="0" applyNumberFormat="1" applyFont="1" applyBorder="1" applyAlignment="1">
      <alignment horizontal="center" vertical="center"/>
    </xf>
    <xf numFmtId="9" fontId="2" fillId="0" borderId="4" xfId="0" applyNumberFormat="1" applyFont="1" applyBorder="1" applyAlignment="1">
      <alignment horizontal="center" vertical="center" wrapText="1"/>
    </xf>
    <xf numFmtId="9" fontId="2" fillId="0" borderId="18" xfId="0" applyNumberFormat="1" applyFont="1" applyBorder="1" applyAlignment="1">
      <alignment horizontal="center" vertical="center" wrapText="1"/>
    </xf>
    <xf numFmtId="3" fontId="2" fillId="0" borderId="31" xfId="0" applyNumberFormat="1" applyFont="1" applyBorder="1" applyAlignment="1">
      <alignment horizontal="center" vertical="center" wrapText="1"/>
    </xf>
    <xf numFmtId="3" fontId="2" fillId="0" borderId="33" xfId="0" applyNumberFormat="1" applyFont="1" applyBorder="1" applyAlignment="1">
      <alignment horizontal="center" vertical="center" wrapText="1"/>
    </xf>
    <xf numFmtId="164" fontId="2" fillId="0" borderId="4" xfId="0" applyNumberFormat="1" applyFont="1" applyBorder="1" applyAlignment="1">
      <alignment horizontal="center" vertical="center" wrapText="1"/>
    </xf>
    <xf numFmtId="164" fontId="2" fillId="0" borderId="18" xfId="0" applyNumberFormat="1" applyFont="1" applyBorder="1" applyAlignment="1">
      <alignment horizontal="center" vertical="center" wrapText="1"/>
    </xf>
    <xf numFmtId="3" fontId="2" fillId="0" borderId="4" xfId="0" applyNumberFormat="1" applyFont="1" applyBorder="1" applyAlignment="1">
      <alignment horizontal="center" vertical="center"/>
    </xf>
    <xf numFmtId="3" fontId="2" fillId="0" borderId="4" xfId="0" applyNumberFormat="1" applyFont="1" applyBorder="1" applyAlignment="1">
      <alignment horizontal="center" vertical="center" wrapText="1"/>
    </xf>
    <xf numFmtId="3" fontId="2" fillId="0" borderId="18" xfId="0" applyNumberFormat="1" applyFont="1" applyBorder="1" applyAlignment="1">
      <alignment horizontal="center" vertical="center" wrapText="1"/>
    </xf>
    <xf numFmtId="0" fontId="10" fillId="0" borderId="23" xfId="0" applyFont="1" applyBorder="1" applyAlignment="1">
      <alignment horizontal="right"/>
    </xf>
    <xf numFmtId="0" fontId="10" fillId="0" borderId="24" xfId="0" applyFont="1" applyBorder="1" applyAlignment="1">
      <alignment horizontal="right"/>
    </xf>
    <xf numFmtId="0" fontId="11" fillId="4" borderId="26" xfId="0" applyFont="1" applyFill="1" applyBorder="1" applyAlignment="1">
      <alignment horizontal="center" vertical="center"/>
    </xf>
    <xf numFmtId="0" fontId="11" fillId="4" borderId="27" xfId="0" applyFont="1" applyFill="1" applyBorder="1" applyAlignment="1">
      <alignment horizontal="center" vertical="center"/>
    </xf>
    <xf numFmtId="2" fontId="0" fillId="0" borderId="0" xfId="0" applyNumberFormat="1" applyAlignment="1">
      <alignment horizontal="center"/>
    </xf>
    <xf numFmtId="164" fontId="15" fillId="0" borderId="0" xfId="0" applyNumberFormat="1" applyFont="1"/>
  </cellXfs>
  <cellStyles count="3">
    <cellStyle name="Normal" xfId="0" builtinId="0"/>
    <cellStyle name="Percent" xfId="2" builtinId="5"/>
    <cellStyle name="RowLevel_1" xfId="1" builtinId="1" iLevel="0"/>
  </cellStyles>
  <dxfs count="0"/>
  <tableStyles count="0" defaultTableStyle="TableStyleMedium2" defaultPivotStyle="PivotStyleLight16"/>
  <colors>
    <mruColors>
      <color rgb="FF005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B32B5-5E16-4BB7-A83E-38AADFBEE849}">
  <dimension ref="B1:R80"/>
  <sheetViews>
    <sheetView tabSelected="1" zoomScaleNormal="100" workbookViewId="0">
      <selection activeCell="F27" sqref="F27"/>
    </sheetView>
  </sheetViews>
  <sheetFormatPr baseColWidth="10" defaultColWidth="8.83203125" defaultRowHeight="15" x14ac:dyDescent="0.2"/>
  <cols>
    <col min="2" max="2" width="45.6640625" customWidth="1"/>
    <col min="3" max="8" width="15.6640625" customWidth="1"/>
    <col min="9" max="9" width="38.83203125" bestFit="1" customWidth="1"/>
    <col min="10" max="12" width="22.5" bestFit="1" customWidth="1"/>
    <col min="13" max="13" width="14" bestFit="1" customWidth="1"/>
    <col min="16" max="16" width="10.5" bestFit="1" customWidth="1"/>
  </cols>
  <sheetData>
    <row r="1" spans="2:16" x14ac:dyDescent="0.2">
      <c r="B1" t="s">
        <v>45</v>
      </c>
      <c r="C1" s="5" t="s">
        <v>47</v>
      </c>
      <c r="D1" s="1" t="s">
        <v>46</v>
      </c>
      <c r="E1" s="1"/>
      <c r="F1" s="146" t="s">
        <v>15</v>
      </c>
      <c r="G1" s="146"/>
    </row>
    <row r="2" spans="2:16" x14ac:dyDescent="0.2">
      <c r="B2" t="s">
        <v>50</v>
      </c>
      <c r="C2" s="5" t="s">
        <v>49</v>
      </c>
      <c r="D2" s="3"/>
      <c r="E2" s="3"/>
    </row>
    <row r="3" spans="2:16" x14ac:dyDescent="0.2">
      <c r="B3" s="145" t="s">
        <v>33</v>
      </c>
      <c r="C3" s="145"/>
      <c r="D3" s="145"/>
      <c r="E3" s="145"/>
      <c r="F3" s="145"/>
      <c r="G3" s="145"/>
      <c r="H3" s="19">
        <v>100000</v>
      </c>
    </row>
    <row r="4" spans="2:16" x14ac:dyDescent="0.2">
      <c r="B4" s="145" t="s">
        <v>32</v>
      </c>
      <c r="C4" s="145"/>
      <c r="D4" s="145"/>
      <c r="E4" s="145"/>
      <c r="F4" s="145"/>
      <c r="G4" s="145"/>
      <c r="H4" s="8">
        <v>5</v>
      </c>
      <c r="P4" s="10"/>
    </row>
    <row r="5" spans="2:16" x14ac:dyDescent="0.2">
      <c r="B5" s="145" t="s">
        <v>39</v>
      </c>
      <c r="C5" s="145"/>
      <c r="D5" s="145"/>
      <c r="E5" s="145"/>
      <c r="F5" s="145"/>
      <c r="G5" s="145"/>
      <c r="H5" s="20">
        <f>SUM(H12:H22)</f>
        <v>4000000</v>
      </c>
      <c r="P5" s="10"/>
    </row>
    <row r="6" spans="2:16" x14ac:dyDescent="0.2">
      <c r="B6" s="145" t="s">
        <v>40</v>
      </c>
      <c r="C6" s="145"/>
      <c r="D6" s="145"/>
      <c r="E6" s="145"/>
      <c r="F6" s="145"/>
      <c r="G6" s="145"/>
      <c r="H6" s="21">
        <f>H24</f>
        <v>10478.16</v>
      </c>
      <c r="P6" s="10"/>
    </row>
    <row r="7" spans="2:16" x14ac:dyDescent="0.2">
      <c r="C7" s="147" t="s">
        <v>31</v>
      </c>
      <c r="D7" s="147"/>
      <c r="E7" s="147"/>
      <c r="F7" s="147"/>
      <c r="G7" s="147"/>
      <c r="H7" s="147"/>
      <c r="J7" s="147"/>
      <c r="K7" s="147"/>
      <c r="L7" s="147"/>
      <c r="P7" s="10"/>
    </row>
    <row r="8" spans="2:16" x14ac:dyDescent="0.2">
      <c r="C8" s="147" t="str">
        <f>F1</f>
        <v>Senior Marketing Director</v>
      </c>
      <c r="D8" s="147"/>
      <c r="E8" s="147"/>
      <c r="F8" s="147"/>
      <c r="G8" s="147"/>
      <c r="H8" s="147"/>
      <c r="J8" s="2"/>
      <c r="K8" s="2"/>
      <c r="L8" s="2"/>
      <c r="P8" s="10"/>
    </row>
    <row r="9" spans="2:16" x14ac:dyDescent="0.2">
      <c r="C9" s="148">
        <f t="shared" ref="C9" si="0">VLOOKUP(C8,Agentlevels,2,)</f>
        <v>0.66</v>
      </c>
      <c r="D9" s="148"/>
      <c r="E9" s="148"/>
      <c r="F9" s="148"/>
      <c r="G9" s="148"/>
      <c r="H9" s="148"/>
      <c r="J9" s="2"/>
      <c r="K9" s="2"/>
      <c r="L9" s="2"/>
      <c r="P9" s="10"/>
    </row>
    <row r="10" spans="2:16" x14ac:dyDescent="0.2">
      <c r="B10" t="s">
        <v>0</v>
      </c>
      <c r="C10" s="2" t="s">
        <v>2</v>
      </c>
      <c r="D10" s="2" t="s">
        <v>3</v>
      </c>
      <c r="E10" s="2" t="s">
        <v>4</v>
      </c>
      <c r="F10" s="2" t="s">
        <v>23</v>
      </c>
      <c r="G10" s="2" t="s">
        <v>24</v>
      </c>
      <c r="H10" s="2" t="s">
        <v>30</v>
      </c>
      <c r="J10" s="149"/>
      <c r="K10" s="149"/>
      <c r="L10" s="15"/>
      <c r="P10" s="10"/>
    </row>
    <row r="11" spans="2:16" x14ac:dyDescent="0.2">
      <c r="B11" t="s">
        <v>26</v>
      </c>
      <c r="C11" s="20"/>
      <c r="D11" s="20"/>
      <c r="E11" s="20"/>
      <c r="F11" s="20"/>
      <c r="G11" s="20"/>
      <c r="H11" s="2"/>
      <c r="J11" s="9"/>
      <c r="K11" s="9"/>
      <c r="L11" s="15"/>
      <c r="P11" s="10"/>
    </row>
    <row r="12" spans="2:16" x14ac:dyDescent="0.2">
      <c r="B12" t="s">
        <v>5</v>
      </c>
      <c r="C12" s="22">
        <v>100000</v>
      </c>
      <c r="D12" s="22">
        <v>100000</v>
      </c>
      <c r="E12" s="22">
        <v>100000</v>
      </c>
      <c r="F12" s="22">
        <v>100000</v>
      </c>
      <c r="G12" s="22">
        <v>100000</v>
      </c>
      <c r="H12" s="20">
        <f>SUM(C12:G12)</f>
        <v>500000</v>
      </c>
      <c r="J12" s="9"/>
      <c r="K12" s="9"/>
      <c r="L12" s="15"/>
      <c r="P12" s="10"/>
    </row>
    <row r="13" spans="2:16" x14ac:dyDescent="0.2">
      <c r="B13" t="s">
        <v>25</v>
      </c>
      <c r="C13" s="22">
        <v>100000</v>
      </c>
      <c r="D13" s="22">
        <v>100000</v>
      </c>
      <c r="E13" s="22">
        <v>100000</v>
      </c>
      <c r="F13" s="22">
        <v>100000</v>
      </c>
      <c r="G13" s="22">
        <v>100000</v>
      </c>
      <c r="H13" s="20">
        <f t="shared" ref="H13:H22" si="1">SUM(C13:G13)</f>
        <v>500000</v>
      </c>
      <c r="J13" s="9"/>
      <c r="K13" s="9"/>
      <c r="L13" s="15"/>
      <c r="P13" s="10"/>
    </row>
    <row r="14" spans="2:16" x14ac:dyDescent="0.2">
      <c r="B14" t="s">
        <v>27</v>
      </c>
      <c r="C14" s="20"/>
      <c r="D14" s="20"/>
      <c r="E14" s="20"/>
      <c r="F14" s="20"/>
      <c r="G14" s="20"/>
      <c r="H14" s="20"/>
      <c r="J14" s="9"/>
      <c r="K14" s="9"/>
      <c r="L14" s="15"/>
      <c r="P14" s="10"/>
    </row>
    <row r="15" spans="2:16" x14ac:dyDescent="0.2">
      <c r="B15" t="s">
        <v>5</v>
      </c>
      <c r="C15" s="22">
        <v>100000</v>
      </c>
      <c r="D15" s="22">
        <v>100000</v>
      </c>
      <c r="E15" s="22">
        <v>100000</v>
      </c>
      <c r="F15" s="22">
        <v>100000</v>
      </c>
      <c r="G15" s="22">
        <v>100000</v>
      </c>
      <c r="H15" s="20">
        <f t="shared" si="1"/>
        <v>500000</v>
      </c>
      <c r="J15" s="9"/>
      <c r="K15" s="9"/>
      <c r="L15" s="15"/>
      <c r="P15" s="10"/>
    </row>
    <row r="16" spans="2:16" x14ac:dyDescent="0.2">
      <c r="B16" t="s">
        <v>25</v>
      </c>
      <c r="C16" s="22">
        <v>100000</v>
      </c>
      <c r="D16" s="22">
        <v>100000</v>
      </c>
      <c r="E16" s="22">
        <v>100000</v>
      </c>
      <c r="F16" s="22">
        <v>100000</v>
      </c>
      <c r="G16" s="22">
        <v>100000</v>
      </c>
      <c r="H16" s="20">
        <f t="shared" si="1"/>
        <v>500000</v>
      </c>
      <c r="J16" s="9"/>
      <c r="K16" s="9"/>
      <c r="L16" s="15"/>
      <c r="P16" s="10"/>
    </row>
    <row r="17" spans="2:18" x14ac:dyDescent="0.2">
      <c r="B17" t="s">
        <v>28</v>
      </c>
      <c r="C17" s="20"/>
      <c r="D17" s="20"/>
      <c r="E17" s="20"/>
      <c r="F17" s="20"/>
      <c r="G17" s="20"/>
      <c r="H17" s="20"/>
      <c r="J17" s="9"/>
      <c r="K17" s="9"/>
      <c r="L17" s="15"/>
      <c r="P17" s="10"/>
    </row>
    <row r="18" spans="2:18" x14ac:dyDescent="0.2">
      <c r="B18" t="s">
        <v>5</v>
      </c>
      <c r="C18" s="22">
        <v>100000</v>
      </c>
      <c r="D18" s="22">
        <v>100000</v>
      </c>
      <c r="E18" s="22">
        <v>100000</v>
      </c>
      <c r="F18" s="22">
        <v>100000</v>
      </c>
      <c r="G18" s="22">
        <v>100000</v>
      </c>
      <c r="H18" s="20">
        <f t="shared" si="1"/>
        <v>500000</v>
      </c>
      <c r="J18" s="9"/>
      <c r="K18" s="9"/>
      <c r="L18" s="15"/>
      <c r="P18" s="10"/>
    </row>
    <row r="19" spans="2:18" x14ac:dyDescent="0.2">
      <c r="B19" t="s">
        <v>25</v>
      </c>
      <c r="C19" s="22">
        <v>100000</v>
      </c>
      <c r="D19" s="22">
        <v>100000</v>
      </c>
      <c r="E19" s="22">
        <v>100000</v>
      </c>
      <c r="F19" s="22">
        <v>100000</v>
      </c>
      <c r="G19" s="22">
        <v>100000</v>
      </c>
      <c r="H19" s="20">
        <f t="shared" si="1"/>
        <v>500000</v>
      </c>
      <c r="J19" s="9"/>
      <c r="K19" s="9"/>
      <c r="L19" s="15"/>
      <c r="P19" s="10"/>
    </row>
    <row r="20" spans="2:18" x14ac:dyDescent="0.2">
      <c r="B20" t="s">
        <v>29</v>
      </c>
      <c r="C20" s="20"/>
      <c r="D20" s="20"/>
      <c r="E20" s="20"/>
      <c r="F20" s="20"/>
      <c r="G20" s="20"/>
      <c r="H20" s="20"/>
      <c r="J20" s="9"/>
      <c r="K20" s="9"/>
      <c r="L20" s="15"/>
      <c r="P20" s="10"/>
    </row>
    <row r="21" spans="2:18" x14ac:dyDescent="0.2">
      <c r="B21" t="s">
        <v>5</v>
      </c>
      <c r="C21" s="22">
        <v>100000</v>
      </c>
      <c r="D21" s="22">
        <v>100000</v>
      </c>
      <c r="E21" s="22">
        <v>100000</v>
      </c>
      <c r="F21" s="22">
        <v>100000</v>
      </c>
      <c r="G21" s="22">
        <v>100000</v>
      </c>
      <c r="H21" s="20">
        <f t="shared" si="1"/>
        <v>500000</v>
      </c>
      <c r="J21" s="9"/>
      <c r="K21" s="9"/>
      <c r="L21" s="15"/>
      <c r="P21" s="10"/>
    </row>
    <row r="22" spans="2:18" x14ac:dyDescent="0.2">
      <c r="B22" t="s">
        <v>25</v>
      </c>
      <c r="C22" s="22">
        <v>100000</v>
      </c>
      <c r="D22" s="22">
        <v>100000</v>
      </c>
      <c r="E22" s="22">
        <v>100000</v>
      </c>
      <c r="F22" s="22">
        <v>100000</v>
      </c>
      <c r="G22" s="22">
        <v>100000</v>
      </c>
      <c r="H22" s="20">
        <f t="shared" si="1"/>
        <v>500000</v>
      </c>
      <c r="J22" s="9"/>
      <c r="K22" s="9"/>
      <c r="L22" s="15"/>
      <c r="P22" s="10"/>
    </row>
    <row r="23" spans="2:18" x14ac:dyDescent="0.2">
      <c r="B23" t="s">
        <v>34</v>
      </c>
      <c r="C23" s="20"/>
      <c r="D23" s="20"/>
      <c r="E23" s="20"/>
      <c r="F23" s="20"/>
      <c r="G23" s="20"/>
      <c r="H23" s="20"/>
      <c r="J23" s="9"/>
      <c r="K23" s="9"/>
      <c r="L23" s="15"/>
      <c r="P23" s="10"/>
    </row>
    <row r="24" spans="2:18" x14ac:dyDescent="0.2">
      <c r="B24" t="s">
        <v>38</v>
      </c>
      <c r="C24" s="20">
        <f>((C12+C15+C18+C21)*0.504%*84%*$C$9)+((C13+C16+C19+C22)*1.008%*84%*$C$9)</f>
        <v>3353.0111999999999</v>
      </c>
      <c r="D24" s="20">
        <f>(D12*0%*84%*$C$9)+(D13*0%*84%*$C$9)+(D15*0.252%*84%*$C$9)+(D16*0.504%*84%*$C$9)+(D18*0.252%*84%*$C$9)+(D19*0.504%*84%*$C$9)+(D21*0.504%*84%*$C$9)+(D22*1.008%*84%*$C$9)</f>
        <v>1676.5056</v>
      </c>
      <c r="E24" s="20">
        <f>(E12*0%*84%*$C$9)+(E13*0%*84%*$C$9)+(E15*0.252%*84%*$C$9)+(E16*0.504%*84%*$C$9)+(E18*0.252%*84%*$C$9)+(E19*0.504%*84%*$C$9)+(E21*0.252%*84%*$C$9)+(E22*0.504%*84%*$C$9)</f>
        <v>1257.3791999999999</v>
      </c>
      <c r="F24" s="20">
        <f>(F12*0.252%*84%*$C$9)+(F13*0.504%*84%*$C$9)+(F15*0.252%*84%*$C$9)+(F16*0.504%*84%*$C$9)+(F18*0.504%*84%*$C$9)+(F19*1.008%*84%*$C$9)+(F21*0.504%*84%*$C$9)+(F22*1.008%*84%*$C$9)</f>
        <v>2514.7583999999997</v>
      </c>
      <c r="G24" s="20">
        <f>(G12*0.252%*84%*$C$9)+(G13*0.504%*84%*$C$9)+(G15*0.252%*84%*$C$9)+(G16*0.504%*84%*$C$9)+(G18*0.252%*84%*$C$9)+(G19*0.504%*84%*$C$9)+(G21*0.252%*84%*$C$9)+(G22*0.504%*84%*$C$9)</f>
        <v>1676.5055999999997</v>
      </c>
      <c r="H24" s="20">
        <f>SUM(C24:G24)</f>
        <v>10478.16</v>
      </c>
      <c r="J24" s="9"/>
      <c r="K24" s="9"/>
      <c r="L24" s="15"/>
      <c r="P24" s="10"/>
    </row>
    <row r="25" spans="2:18" x14ac:dyDescent="0.2">
      <c r="C25" s="4"/>
      <c r="D25" s="4"/>
      <c r="E25" s="4"/>
      <c r="F25" s="4"/>
      <c r="G25" s="4"/>
      <c r="J25" s="9"/>
      <c r="K25" s="9"/>
      <c r="L25" s="15"/>
      <c r="P25" s="10"/>
    </row>
    <row r="26" spans="2:18" x14ac:dyDescent="0.2">
      <c r="C26" s="147"/>
      <c r="D26" s="147"/>
      <c r="E26" s="147"/>
      <c r="J26" s="9"/>
      <c r="K26" s="9"/>
      <c r="L26" s="15"/>
      <c r="P26" s="10"/>
    </row>
    <row r="27" spans="2:18" x14ac:dyDescent="0.2">
      <c r="J27" s="9"/>
      <c r="K27" s="9"/>
      <c r="L27" s="15"/>
      <c r="P27" s="10"/>
    </row>
    <row r="28" spans="2:18" x14ac:dyDescent="0.2">
      <c r="C28" s="147"/>
      <c r="D28" s="147"/>
      <c r="E28" s="147"/>
      <c r="F28" s="2"/>
      <c r="G28" s="2"/>
      <c r="H28" s="2"/>
      <c r="I28" s="2"/>
      <c r="J28" s="145"/>
      <c r="K28" s="145"/>
      <c r="L28" s="2"/>
      <c r="P28" s="10"/>
    </row>
    <row r="29" spans="2:18" x14ac:dyDescent="0.2">
      <c r="C29" s="2"/>
      <c r="D29" s="2"/>
      <c r="E29" s="2"/>
      <c r="F29" s="2"/>
      <c r="G29" s="2"/>
      <c r="H29" s="2"/>
      <c r="I29" s="9"/>
      <c r="J29" s="2"/>
      <c r="K29" s="2"/>
      <c r="L29" s="2"/>
      <c r="P29" s="10"/>
    </row>
    <row r="30" spans="2:18" x14ac:dyDescent="0.2">
      <c r="C30" s="20"/>
      <c r="D30" s="254"/>
      <c r="E30" s="7"/>
      <c r="F30" s="7"/>
      <c r="G30" s="7"/>
      <c r="H30" s="7"/>
      <c r="I30" s="12"/>
      <c r="J30" s="7"/>
      <c r="K30" s="7"/>
      <c r="L30" s="7"/>
      <c r="P30" s="10"/>
      <c r="Q30" s="2"/>
      <c r="R30" s="2"/>
    </row>
    <row r="31" spans="2:18" x14ac:dyDescent="0.2">
      <c r="C31" s="4"/>
      <c r="D31" s="4"/>
      <c r="E31" s="4"/>
      <c r="F31" s="4"/>
      <c r="G31" s="4"/>
      <c r="H31" s="4"/>
      <c r="I31" s="150"/>
      <c r="J31" s="151"/>
      <c r="K31" s="151"/>
      <c r="L31" s="151"/>
      <c r="M31" s="151"/>
      <c r="P31" s="10"/>
    </row>
    <row r="32" spans="2:18" ht="16" x14ac:dyDescent="0.2">
      <c r="C32" s="255"/>
      <c r="I32" s="150"/>
      <c r="J32" s="151"/>
      <c r="K32" s="151"/>
      <c r="L32" s="151"/>
      <c r="M32" s="151"/>
      <c r="P32" s="10"/>
    </row>
    <row r="33" spans="3:16" x14ac:dyDescent="0.2">
      <c r="C33" s="4"/>
      <c r="D33" s="4"/>
      <c r="E33" s="4"/>
      <c r="F33" s="4"/>
      <c r="G33" s="4"/>
      <c r="H33" s="4"/>
      <c r="I33" s="150"/>
      <c r="J33" s="151"/>
      <c r="K33" s="151"/>
      <c r="L33" s="151"/>
      <c r="M33" s="151"/>
      <c r="P33" s="10"/>
    </row>
    <row r="34" spans="3:16" x14ac:dyDescent="0.2">
      <c r="I34" s="9"/>
      <c r="P34" s="10"/>
    </row>
    <row r="35" spans="3:16" x14ac:dyDescent="0.2">
      <c r="I35" s="9"/>
      <c r="P35" s="10"/>
    </row>
    <row r="36" spans="3:16" x14ac:dyDescent="0.2">
      <c r="C36" s="4"/>
      <c r="D36" s="4"/>
      <c r="E36" s="4"/>
      <c r="F36" s="4"/>
      <c r="G36" s="4"/>
      <c r="H36" s="4"/>
      <c r="I36" s="152"/>
      <c r="J36" s="151"/>
      <c r="K36" s="151"/>
      <c r="L36" s="151"/>
      <c r="M36" s="151"/>
      <c r="P36" s="10"/>
    </row>
    <row r="37" spans="3:16" x14ac:dyDescent="0.2">
      <c r="I37" s="152"/>
      <c r="J37" s="151"/>
      <c r="K37" s="151"/>
      <c r="L37" s="151"/>
      <c r="M37" s="153"/>
      <c r="P37" s="10"/>
    </row>
    <row r="38" spans="3:16" x14ac:dyDescent="0.2">
      <c r="C38" s="4"/>
      <c r="D38" s="4"/>
      <c r="E38" s="4"/>
      <c r="F38" s="4"/>
      <c r="G38" s="4"/>
      <c r="H38" s="4"/>
      <c r="I38" s="152"/>
      <c r="J38" s="151"/>
      <c r="K38" s="151"/>
      <c r="L38" s="151"/>
      <c r="M38" s="153"/>
    </row>
    <row r="39" spans="3:16" x14ac:dyDescent="0.2">
      <c r="I39" s="9"/>
    </row>
    <row r="41" spans="3:16" x14ac:dyDescent="0.2">
      <c r="C41" s="6"/>
      <c r="D41" s="6"/>
      <c r="E41" s="6"/>
      <c r="F41" s="6"/>
      <c r="G41" s="6"/>
      <c r="H41" s="6"/>
      <c r="J41" s="6"/>
      <c r="K41" s="6"/>
      <c r="L41" s="6"/>
      <c r="M41" s="6"/>
      <c r="N41" s="6"/>
    </row>
    <row r="42" spans="3:16" x14ac:dyDescent="0.2">
      <c r="C42" s="6"/>
      <c r="D42" s="6"/>
      <c r="E42" s="6"/>
      <c r="F42" s="6"/>
      <c r="G42" s="6"/>
      <c r="H42" s="6"/>
      <c r="J42" s="6"/>
      <c r="K42" s="6"/>
      <c r="L42" s="6"/>
      <c r="M42" s="6"/>
    </row>
    <row r="43" spans="3:16" x14ac:dyDescent="0.2">
      <c r="C43" s="6"/>
      <c r="D43" s="6"/>
      <c r="E43" s="6"/>
      <c r="F43" s="6"/>
      <c r="G43" s="6"/>
      <c r="H43" s="6"/>
      <c r="J43" s="6"/>
      <c r="K43" s="6"/>
      <c r="L43" s="6"/>
      <c r="M43" s="6"/>
    </row>
    <row r="44" spans="3:16" x14ac:dyDescent="0.2">
      <c r="I44" s="9"/>
    </row>
    <row r="45" spans="3:16" x14ac:dyDescent="0.2">
      <c r="C45" s="147"/>
      <c r="D45" s="147"/>
      <c r="E45" s="147"/>
      <c r="F45" s="2"/>
      <c r="G45" s="2"/>
      <c r="H45" s="2"/>
      <c r="I45" s="9"/>
      <c r="J45" s="147"/>
      <c r="K45" s="147"/>
      <c r="L45" s="147"/>
    </row>
    <row r="46" spans="3:16" x14ac:dyDescent="0.2">
      <c r="C46" s="154"/>
      <c r="D46" s="154"/>
      <c r="E46" s="154"/>
      <c r="F46" s="16"/>
      <c r="G46" s="16"/>
      <c r="H46" s="16"/>
      <c r="I46" s="17"/>
      <c r="J46" s="154"/>
      <c r="K46" s="154"/>
      <c r="L46" s="154"/>
    </row>
    <row r="47" spans="3:16" x14ac:dyDescent="0.2">
      <c r="C47" s="4"/>
      <c r="D47" s="4"/>
      <c r="E47" s="4"/>
      <c r="F47" s="4"/>
      <c r="G47" s="4"/>
      <c r="H47" s="4"/>
      <c r="I47" s="13"/>
      <c r="J47" s="4"/>
      <c r="K47" s="4"/>
      <c r="L47" s="4"/>
      <c r="M47" s="4"/>
    </row>
    <row r="48" spans="3:16" x14ac:dyDescent="0.2">
      <c r="C48" s="4"/>
      <c r="D48" s="4"/>
      <c r="E48" s="4"/>
      <c r="F48" s="4"/>
      <c r="G48" s="4"/>
      <c r="H48" s="4"/>
      <c r="I48" s="13"/>
      <c r="J48" s="4"/>
      <c r="K48" s="4"/>
      <c r="L48" s="4"/>
      <c r="M48" s="4"/>
    </row>
    <row r="49" spans="3:13" x14ac:dyDescent="0.2">
      <c r="C49" s="4"/>
      <c r="D49" s="4"/>
      <c r="E49" s="4"/>
      <c r="F49" s="4"/>
      <c r="G49" s="4"/>
      <c r="H49" s="4"/>
      <c r="I49" s="13"/>
      <c r="J49" s="4"/>
      <c r="K49" s="4"/>
      <c r="L49" s="4"/>
      <c r="M49" s="4"/>
    </row>
    <row r="50" spans="3:13" x14ac:dyDescent="0.2">
      <c r="I50" s="9"/>
    </row>
    <row r="51" spans="3:13" x14ac:dyDescent="0.2">
      <c r="C51" s="147"/>
      <c r="D51" s="147"/>
      <c r="E51" s="147"/>
      <c r="J51" s="147"/>
      <c r="K51" s="147"/>
      <c r="L51" s="147"/>
    </row>
    <row r="52" spans="3:13" x14ac:dyDescent="0.2">
      <c r="C52" s="147"/>
      <c r="D52" s="147"/>
      <c r="E52" s="147"/>
      <c r="J52" s="147"/>
      <c r="K52" s="147"/>
      <c r="L52" s="147"/>
    </row>
    <row r="53" spans="3:13" x14ac:dyDescent="0.2">
      <c r="C53" s="147"/>
      <c r="D53" s="147"/>
      <c r="E53" s="147"/>
      <c r="J53" s="147"/>
      <c r="K53" s="147"/>
      <c r="L53" s="147"/>
    </row>
    <row r="54" spans="3:13" x14ac:dyDescent="0.2">
      <c r="C54" s="2"/>
      <c r="D54" s="2"/>
      <c r="E54" s="2"/>
      <c r="J54" s="2"/>
      <c r="K54" s="2"/>
      <c r="L54" s="2"/>
    </row>
    <row r="55" spans="3:13" x14ac:dyDescent="0.2">
      <c r="C55" s="7"/>
      <c r="D55" s="7"/>
      <c r="E55" s="7"/>
      <c r="J55" s="7"/>
      <c r="K55" s="7"/>
      <c r="L55" s="7"/>
    </row>
    <row r="56" spans="3:13" x14ac:dyDescent="0.2">
      <c r="C56" s="4"/>
      <c r="D56" s="4"/>
      <c r="E56" s="4"/>
      <c r="F56" s="4"/>
      <c r="G56" s="4"/>
      <c r="H56" s="4"/>
      <c r="I56" s="155"/>
      <c r="J56" s="151"/>
      <c r="K56" s="151"/>
      <c r="L56" s="151"/>
      <c r="M56" s="151"/>
    </row>
    <row r="57" spans="3:13" x14ac:dyDescent="0.2">
      <c r="I57" s="155"/>
      <c r="J57" s="151"/>
      <c r="K57" s="151"/>
      <c r="L57" s="151"/>
      <c r="M57" s="153"/>
    </row>
    <row r="58" spans="3:13" x14ac:dyDescent="0.2">
      <c r="C58" s="4"/>
      <c r="D58" s="4"/>
      <c r="E58" s="4"/>
      <c r="F58" s="4"/>
      <c r="G58" s="4"/>
      <c r="H58" s="4"/>
      <c r="I58" s="155"/>
      <c r="J58" s="151"/>
      <c r="K58" s="151"/>
      <c r="L58" s="151"/>
      <c r="M58" s="153"/>
    </row>
    <row r="61" spans="3:13" x14ac:dyDescent="0.2">
      <c r="C61" s="4"/>
      <c r="D61" s="4"/>
      <c r="E61" s="4"/>
      <c r="I61" s="155"/>
      <c r="J61" s="151"/>
      <c r="K61" s="151"/>
      <c r="L61" s="151"/>
      <c r="M61" s="151"/>
    </row>
    <row r="62" spans="3:13" x14ac:dyDescent="0.2">
      <c r="I62" s="155"/>
      <c r="J62" s="151"/>
      <c r="K62" s="151"/>
      <c r="L62" s="151"/>
      <c r="M62" s="153"/>
    </row>
    <row r="63" spans="3:13" x14ac:dyDescent="0.2">
      <c r="C63" s="4"/>
      <c r="D63" s="4"/>
      <c r="E63" s="4"/>
      <c r="F63" s="4"/>
      <c r="G63" s="4"/>
      <c r="H63" s="4"/>
      <c r="I63" s="155"/>
      <c r="J63" s="151"/>
      <c r="K63" s="151"/>
      <c r="L63" s="151"/>
      <c r="M63" s="153"/>
    </row>
    <row r="66" spans="3:13" x14ac:dyDescent="0.2">
      <c r="C66" s="6"/>
      <c r="D66" s="6"/>
      <c r="E66" s="6"/>
      <c r="F66" s="6"/>
      <c r="G66" s="6"/>
      <c r="H66" s="6"/>
      <c r="J66" s="6"/>
      <c r="K66" s="6"/>
      <c r="L66" s="6"/>
      <c r="M66" s="6"/>
    </row>
    <row r="67" spans="3:13" x14ac:dyDescent="0.2">
      <c r="C67" s="6"/>
      <c r="D67" s="6"/>
      <c r="E67" s="6"/>
      <c r="F67" s="6"/>
      <c r="G67" s="6"/>
      <c r="H67" s="6"/>
      <c r="J67" s="6"/>
      <c r="K67" s="6"/>
      <c r="L67" s="6"/>
      <c r="M67" s="6"/>
    </row>
    <row r="68" spans="3:13" x14ac:dyDescent="0.2">
      <c r="C68" s="6"/>
      <c r="D68" s="6"/>
      <c r="E68" s="6"/>
      <c r="F68" s="6"/>
      <c r="G68" s="6"/>
      <c r="H68" s="6"/>
      <c r="J68" s="6"/>
      <c r="K68" s="6"/>
      <c r="L68" s="6"/>
      <c r="M68" s="6"/>
    </row>
    <row r="70" spans="3:13" x14ac:dyDescent="0.2">
      <c r="C70" s="147"/>
      <c r="D70" s="147"/>
      <c r="E70" s="147"/>
      <c r="J70" s="147"/>
      <c r="K70" s="147"/>
      <c r="L70" s="147"/>
    </row>
    <row r="71" spans="3:13" x14ac:dyDescent="0.2">
      <c r="C71" s="154"/>
      <c r="D71" s="154"/>
      <c r="E71" s="154"/>
      <c r="J71" s="16"/>
      <c r="K71" s="16"/>
      <c r="L71" s="16"/>
    </row>
    <row r="72" spans="3:13" x14ac:dyDescent="0.2">
      <c r="C72" s="16"/>
      <c r="D72" s="16"/>
      <c r="E72" s="16"/>
      <c r="J72" s="16"/>
      <c r="K72" s="16"/>
      <c r="L72" s="16"/>
    </row>
    <row r="73" spans="3:13" x14ac:dyDescent="0.2">
      <c r="C73" s="16"/>
      <c r="D73" s="16"/>
      <c r="E73" s="16"/>
      <c r="J73" s="16"/>
      <c r="K73" s="16"/>
      <c r="L73" s="16"/>
    </row>
    <row r="74" spans="3:13" x14ac:dyDescent="0.2">
      <c r="C74" s="4"/>
      <c r="D74" s="4"/>
      <c r="E74" s="4"/>
      <c r="F74" s="4"/>
      <c r="G74" s="4"/>
      <c r="H74" s="4"/>
      <c r="J74" s="4"/>
      <c r="K74" s="4"/>
      <c r="L74" s="4"/>
      <c r="M74" s="4"/>
    </row>
    <row r="75" spans="3:13" x14ac:dyDescent="0.2">
      <c r="C75" s="4"/>
      <c r="D75" s="4"/>
      <c r="E75" s="4"/>
      <c r="F75" s="4"/>
      <c r="G75" s="4"/>
      <c r="H75" s="4"/>
      <c r="J75" s="4"/>
      <c r="K75" s="4"/>
      <c r="L75" s="4"/>
      <c r="M75" s="4"/>
    </row>
    <row r="76" spans="3:13" x14ac:dyDescent="0.2">
      <c r="C76" s="4"/>
      <c r="D76" s="4"/>
      <c r="E76" s="4"/>
      <c r="F76" s="4"/>
      <c r="G76" s="4"/>
      <c r="H76" s="4"/>
      <c r="J76" s="4"/>
      <c r="K76" s="4"/>
      <c r="L76" s="4"/>
      <c r="M76" s="4"/>
    </row>
    <row r="78" spans="3:13" x14ac:dyDescent="0.2">
      <c r="D78" s="4"/>
      <c r="F78" s="4"/>
      <c r="G78" s="4"/>
      <c r="H78" s="4"/>
      <c r="K78" s="4"/>
      <c r="M78" s="4"/>
    </row>
    <row r="79" spans="3:13" x14ac:dyDescent="0.2">
      <c r="D79" s="4"/>
      <c r="E79" s="4"/>
    </row>
    <row r="80" spans="3:13" x14ac:dyDescent="0.2">
      <c r="D80" s="4"/>
      <c r="E80" s="4"/>
    </row>
  </sheetData>
  <mergeCells count="47">
    <mergeCell ref="C70:E70"/>
    <mergeCell ref="J70:L70"/>
    <mergeCell ref="C71:E71"/>
    <mergeCell ref="M56:M58"/>
    <mergeCell ref="I61:I63"/>
    <mergeCell ref="J61:J63"/>
    <mergeCell ref="K61:K63"/>
    <mergeCell ref="L61:L63"/>
    <mergeCell ref="M61:M63"/>
    <mergeCell ref="C52:E52"/>
    <mergeCell ref="J52:L52"/>
    <mergeCell ref="C53:E53"/>
    <mergeCell ref="J53:L53"/>
    <mergeCell ref="I56:I58"/>
    <mergeCell ref="J56:J58"/>
    <mergeCell ref="K56:K58"/>
    <mergeCell ref="L56:L58"/>
    <mergeCell ref="C45:E45"/>
    <mergeCell ref="J45:L45"/>
    <mergeCell ref="C46:E46"/>
    <mergeCell ref="J46:L46"/>
    <mergeCell ref="C51:E51"/>
    <mergeCell ref="J51:L51"/>
    <mergeCell ref="M31:M33"/>
    <mergeCell ref="I36:I38"/>
    <mergeCell ref="J36:J38"/>
    <mergeCell ref="K36:K38"/>
    <mergeCell ref="L36:L38"/>
    <mergeCell ref="M36:M38"/>
    <mergeCell ref="L31:L33"/>
    <mergeCell ref="C28:E28"/>
    <mergeCell ref="J28:K28"/>
    <mergeCell ref="C26:E26"/>
    <mergeCell ref="I31:I33"/>
    <mergeCell ref="J31:J33"/>
    <mergeCell ref="K31:K33"/>
    <mergeCell ref="C7:H7"/>
    <mergeCell ref="J7:L7"/>
    <mergeCell ref="C8:H8"/>
    <mergeCell ref="C9:H9"/>
    <mergeCell ref="J10:K10"/>
    <mergeCell ref="D1:E1"/>
    <mergeCell ref="B3:G3"/>
    <mergeCell ref="B4:G4"/>
    <mergeCell ref="B6:G6"/>
    <mergeCell ref="B5:G5"/>
    <mergeCell ref="F1:G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092A299-9634-4C97-9D3C-6804D91D71D4}">
          <x14:formula1>
            <xm:f>'Background Information'!$A$4:$A$10</xm:f>
          </x14:formula1>
          <xm:sqref>C70 C51 C45 J51 J70 F45:H45 J45 F1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192A4-0539-4EA7-A81E-DF2D2D8DC9E5}">
  <sheetPr>
    <outlinePr summaryBelow="0" summaryRight="0"/>
  </sheetPr>
  <dimension ref="B1:AN127"/>
  <sheetViews>
    <sheetView zoomScale="86" zoomScaleNormal="100" workbookViewId="0">
      <selection activeCell="A10" sqref="A10"/>
    </sheetView>
  </sheetViews>
  <sheetFormatPr baseColWidth="10" defaultColWidth="8.83203125" defaultRowHeight="15" x14ac:dyDescent="0.2"/>
  <cols>
    <col min="2" max="2" width="25.6640625" customWidth="1"/>
    <col min="3" max="3" width="15.6640625" customWidth="1"/>
    <col min="4" max="8" width="12.6640625" customWidth="1"/>
    <col min="9" max="12" width="14.6640625" customWidth="1"/>
    <col min="13" max="14" width="12.6640625" customWidth="1"/>
    <col min="15" max="16" width="15.6640625" customWidth="1"/>
    <col min="17" max="19" width="14.6640625" customWidth="1"/>
    <col min="20" max="20" width="18.6640625" customWidth="1"/>
    <col min="21" max="21" width="12.6640625" customWidth="1"/>
    <col min="22" max="22" width="15.6640625" customWidth="1"/>
    <col min="23" max="23" width="15.6640625" style="43" customWidth="1"/>
    <col min="24" max="25" width="8.1640625" customWidth="1"/>
    <col min="26" max="28" width="12.6640625" customWidth="1"/>
    <col min="29" max="31" width="14.6640625" customWidth="1"/>
    <col min="32" max="32" width="12.6640625" customWidth="1"/>
    <col min="33" max="33" width="8.1640625" customWidth="1"/>
    <col min="34" max="34" width="14.33203125" bestFit="1" customWidth="1"/>
    <col min="35" max="38" width="15.6640625" customWidth="1"/>
    <col min="39" max="39" width="18.6640625" bestFit="1" customWidth="1"/>
    <col min="40" max="40" width="15.6640625" customWidth="1"/>
  </cols>
  <sheetData>
    <row r="1" spans="2:40" x14ac:dyDescent="0.2">
      <c r="B1" s="154" t="s">
        <v>22</v>
      </c>
      <c r="C1" s="154"/>
      <c r="D1" s="154"/>
      <c r="E1" s="154"/>
      <c r="F1" s="154"/>
      <c r="G1" s="154"/>
      <c r="H1" s="154"/>
    </row>
    <row r="2" spans="2:40" x14ac:dyDescent="0.2">
      <c r="B2" s="145" t="s">
        <v>37</v>
      </c>
      <c r="C2" s="145"/>
      <c r="D2" s="145"/>
      <c r="E2" s="145"/>
      <c r="F2" s="145"/>
      <c r="H2" s="24">
        <f>AF10</f>
        <v>57999</v>
      </c>
      <c r="T2" s="10"/>
    </row>
    <row r="3" spans="2:40" x14ac:dyDescent="0.2">
      <c r="B3" s="145" t="s">
        <v>36</v>
      </c>
      <c r="C3" s="145"/>
      <c r="D3" s="145"/>
      <c r="E3" s="145"/>
      <c r="F3" s="145"/>
      <c r="H3" s="20">
        <f>AN10</f>
        <v>43401.504706559994</v>
      </c>
      <c r="I3" s="2"/>
      <c r="J3" s="2"/>
      <c r="L3" s="2"/>
      <c r="M3" s="2"/>
      <c r="N3" s="2"/>
      <c r="O3" s="2"/>
      <c r="P3" s="2"/>
      <c r="T3" s="10"/>
    </row>
    <row r="4" spans="2:40" x14ac:dyDescent="0.2">
      <c r="B4" s="145" t="s">
        <v>44</v>
      </c>
      <c r="C4" s="145"/>
      <c r="D4" s="145"/>
      <c r="E4" s="145"/>
      <c r="F4" s="145"/>
      <c r="H4" s="20">
        <f>AK10*12</f>
        <v>876.14182656000003</v>
      </c>
      <c r="I4" s="2"/>
      <c r="J4" s="2"/>
      <c r="L4" s="2"/>
      <c r="M4" s="2"/>
      <c r="N4" s="2"/>
      <c r="O4" s="2"/>
      <c r="P4" s="2"/>
      <c r="T4" s="10"/>
    </row>
    <row r="5" spans="2:40" x14ac:dyDescent="0.2">
      <c r="B5" s="16"/>
      <c r="C5" s="16"/>
      <c r="D5" s="16"/>
      <c r="E5" s="16"/>
      <c r="F5" s="16"/>
      <c r="G5" s="16"/>
      <c r="H5" s="16"/>
      <c r="I5" s="16"/>
      <c r="J5" s="16"/>
      <c r="L5" s="2"/>
      <c r="M5" s="2"/>
      <c r="N5" s="2"/>
      <c r="O5" s="2"/>
      <c r="P5" s="2"/>
      <c r="T5" s="10"/>
    </row>
    <row r="6" spans="2:40" s="18" customFormat="1" ht="25" customHeight="1" x14ac:dyDescent="0.2">
      <c r="B6" s="202"/>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2"/>
      <c r="AN6" s="202"/>
    </row>
    <row r="7" spans="2:40" s="18" customFormat="1" ht="25" customHeight="1" thickBot="1" x14ac:dyDescent="0.25">
      <c r="B7" s="201"/>
      <c r="C7" s="201"/>
      <c r="D7" s="201"/>
      <c r="E7" s="201"/>
      <c r="F7" s="201"/>
      <c r="G7" s="201"/>
      <c r="H7" s="201"/>
      <c r="I7" s="201"/>
      <c r="J7" s="201"/>
      <c r="K7" s="201"/>
      <c r="L7" s="201"/>
      <c r="M7" s="201"/>
      <c r="N7" s="201"/>
      <c r="O7" s="201"/>
      <c r="P7" s="201"/>
      <c r="Q7" s="201"/>
      <c r="R7" s="201"/>
      <c r="S7" s="201"/>
      <c r="T7" s="201"/>
      <c r="U7" s="201"/>
      <c r="V7" s="201"/>
      <c r="W7" s="201"/>
      <c r="X7" s="201"/>
      <c r="Y7" s="201"/>
      <c r="Z7" s="201"/>
      <c r="AA7" s="201"/>
      <c r="AB7" s="201"/>
      <c r="AC7" s="201"/>
      <c r="AD7" s="201"/>
      <c r="AE7" s="201"/>
      <c r="AF7" s="201"/>
      <c r="AG7" s="201"/>
      <c r="AH7" s="201"/>
      <c r="AI7" s="201"/>
      <c r="AJ7" s="201"/>
      <c r="AK7" s="201"/>
      <c r="AL7" s="201"/>
      <c r="AM7" s="201"/>
      <c r="AN7" s="201"/>
    </row>
    <row r="8" spans="2:40" s="18" customFormat="1" ht="25" customHeight="1" x14ac:dyDescent="0.2">
      <c r="B8" s="195" t="s">
        <v>92</v>
      </c>
      <c r="C8" s="196"/>
      <c r="D8" s="196"/>
      <c r="E8" s="197" t="s">
        <v>1</v>
      </c>
      <c r="F8" s="198"/>
      <c r="G8" s="198"/>
      <c r="H8" s="198"/>
      <c r="I8" s="198"/>
      <c r="J8" s="198"/>
      <c r="K8" s="198"/>
      <c r="L8" s="199"/>
      <c r="M8" s="195" t="s">
        <v>90</v>
      </c>
      <c r="N8" s="196"/>
      <c r="O8" s="196"/>
      <c r="P8" s="196"/>
      <c r="Q8" s="196"/>
      <c r="R8" s="196"/>
      <c r="S8" s="200"/>
      <c r="T8" s="195"/>
      <c r="U8" s="196"/>
      <c r="V8" s="196"/>
      <c r="W8" s="196"/>
      <c r="X8" s="197" t="s">
        <v>104</v>
      </c>
      <c r="Y8" s="198"/>
      <c r="Z8" s="198"/>
      <c r="AA8" s="198"/>
      <c r="AB8" s="198"/>
      <c r="AC8" s="198"/>
      <c r="AD8" s="198"/>
      <c r="AE8" s="198"/>
      <c r="AF8" s="199"/>
      <c r="AG8" s="192" t="s">
        <v>107</v>
      </c>
      <c r="AH8" s="193"/>
      <c r="AI8" s="193"/>
      <c r="AJ8" s="193"/>
      <c r="AK8" s="193"/>
      <c r="AL8" s="193"/>
      <c r="AM8" s="193"/>
      <c r="AN8" s="194"/>
    </row>
    <row r="9" spans="2:40" s="28" customFormat="1" ht="80" x14ac:dyDescent="0.2">
      <c r="B9" s="81" t="s">
        <v>48</v>
      </c>
      <c r="C9" s="51" t="s">
        <v>50</v>
      </c>
      <c r="D9" s="52" t="s">
        <v>77</v>
      </c>
      <c r="E9" s="66" t="s">
        <v>51</v>
      </c>
      <c r="F9" s="52" t="s">
        <v>21</v>
      </c>
      <c r="G9" s="53" t="s">
        <v>85</v>
      </c>
      <c r="H9" s="52" t="s">
        <v>114</v>
      </c>
      <c r="I9" s="53" t="s">
        <v>54</v>
      </c>
      <c r="J9" s="52" t="s">
        <v>60</v>
      </c>
      <c r="K9" s="53" t="s">
        <v>56</v>
      </c>
      <c r="L9" s="67" t="s">
        <v>57</v>
      </c>
      <c r="M9" s="66" t="s">
        <v>51</v>
      </c>
      <c r="N9" s="52" t="s">
        <v>21</v>
      </c>
      <c r="O9" s="53" t="s">
        <v>58</v>
      </c>
      <c r="P9" s="53" t="s">
        <v>59</v>
      </c>
      <c r="Q9" s="53" t="s">
        <v>61</v>
      </c>
      <c r="R9" s="53" t="s">
        <v>62</v>
      </c>
      <c r="S9" s="67" t="s">
        <v>63</v>
      </c>
      <c r="T9" s="173" t="s">
        <v>89</v>
      </c>
      <c r="U9" s="174"/>
      <c r="V9" s="53" t="s">
        <v>6</v>
      </c>
      <c r="W9" s="54" t="s">
        <v>7</v>
      </c>
      <c r="X9" s="173" t="s">
        <v>95</v>
      </c>
      <c r="Y9" s="174"/>
      <c r="Z9" s="53" t="s">
        <v>96</v>
      </c>
      <c r="AA9" s="53" t="s">
        <v>97</v>
      </c>
      <c r="AB9" s="53" t="s">
        <v>98</v>
      </c>
      <c r="AC9" s="53" t="s">
        <v>102</v>
      </c>
      <c r="AD9" s="53" t="s">
        <v>101</v>
      </c>
      <c r="AE9" s="53" t="s">
        <v>103</v>
      </c>
      <c r="AF9" s="67" t="s">
        <v>112</v>
      </c>
      <c r="AG9" s="173" t="s">
        <v>105</v>
      </c>
      <c r="AH9" s="174"/>
      <c r="AI9" s="53" t="s">
        <v>106</v>
      </c>
      <c r="AJ9" s="53" t="s">
        <v>108</v>
      </c>
      <c r="AK9" s="53" t="s">
        <v>109</v>
      </c>
      <c r="AL9" s="53" t="s">
        <v>110</v>
      </c>
      <c r="AM9" s="53" t="s">
        <v>111</v>
      </c>
      <c r="AN9" s="67" t="s">
        <v>110</v>
      </c>
    </row>
    <row r="10" spans="2:40" s="28" customFormat="1" x14ac:dyDescent="0.2">
      <c r="B10" s="175" t="str">
        <f>'Personal AUM'!C1</f>
        <v>Joe Galbraith</v>
      </c>
      <c r="C10" s="177" t="str">
        <f>'Personal AUM'!C2</f>
        <v>Edmonton</v>
      </c>
      <c r="D10" s="179" t="s">
        <v>78</v>
      </c>
      <c r="E10" s="68" t="s">
        <v>2</v>
      </c>
      <c r="F10" s="55">
        <f>VLOOKUP(E10,Salescharge,2,)</f>
        <v>0</v>
      </c>
      <c r="G10" s="182">
        <f>IF(D10="No",VLOOKUP((L10+S10),bonusrate,3),(VLOOKUP((L10+S10),bonusrate2,3)))</f>
        <v>0.01</v>
      </c>
      <c r="H10" s="56">
        <v>20000</v>
      </c>
      <c r="I10" s="57">
        <v>1</v>
      </c>
      <c r="J10" s="58">
        <f>H10*I10</f>
        <v>20000</v>
      </c>
      <c r="K10" s="184">
        <f>SUM(J10:J12)</f>
        <v>120000</v>
      </c>
      <c r="L10" s="186">
        <f>K10*12</f>
        <v>1440000</v>
      </c>
      <c r="M10" s="68" t="s">
        <v>2</v>
      </c>
      <c r="N10" s="55">
        <f>VLOOKUP(M10,Salescharge,2,)</f>
        <v>0</v>
      </c>
      <c r="O10" s="60">
        <v>100</v>
      </c>
      <c r="P10" s="61">
        <v>1</v>
      </c>
      <c r="Q10" s="62">
        <f>O10*P10</f>
        <v>100</v>
      </c>
      <c r="R10" s="169">
        <f>SUM(Q10:Q12)</f>
        <v>300</v>
      </c>
      <c r="S10" s="188">
        <f>R10*12</f>
        <v>3600</v>
      </c>
      <c r="T10" s="84" t="s">
        <v>64</v>
      </c>
      <c r="U10" s="59">
        <v>0.7</v>
      </c>
      <c r="V10" s="190" t="str">
        <f>'Personal AUM'!F1</f>
        <v>Senior Marketing Director</v>
      </c>
      <c r="W10" s="190">
        <f>VLOOKUP(V10,Agentlevels,2,)</f>
        <v>0.66</v>
      </c>
      <c r="X10" s="77" t="s">
        <v>2</v>
      </c>
      <c r="Y10" s="63">
        <f>ROUNDUP((J10*F10*85%)+(Q10*N10*84%),0)</f>
        <v>0</v>
      </c>
      <c r="Z10" s="163">
        <f>SUM(Y10:Y12)</f>
        <v>4359</v>
      </c>
      <c r="AA10" s="64">
        <f>ROUNDUP((J10*U10*0.504%*84%)+(Q10*U10*0.504%*84%)+(J10*U11*1.008%*84%)+(Q10*U11*1.008%*84%),0)</f>
        <v>111</v>
      </c>
      <c r="AB10" s="163">
        <f>SUM(AA10:AA12)</f>
        <v>111</v>
      </c>
      <c r="AC10" s="165">
        <f>Z10+AB10</f>
        <v>4470</v>
      </c>
      <c r="AD10" s="64">
        <f>ROUNDUP((J10*F10*84%)+(Q10*F10*84%),0)</f>
        <v>0</v>
      </c>
      <c r="AE10" s="165">
        <f>SUM(AD10:AD12)</f>
        <v>4359</v>
      </c>
      <c r="AF10" s="167">
        <f>(AC10*12)+AE10</f>
        <v>57999</v>
      </c>
      <c r="AG10" s="77" t="s">
        <v>2</v>
      </c>
      <c r="AH10" s="62">
        <f>(J10*F10*84%*W10)+(Q10*N10*84%*W10)</f>
        <v>0</v>
      </c>
      <c r="AI10" s="169">
        <f>SUM(AH10:AH12)</f>
        <v>2876.8370399999994</v>
      </c>
      <c r="AJ10" s="62">
        <f>(J10*U10*0.504%*84%*W10)+(J10*U11*1.008%*84%*W10)+(Q10*U10*0.504%*84%*W10)+(Q10*U11*1.008%*84%*W10)</f>
        <v>73.011818880000007</v>
      </c>
      <c r="AK10" s="158">
        <f>SUM(AJ10:AJ12)</f>
        <v>73.011818880000007</v>
      </c>
      <c r="AL10" s="156">
        <f>(AI10+AK10)*12</f>
        <v>35398.186306559997</v>
      </c>
      <c r="AM10" s="158">
        <f>IF(D10="No",MIN(75000,(L10+S10)*G10*84%*W10),MIN(100000,(L10+S10)*G10*84%*W10))</f>
        <v>8003.3184000000001</v>
      </c>
      <c r="AN10" s="161">
        <f>AL10+AM10</f>
        <v>43401.504706559994</v>
      </c>
    </row>
    <row r="11" spans="2:40" s="28" customFormat="1" x14ac:dyDescent="0.2">
      <c r="B11" s="175"/>
      <c r="C11" s="177"/>
      <c r="D11" s="180"/>
      <c r="E11" s="68" t="s">
        <v>52</v>
      </c>
      <c r="F11" s="55">
        <f>VLOOKUP(E11,Salescharge,2,)</f>
        <v>3.5000000000000003E-2</v>
      </c>
      <c r="G11" s="182"/>
      <c r="H11" s="56">
        <v>20000</v>
      </c>
      <c r="I11" s="57">
        <v>1</v>
      </c>
      <c r="J11" s="58">
        <f t="shared" ref="J11:J12" si="0">H11*I11</f>
        <v>20000</v>
      </c>
      <c r="K11" s="184"/>
      <c r="L11" s="186"/>
      <c r="M11" s="68" t="s">
        <v>52</v>
      </c>
      <c r="N11" s="55">
        <f>VLOOKUP(M11,Salescharge,2,)</f>
        <v>3.5000000000000003E-2</v>
      </c>
      <c r="O11" s="60">
        <v>100</v>
      </c>
      <c r="P11" s="61">
        <v>1</v>
      </c>
      <c r="Q11" s="62">
        <f t="shared" ref="Q11:Q12" si="1">O11*P11</f>
        <v>100</v>
      </c>
      <c r="R11" s="169"/>
      <c r="S11" s="188"/>
      <c r="T11" s="84" t="s">
        <v>25</v>
      </c>
      <c r="U11" s="65">
        <f>1-U10</f>
        <v>0.30000000000000004</v>
      </c>
      <c r="V11" s="190"/>
      <c r="W11" s="190"/>
      <c r="X11" s="77" t="s">
        <v>52</v>
      </c>
      <c r="Y11" s="63">
        <f>ROUNDUP((J11*F11*84%)+(Q11*N11*84%),0)</f>
        <v>591</v>
      </c>
      <c r="Z11" s="163"/>
      <c r="AA11" s="64">
        <f>ROUNDUP((J11*U10*0.504%*84%)+(Q11*U10*0.504%*84%)+(J11*U11*1.008%*84%)+(Q11*U11*1.008%*84%),0)*0</f>
        <v>0</v>
      </c>
      <c r="AB11" s="163"/>
      <c r="AC11" s="165"/>
      <c r="AD11" s="64">
        <f>ROUNDUP((J11*F11*84%)+(Q11*F11*84%),0)</f>
        <v>591</v>
      </c>
      <c r="AE11" s="165"/>
      <c r="AF11" s="167"/>
      <c r="AG11" s="77" t="s">
        <v>52</v>
      </c>
      <c r="AH11" s="62">
        <f>(J11*F11*84%*W10)+(Q11*N11*84%*W10)</f>
        <v>390.02040000000011</v>
      </c>
      <c r="AI11" s="169"/>
      <c r="AJ11" s="62">
        <f>((J11*U10*0.504%*84%*W10)+(J11*U11*1.008%*84%*W10)+(Q11*U10*0.504%*84%*W10)+(Q11*U11*1.008%*84%*W10))*0</f>
        <v>0</v>
      </c>
      <c r="AK11" s="171"/>
      <c r="AL11" s="156"/>
      <c r="AM11" s="159"/>
      <c r="AN11" s="161"/>
    </row>
    <row r="12" spans="2:40" s="28" customFormat="1" ht="16" thickBot="1" x14ac:dyDescent="0.25">
      <c r="B12" s="176"/>
      <c r="C12" s="178"/>
      <c r="D12" s="181"/>
      <c r="E12" s="69" t="s">
        <v>53</v>
      </c>
      <c r="F12" s="70">
        <f>VLOOKUP(E12,Salescharge,2,)</f>
        <v>5.5999999999999994E-2</v>
      </c>
      <c r="G12" s="183"/>
      <c r="H12" s="71">
        <v>80000</v>
      </c>
      <c r="I12" s="72">
        <v>1</v>
      </c>
      <c r="J12" s="73">
        <f t="shared" si="0"/>
        <v>80000</v>
      </c>
      <c r="K12" s="185"/>
      <c r="L12" s="187"/>
      <c r="M12" s="69" t="s">
        <v>53</v>
      </c>
      <c r="N12" s="70">
        <f>VLOOKUP(M12,Salescharge,2,)</f>
        <v>5.5999999999999994E-2</v>
      </c>
      <c r="O12" s="74">
        <v>100</v>
      </c>
      <c r="P12" s="75">
        <v>1</v>
      </c>
      <c r="Q12" s="76">
        <f t="shared" si="1"/>
        <v>100</v>
      </c>
      <c r="R12" s="170"/>
      <c r="S12" s="189"/>
      <c r="T12" s="85" t="s">
        <v>65</v>
      </c>
      <c r="U12" s="86">
        <f>SUM(U10:U11)</f>
        <v>1</v>
      </c>
      <c r="V12" s="191"/>
      <c r="W12" s="191"/>
      <c r="X12" s="78" t="s">
        <v>53</v>
      </c>
      <c r="Y12" s="79">
        <f>ROUNDUP((J12*F12*84%)+(Q12*N12*84%),0)</f>
        <v>3768</v>
      </c>
      <c r="Z12" s="164"/>
      <c r="AA12" s="80">
        <f>ROUNDUP((J12*U10*0.504%*84%)+(Q12*U10*0.504%*84%)+(J12*U11*1.008%*84%)+(Q12*U11*1.008%*84%),0)*0</f>
        <v>0</v>
      </c>
      <c r="AB12" s="164"/>
      <c r="AC12" s="166"/>
      <c r="AD12" s="80">
        <f>ROUNDUP((J12*F12*84%)+(Q12*F12*84%),0)</f>
        <v>3768</v>
      </c>
      <c r="AE12" s="166"/>
      <c r="AF12" s="168"/>
      <c r="AG12" s="78" t="s">
        <v>53</v>
      </c>
      <c r="AH12" s="76">
        <f>(J12*F12*84%*W10)+(Q12*N12*84%*W10)</f>
        <v>2486.8166399999996</v>
      </c>
      <c r="AI12" s="170"/>
      <c r="AJ12" s="76">
        <f>((J12*U10*0.504%*84%*W10)+(J12*U11*1.008%*84%*W10)+(Q12*U10*0.504%*84%*W10)+(Q12*U11*1.008%*84%*W10))*0</f>
        <v>0</v>
      </c>
      <c r="AK12" s="172"/>
      <c r="AL12" s="157"/>
      <c r="AM12" s="160"/>
      <c r="AN12" s="162"/>
    </row>
    <row r="13" spans="2:40" s="28" customFormat="1" x14ac:dyDescent="0.2">
      <c r="B13" s="48"/>
      <c r="C13" s="49"/>
      <c r="D13" s="49"/>
      <c r="E13" s="36"/>
      <c r="F13" s="37"/>
      <c r="G13" s="37"/>
      <c r="H13" s="35"/>
      <c r="I13" s="34"/>
      <c r="J13" s="35"/>
      <c r="K13" s="41"/>
      <c r="L13" s="41"/>
      <c r="M13" s="41"/>
      <c r="N13" s="42"/>
      <c r="O13" s="39"/>
      <c r="P13" s="25"/>
      <c r="Q13" s="40"/>
      <c r="R13" s="40"/>
      <c r="S13" s="40"/>
      <c r="T13" s="41"/>
      <c r="U13" s="42"/>
      <c r="V13" s="42"/>
      <c r="W13" s="47"/>
      <c r="Y13" s="44"/>
      <c r="Z13" s="46"/>
      <c r="AA13" s="45"/>
      <c r="AB13" s="46"/>
      <c r="AC13" s="46"/>
      <c r="AD13" s="45"/>
      <c r="AE13" s="45"/>
      <c r="AF13" s="45"/>
      <c r="AH13" s="40"/>
      <c r="AI13" s="40"/>
      <c r="AJ13" s="40"/>
      <c r="AK13" s="40"/>
      <c r="AL13" s="40"/>
      <c r="AM13" s="40"/>
      <c r="AN13" s="50"/>
    </row>
    <row r="14" spans="2:40" s="28" customFormat="1" x14ac:dyDescent="0.2">
      <c r="B14" s="48"/>
      <c r="C14" s="49"/>
      <c r="D14" s="49"/>
      <c r="E14" s="36"/>
      <c r="F14" s="37"/>
      <c r="G14" s="37"/>
      <c r="H14" s="35"/>
      <c r="I14" s="34"/>
      <c r="J14" s="35"/>
      <c r="K14" s="41"/>
      <c r="L14" s="41"/>
      <c r="M14" s="41"/>
      <c r="N14" s="42"/>
      <c r="O14" s="39"/>
      <c r="P14" s="25"/>
      <c r="Q14" s="40"/>
      <c r="R14" s="40"/>
      <c r="S14" s="40"/>
      <c r="T14" s="41"/>
      <c r="U14" s="42"/>
      <c r="V14" s="42"/>
      <c r="W14" s="47"/>
      <c r="Y14" s="44"/>
      <c r="Z14" s="46"/>
      <c r="AA14" s="45"/>
      <c r="AB14" s="46"/>
      <c r="AC14" s="46"/>
      <c r="AD14" s="45"/>
      <c r="AE14" s="45"/>
      <c r="AF14" s="45"/>
      <c r="AH14" s="40"/>
      <c r="AI14" s="40"/>
      <c r="AJ14" s="40"/>
      <c r="AK14" s="40"/>
      <c r="AL14" s="40"/>
      <c r="AM14" s="40"/>
      <c r="AN14" s="50"/>
    </row>
    <row r="15" spans="2:40" s="28" customFormat="1" x14ac:dyDescent="0.2">
      <c r="B15" s="30"/>
      <c r="C15" s="31"/>
      <c r="D15" s="31"/>
      <c r="E15" s="32"/>
      <c r="F15" s="31"/>
      <c r="G15" s="31"/>
      <c r="H15" s="31"/>
      <c r="I15" s="27"/>
      <c r="J15" s="27"/>
      <c r="L15" s="25"/>
      <c r="M15" s="25"/>
      <c r="N15" s="25"/>
      <c r="O15" s="25"/>
      <c r="P15" s="25"/>
      <c r="T15" s="29"/>
      <c r="W15" s="33"/>
      <c r="AH15" s="38"/>
    </row>
    <row r="16" spans="2:40" s="28" customFormat="1" x14ac:dyDescent="0.2">
      <c r="B16" s="88"/>
      <c r="C16" s="88"/>
      <c r="D16" s="88"/>
      <c r="E16" s="88"/>
      <c r="F16" s="88"/>
      <c r="G16" s="88"/>
      <c r="H16" s="88"/>
      <c r="I16" s="27"/>
      <c r="J16" s="27"/>
      <c r="L16" s="25"/>
      <c r="M16" s="25"/>
      <c r="N16" s="25"/>
      <c r="O16" s="25"/>
      <c r="P16" s="25"/>
      <c r="T16" s="29"/>
      <c r="W16" s="33"/>
    </row>
    <row r="17" spans="2:22" s="33" customFormat="1" x14ac:dyDescent="0.2">
      <c r="B17" s="28"/>
      <c r="C17" s="34"/>
      <c r="D17" s="34"/>
      <c r="E17" s="34"/>
      <c r="F17" s="34"/>
      <c r="G17" s="34"/>
      <c r="H17" s="34"/>
      <c r="I17" s="34"/>
      <c r="J17" s="89"/>
      <c r="K17" s="28"/>
      <c r="L17" s="90"/>
      <c r="M17" s="90"/>
      <c r="N17" s="90"/>
      <c r="O17" s="90"/>
      <c r="P17" s="87"/>
      <c r="Q17" s="28"/>
      <c r="R17" s="28"/>
      <c r="S17" s="28"/>
      <c r="T17" s="29"/>
      <c r="U17" s="28"/>
      <c r="V17" s="28"/>
    </row>
    <row r="18" spans="2:22" s="33" customFormat="1" x14ac:dyDescent="0.2">
      <c r="B18" s="28"/>
      <c r="C18" s="25"/>
      <c r="D18" s="25"/>
      <c r="E18" s="25"/>
      <c r="F18" s="34"/>
      <c r="G18" s="34"/>
      <c r="H18" s="34"/>
      <c r="I18" s="34"/>
      <c r="J18" s="34"/>
      <c r="K18" s="28"/>
      <c r="L18" s="90"/>
      <c r="M18" s="90"/>
      <c r="N18" s="90"/>
      <c r="O18" s="90"/>
      <c r="P18" s="87"/>
      <c r="Q18" s="28"/>
      <c r="R18" s="28"/>
      <c r="S18" s="28"/>
      <c r="T18" s="29"/>
      <c r="U18" s="28"/>
      <c r="V18" s="28"/>
    </row>
    <row r="19" spans="2:22" s="33" customFormat="1" x14ac:dyDescent="0.2">
      <c r="B19" s="28"/>
      <c r="C19" s="25"/>
      <c r="D19" s="25"/>
      <c r="E19" s="25"/>
      <c r="F19" s="25"/>
      <c r="G19" s="25"/>
      <c r="H19" s="25"/>
      <c r="I19" s="25"/>
      <c r="J19" s="25"/>
      <c r="K19" s="25"/>
      <c r="L19" s="28"/>
      <c r="M19" s="28"/>
      <c r="N19" s="28"/>
      <c r="O19" s="28"/>
      <c r="P19" s="25"/>
      <c r="Q19" s="28"/>
      <c r="R19" s="28"/>
      <c r="S19" s="28"/>
      <c r="T19" s="29"/>
      <c r="U19" s="28"/>
      <c r="V19" s="28"/>
    </row>
    <row r="20" spans="2:22" s="33" customFormat="1" x14ac:dyDescent="0.2">
      <c r="B20" s="28"/>
      <c r="C20" s="25"/>
      <c r="D20" s="25"/>
      <c r="E20" s="25"/>
      <c r="F20" s="25"/>
      <c r="G20" s="25"/>
      <c r="H20" s="25"/>
      <c r="I20" s="25"/>
      <c r="J20" s="25"/>
      <c r="K20" s="90"/>
      <c r="L20" s="25"/>
      <c r="M20" s="25"/>
      <c r="N20" s="25"/>
      <c r="O20" s="25"/>
      <c r="P20" s="25"/>
      <c r="Q20" s="28"/>
      <c r="R20" s="28"/>
      <c r="S20" s="28"/>
      <c r="T20" s="29"/>
      <c r="U20" s="28"/>
      <c r="V20" s="28"/>
    </row>
    <row r="21" spans="2:22" s="33" customFormat="1" x14ac:dyDescent="0.2">
      <c r="B21" s="28"/>
      <c r="C21" s="91"/>
      <c r="D21" s="91"/>
      <c r="E21" s="91"/>
      <c r="F21" s="40"/>
      <c r="G21" s="40"/>
      <c r="H21" s="40"/>
      <c r="I21" s="91"/>
      <c r="J21" s="91"/>
      <c r="K21" s="92"/>
      <c r="L21" s="91"/>
      <c r="M21" s="91"/>
      <c r="N21" s="91"/>
      <c r="O21" s="91"/>
      <c r="P21" s="91"/>
      <c r="Q21" s="28"/>
      <c r="R21" s="28"/>
      <c r="S21" s="28"/>
      <c r="T21" s="29"/>
      <c r="U21" s="25"/>
      <c r="V21" s="25"/>
    </row>
    <row r="22" spans="2:22" s="33" customFormat="1" x14ac:dyDescent="0.2">
      <c r="B22" s="28"/>
      <c r="C22" s="40"/>
      <c r="D22" s="40"/>
      <c r="E22" s="40"/>
      <c r="F22" s="40"/>
      <c r="G22" s="40"/>
      <c r="H22" s="40"/>
      <c r="I22" s="38"/>
      <c r="J22" s="38"/>
      <c r="K22" s="93"/>
      <c r="L22" s="94"/>
      <c r="M22" s="94"/>
      <c r="N22" s="94"/>
      <c r="O22" s="94"/>
      <c r="P22" s="94"/>
      <c r="Q22" s="94"/>
      <c r="R22" s="28"/>
      <c r="S22" s="28"/>
      <c r="T22" s="29"/>
      <c r="U22" s="28"/>
      <c r="V22" s="28"/>
    </row>
    <row r="23" spans="2:22" s="33" customFormat="1" x14ac:dyDescent="0.2">
      <c r="B23" s="28"/>
      <c r="C23" s="34"/>
      <c r="D23" s="34"/>
      <c r="E23" s="34"/>
      <c r="F23" s="40"/>
      <c r="G23" s="40"/>
      <c r="H23" s="40"/>
      <c r="I23" s="28"/>
      <c r="J23" s="28"/>
      <c r="K23" s="93"/>
      <c r="L23" s="94"/>
      <c r="M23" s="94"/>
      <c r="N23" s="94"/>
      <c r="O23" s="94"/>
      <c r="P23" s="94"/>
      <c r="Q23" s="94"/>
      <c r="R23" s="28"/>
      <c r="S23" s="28"/>
      <c r="T23" s="29"/>
      <c r="U23" s="28"/>
      <c r="V23" s="28"/>
    </row>
    <row r="24" spans="2:22" s="33" customFormat="1" x14ac:dyDescent="0.2">
      <c r="B24" s="28"/>
      <c r="C24" s="40"/>
      <c r="D24" s="40"/>
      <c r="E24" s="40"/>
      <c r="F24" s="40"/>
      <c r="G24" s="40"/>
      <c r="H24" s="40"/>
      <c r="I24" s="38"/>
      <c r="J24" s="38"/>
      <c r="K24" s="93"/>
      <c r="L24" s="94"/>
      <c r="M24" s="94"/>
      <c r="N24" s="94"/>
      <c r="O24" s="94"/>
      <c r="P24" s="94"/>
      <c r="Q24" s="94"/>
      <c r="R24" s="28"/>
      <c r="S24" s="28"/>
      <c r="T24" s="29"/>
      <c r="U24" s="28"/>
      <c r="V24" s="28"/>
    </row>
    <row r="25" spans="2:22" s="33" customFormat="1" x14ac:dyDescent="0.2">
      <c r="B25" s="28"/>
      <c r="C25" s="34"/>
      <c r="D25" s="34"/>
      <c r="E25" s="34"/>
      <c r="F25" s="34"/>
      <c r="G25" s="34"/>
      <c r="H25" s="34"/>
      <c r="I25" s="28"/>
      <c r="J25" s="28"/>
      <c r="K25" s="90"/>
      <c r="L25" s="28"/>
      <c r="M25" s="28"/>
      <c r="N25" s="28"/>
      <c r="O25" s="28"/>
      <c r="P25" s="28"/>
      <c r="Q25" s="28"/>
      <c r="R25" s="28"/>
      <c r="S25" s="28"/>
      <c r="T25" s="29"/>
      <c r="U25" s="28"/>
      <c r="V25" s="28"/>
    </row>
    <row r="26" spans="2:22" s="33" customFormat="1" x14ac:dyDescent="0.2">
      <c r="B26" s="28"/>
      <c r="C26" s="34"/>
      <c r="D26" s="34"/>
      <c r="E26" s="34"/>
      <c r="F26" s="34"/>
      <c r="G26" s="34"/>
      <c r="H26" s="34"/>
      <c r="I26" s="28"/>
      <c r="J26" s="28"/>
      <c r="K26" s="90"/>
      <c r="L26" s="28"/>
      <c r="M26" s="28"/>
      <c r="N26" s="28"/>
      <c r="O26" s="28"/>
      <c r="P26" s="28"/>
      <c r="Q26" s="28"/>
      <c r="R26" s="28"/>
      <c r="S26" s="28"/>
      <c r="T26" s="29"/>
      <c r="U26" s="28"/>
      <c r="V26" s="28"/>
    </row>
    <row r="27" spans="2:22" s="33" customFormat="1" x14ac:dyDescent="0.2">
      <c r="B27" s="28"/>
      <c r="C27" s="40"/>
      <c r="D27" s="40"/>
      <c r="E27" s="40"/>
      <c r="F27" s="40"/>
      <c r="G27" s="40"/>
      <c r="H27" s="40"/>
      <c r="I27" s="38"/>
      <c r="J27" s="38"/>
      <c r="K27" s="95"/>
      <c r="L27" s="94"/>
      <c r="M27" s="94"/>
      <c r="N27" s="94"/>
      <c r="O27" s="94"/>
      <c r="P27" s="94"/>
      <c r="Q27" s="94"/>
      <c r="R27" s="28"/>
      <c r="S27" s="28"/>
      <c r="T27" s="29"/>
      <c r="U27" s="28"/>
      <c r="V27" s="28"/>
    </row>
    <row r="28" spans="2:22" s="33" customFormat="1" x14ac:dyDescent="0.2">
      <c r="B28" s="28"/>
      <c r="C28" s="34"/>
      <c r="D28" s="34"/>
      <c r="E28" s="34"/>
      <c r="F28" s="34"/>
      <c r="G28" s="34"/>
      <c r="H28" s="34"/>
      <c r="I28" s="28"/>
      <c r="J28" s="28"/>
      <c r="K28" s="95"/>
      <c r="L28" s="94"/>
      <c r="M28" s="94"/>
      <c r="N28" s="94"/>
      <c r="O28" s="94"/>
      <c r="P28" s="94"/>
      <c r="Q28" s="34"/>
      <c r="R28" s="28"/>
      <c r="S28" s="28"/>
      <c r="T28" s="29"/>
      <c r="U28" s="28"/>
      <c r="V28" s="28"/>
    </row>
    <row r="29" spans="2:22" s="33" customFormat="1" x14ac:dyDescent="0.2">
      <c r="B29" s="28"/>
      <c r="C29" s="40"/>
      <c r="D29" s="40"/>
      <c r="E29" s="40"/>
      <c r="F29" s="40"/>
      <c r="G29" s="40"/>
      <c r="H29" s="40"/>
      <c r="I29" s="38"/>
      <c r="J29" s="38"/>
      <c r="K29" s="95"/>
      <c r="L29" s="94"/>
      <c r="M29" s="94"/>
      <c r="N29" s="94"/>
      <c r="O29" s="94"/>
      <c r="P29" s="94"/>
      <c r="Q29" s="34"/>
      <c r="R29" s="28"/>
      <c r="S29" s="28"/>
      <c r="T29" s="28"/>
      <c r="U29" s="28"/>
      <c r="V29" s="28"/>
    </row>
    <row r="30" spans="2:22" s="33" customFormat="1" x14ac:dyDescent="0.2">
      <c r="B30" s="28"/>
      <c r="C30" s="34"/>
      <c r="D30" s="34"/>
      <c r="E30" s="34"/>
      <c r="F30" s="34"/>
      <c r="G30" s="34"/>
      <c r="H30" s="34"/>
      <c r="I30" s="28"/>
      <c r="J30" s="28"/>
      <c r="K30" s="90"/>
      <c r="L30" s="28"/>
      <c r="M30" s="28"/>
      <c r="N30" s="28"/>
      <c r="O30" s="28"/>
      <c r="P30" s="28"/>
      <c r="Q30" s="28"/>
      <c r="R30" s="28"/>
      <c r="S30" s="28"/>
      <c r="T30" s="28"/>
      <c r="U30" s="28"/>
      <c r="V30" s="28"/>
    </row>
    <row r="31" spans="2:22" s="33" customFormat="1" x14ac:dyDescent="0.2">
      <c r="B31" s="28"/>
      <c r="C31" s="34"/>
      <c r="D31" s="34"/>
      <c r="E31" s="34"/>
      <c r="F31" s="34"/>
      <c r="G31" s="34"/>
      <c r="H31" s="34"/>
      <c r="I31" s="28"/>
      <c r="J31" s="28"/>
      <c r="K31" s="28"/>
      <c r="L31" s="28"/>
      <c r="M31" s="28"/>
      <c r="N31" s="28"/>
      <c r="O31" s="28"/>
      <c r="P31" s="28"/>
      <c r="Q31" s="28"/>
      <c r="R31" s="28"/>
      <c r="S31" s="28"/>
      <c r="T31" s="28"/>
      <c r="U31" s="28"/>
      <c r="V31" s="28"/>
    </row>
    <row r="32" spans="2:22" s="33" customFormat="1" x14ac:dyDescent="0.2">
      <c r="B32" s="28"/>
      <c r="C32" s="89"/>
      <c r="D32" s="89"/>
      <c r="E32" s="89"/>
      <c r="F32" s="89"/>
      <c r="G32" s="89"/>
      <c r="H32" s="89"/>
      <c r="I32" s="96"/>
      <c r="J32" s="96"/>
      <c r="K32" s="28"/>
      <c r="L32" s="96"/>
      <c r="M32" s="96"/>
      <c r="N32" s="96"/>
      <c r="O32" s="96"/>
      <c r="P32" s="96"/>
      <c r="Q32" s="96"/>
      <c r="R32" s="96"/>
      <c r="S32" s="28"/>
      <c r="T32" s="28"/>
      <c r="U32" s="28"/>
      <c r="V32" s="28"/>
    </row>
    <row r="33" spans="2:23" s="28" customFormat="1" x14ac:dyDescent="0.2">
      <c r="C33" s="89"/>
      <c r="D33" s="89"/>
      <c r="E33" s="89"/>
      <c r="F33" s="89"/>
      <c r="G33" s="89"/>
      <c r="H33" s="89"/>
      <c r="I33" s="96"/>
      <c r="J33" s="96"/>
      <c r="L33" s="96"/>
      <c r="M33" s="96"/>
      <c r="N33" s="96"/>
      <c r="O33" s="96"/>
      <c r="P33" s="96"/>
      <c r="Q33" s="96"/>
      <c r="W33" s="33"/>
    </row>
    <row r="34" spans="2:23" s="28" customFormat="1" x14ac:dyDescent="0.2">
      <c r="C34" s="89"/>
      <c r="D34" s="89"/>
      <c r="E34" s="89"/>
      <c r="F34" s="89"/>
      <c r="G34" s="89"/>
      <c r="H34" s="89"/>
      <c r="I34" s="96"/>
      <c r="J34" s="96"/>
      <c r="L34" s="96"/>
      <c r="M34" s="96"/>
      <c r="N34" s="96"/>
      <c r="O34" s="96"/>
      <c r="P34" s="96"/>
      <c r="Q34" s="96"/>
      <c r="W34" s="33"/>
    </row>
    <row r="35" spans="2:23" s="28" customFormat="1" x14ac:dyDescent="0.2">
      <c r="K35" s="90"/>
      <c r="W35" s="33"/>
    </row>
    <row r="36" spans="2:23" s="28" customFormat="1" x14ac:dyDescent="0.2">
      <c r="C36" s="25"/>
      <c r="D36" s="25"/>
      <c r="E36" s="25"/>
      <c r="F36" s="25"/>
      <c r="G36" s="25"/>
      <c r="H36" s="25"/>
      <c r="I36" s="39"/>
      <c r="J36" s="25"/>
      <c r="K36" s="90"/>
      <c r="L36" s="25"/>
      <c r="M36" s="25"/>
      <c r="N36" s="25"/>
      <c r="O36" s="25"/>
      <c r="P36" s="25"/>
      <c r="W36" s="33"/>
    </row>
    <row r="37" spans="2:23" s="28" customFormat="1" x14ac:dyDescent="0.2">
      <c r="C37" s="27"/>
      <c r="D37" s="27"/>
      <c r="E37" s="27"/>
      <c r="F37" s="27"/>
      <c r="G37" s="27"/>
      <c r="H37" s="27"/>
      <c r="I37" s="27"/>
      <c r="J37" s="27"/>
      <c r="K37" s="88"/>
      <c r="L37" s="27"/>
      <c r="M37" s="27"/>
      <c r="N37" s="27"/>
      <c r="O37" s="27"/>
      <c r="P37" s="27"/>
      <c r="W37" s="33"/>
    </row>
    <row r="38" spans="2:23" s="28" customFormat="1" x14ac:dyDescent="0.2">
      <c r="C38" s="27"/>
      <c r="D38" s="27"/>
      <c r="E38" s="27"/>
      <c r="F38" s="27"/>
      <c r="G38" s="27"/>
      <c r="H38" s="27"/>
      <c r="I38" s="27"/>
      <c r="J38" s="27"/>
      <c r="K38" s="88"/>
      <c r="L38" s="27"/>
      <c r="M38" s="27"/>
      <c r="N38" s="27"/>
      <c r="O38" s="27"/>
      <c r="P38" s="27"/>
      <c r="W38" s="33"/>
    </row>
    <row r="39" spans="2:23" s="28" customFormat="1" x14ac:dyDescent="0.2">
      <c r="C39" s="46"/>
      <c r="D39" s="46"/>
      <c r="E39" s="46"/>
      <c r="F39" s="46"/>
      <c r="G39" s="46"/>
      <c r="H39" s="97"/>
      <c r="I39" s="35"/>
      <c r="J39" s="27"/>
      <c r="K39" s="88"/>
      <c r="L39" s="27"/>
      <c r="M39" s="27"/>
      <c r="N39" s="27"/>
      <c r="O39" s="27"/>
      <c r="P39" s="27"/>
      <c r="W39" s="33"/>
    </row>
    <row r="40" spans="2:23" s="28" customFormat="1" x14ac:dyDescent="0.2">
      <c r="C40" s="40"/>
      <c r="D40" s="40"/>
      <c r="E40" s="40"/>
      <c r="F40" s="40"/>
      <c r="G40" s="40"/>
      <c r="H40" s="40"/>
      <c r="I40" s="38"/>
      <c r="J40" s="38"/>
      <c r="K40" s="98"/>
      <c r="L40" s="38"/>
      <c r="M40" s="38"/>
      <c r="N40" s="38"/>
      <c r="O40" s="38"/>
      <c r="P40" s="38"/>
      <c r="Q40" s="38"/>
      <c r="W40" s="33"/>
    </row>
    <row r="41" spans="2:23" s="28" customFormat="1" x14ac:dyDescent="0.2">
      <c r="C41" s="46"/>
      <c r="D41" s="46"/>
      <c r="E41" s="46"/>
      <c r="F41" s="46"/>
      <c r="G41" s="46"/>
      <c r="H41" s="46"/>
      <c r="I41" s="38"/>
      <c r="J41" s="38"/>
      <c r="K41" s="98"/>
      <c r="L41" s="38"/>
      <c r="M41" s="38"/>
      <c r="N41" s="38"/>
      <c r="O41" s="38"/>
      <c r="P41" s="38"/>
      <c r="Q41" s="38"/>
      <c r="W41" s="33"/>
    </row>
    <row r="42" spans="2:23" s="28" customFormat="1" x14ac:dyDescent="0.2">
      <c r="C42" s="40"/>
      <c r="D42" s="40"/>
      <c r="E42" s="40"/>
      <c r="F42" s="40"/>
      <c r="G42" s="40"/>
      <c r="H42" s="40"/>
      <c r="I42" s="38"/>
      <c r="J42" s="38"/>
      <c r="K42" s="98"/>
      <c r="L42" s="38"/>
      <c r="M42" s="38"/>
      <c r="N42" s="38"/>
      <c r="O42" s="38"/>
      <c r="P42" s="38"/>
      <c r="Q42" s="38"/>
      <c r="W42" s="33"/>
    </row>
    <row r="43" spans="2:23" s="28" customFormat="1" x14ac:dyDescent="0.2">
      <c r="B43" s="88"/>
      <c r="C43" s="27"/>
      <c r="D43" s="27"/>
      <c r="E43" s="27"/>
      <c r="F43" s="27"/>
      <c r="G43" s="27"/>
      <c r="H43" s="27"/>
      <c r="K43" s="90"/>
      <c r="W43" s="33"/>
    </row>
    <row r="44" spans="2:23" s="28" customFormat="1" x14ac:dyDescent="0.2">
      <c r="B44" s="88"/>
      <c r="C44" s="27"/>
      <c r="D44" s="27"/>
      <c r="E44" s="27"/>
      <c r="F44" s="27"/>
      <c r="G44" s="27"/>
      <c r="H44" s="27"/>
      <c r="L44" s="25"/>
      <c r="M44" s="25"/>
      <c r="N44" s="25"/>
      <c r="O44" s="25"/>
      <c r="P44" s="25"/>
      <c r="W44" s="33"/>
    </row>
    <row r="45" spans="2:23" s="28" customFormat="1" x14ac:dyDescent="0.2">
      <c r="C45" s="34"/>
      <c r="D45" s="34"/>
      <c r="E45" s="34"/>
      <c r="F45" s="34"/>
      <c r="G45" s="34"/>
      <c r="H45" s="34"/>
      <c r="L45" s="25"/>
      <c r="M45" s="25"/>
      <c r="N45" s="25"/>
      <c r="O45" s="25"/>
      <c r="P45" s="25"/>
      <c r="W45" s="33"/>
    </row>
    <row r="46" spans="2:23" s="28" customFormat="1" x14ac:dyDescent="0.2">
      <c r="C46" s="25"/>
      <c r="D46" s="25"/>
      <c r="E46" s="25"/>
      <c r="F46" s="34"/>
      <c r="G46" s="34"/>
      <c r="H46" s="34"/>
      <c r="L46" s="25"/>
      <c r="M46" s="25"/>
      <c r="N46" s="25"/>
      <c r="O46" s="25"/>
      <c r="P46" s="25"/>
      <c r="W46" s="33"/>
    </row>
    <row r="47" spans="2:23" s="28" customFormat="1" x14ac:dyDescent="0.2">
      <c r="C47" s="25"/>
      <c r="D47" s="25"/>
      <c r="E47" s="25"/>
      <c r="F47" s="25"/>
      <c r="G47" s="25"/>
      <c r="H47" s="25"/>
      <c r="L47" s="25"/>
      <c r="M47" s="25"/>
      <c r="N47" s="25"/>
      <c r="O47" s="25"/>
      <c r="P47" s="25"/>
      <c r="W47" s="33"/>
    </row>
    <row r="48" spans="2:23" s="28" customFormat="1" x14ac:dyDescent="0.2">
      <c r="C48" s="25"/>
      <c r="D48" s="25"/>
      <c r="E48" s="25"/>
      <c r="F48" s="25"/>
      <c r="G48" s="25"/>
      <c r="H48" s="25"/>
      <c r="L48" s="91"/>
      <c r="M48" s="91"/>
      <c r="N48" s="91"/>
      <c r="O48" s="91"/>
      <c r="P48" s="91"/>
      <c r="W48" s="33"/>
    </row>
    <row r="49" spans="3:23" s="28" customFormat="1" x14ac:dyDescent="0.2">
      <c r="C49" s="91"/>
      <c r="D49" s="91"/>
      <c r="E49" s="91"/>
      <c r="F49" s="40"/>
      <c r="G49" s="40"/>
      <c r="H49" s="40"/>
      <c r="I49" s="38"/>
      <c r="J49" s="38"/>
      <c r="K49" s="99"/>
      <c r="L49" s="94"/>
      <c r="M49" s="94"/>
      <c r="N49" s="94"/>
      <c r="O49" s="94"/>
      <c r="P49" s="94"/>
      <c r="Q49" s="94"/>
      <c r="W49" s="33"/>
    </row>
    <row r="50" spans="3:23" s="28" customFormat="1" x14ac:dyDescent="0.2">
      <c r="C50" s="40"/>
      <c r="D50" s="40"/>
      <c r="E50" s="40"/>
      <c r="F50" s="40"/>
      <c r="G50" s="40"/>
      <c r="H50" s="40"/>
      <c r="K50" s="99"/>
      <c r="L50" s="94"/>
      <c r="M50" s="94"/>
      <c r="N50" s="94"/>
      <c r="O50" s="94"/>
      <c r="P50" s="94"/>
      <c r="Q50" s="34"/>
      <c r="W50" s="33"/>
    </row>
    <row r="51" spans="3:23" s="28" customFormat="1" x14ac:dyDescent="0.2">
      <c r="C51" s="34"/>
      <c r="D51" s="34"/>
      <c r="E51" s="34"/>
      <c r="F51" s="40"/>
      <c r="G51" s="40"/>
      <c r="H51" s="40"/>
      <c r="I51" s="38"/>
      <c r="J51" s="38"/>
      <c r="K51" s="99"/>
      <c r="L51" s="94"/>
      <c r="M51" s="94"/>
      <c r="N51" s="94"/>
      <c r="O51" s="94"/>
      <c r="P51" s="94"/>
      <c r="Q51" s="34"/>
      <c r="W51" s="33"/>
    </row>
    <row r="52" spans="3:23" s="28" customFormat="1" x14ac:dyDescent="0.2">
      <c r="C52" s="40"/>
      <c r="D52" s="40"/>
      <c r="E52" s="40"/>
      <c r="F52" s="40"/>
      <c r="G52" s="40"/>
      <c r="H52" s="40"/>
      <c r="W52" s="33"/>
    </row>
    <row r="53" spans="3:23" s="28" customFormat="1" x14ac:dyDescent="0.2">
      <c r="C53" s="34"/>
      <c r="D53" s="34"/>
      <c r="E53" s="34"/>
      <c r="F53" s="34"/>
      <c r="G53" s="34"/>
      <c r="H53" s="34"/>
      <c r="W53" s="33"/>
    </row>
    <row r="54" spans="3:23" s="28" customFormat="1" x14ac:dyDescent="0.2">
      <c r="C54" s="34"/>
      <c r="D54" s="34"/>
      <c r="E54" s="34"/>
      <c r="F54" s="34"/>
      <c r="G54" s="34"/>
      <c r="H54" s="34"/>
      <c r="K54" s="99"/>
      <c r="L54" s="94"/>
      <c r="M54" s="94"/>
      <c r="N54" s="94"/>
      <c r="O54" s="94"/>
      <c r="P54" s="94"/>
      <c r="Q54" s="94"/>
      <c r="W54" s="33"/>
    </row>
    <row r="55" spans="3:23" s="28" customFormat="1" x14ac:dyDescent="0.2">
      <c r="C55" s="40"/>
      <c r="D55" s="40"/>
      <c r="E55" s="40"/>
      <c r="F55" s="40"/>
      <c r="G55" s="40"/>
      <c r="H55" s="40"/>
      <c r="K55" s="99"/>
      <c r="L55" s="94"/>
      <c r="M55" s="94"/>
      <c r="N55" s="94"/>
      <c r="O55" s="94"/>
      <c r="P55" s="94"/>
      <c r="Q55" s="34"/>
      <c r="W55" s="33"/>
    </row>
    <row r="56" spans="3:23" s="28" customFormat="1" x14ac:dyDescent="0.2">
      <c r="C56" s="34"/>
      <c r="D56" s="34"/>
      <c r="E56" s="34"/>
      <c r="F56" s="34"/>
      <c r="G56" s="34"/>
      <c r="H56" s="34"/>
      <c r="I56" s="38"/>
      <c r="J56" s="38"/>
      <c r="K56" s="99"/>
      <c r="L56" s="94"/>
      <c r="M56" s="94"/>
      <c r="N56" s="94"/>
      <c r="O56" s="94"/>
      <c r="P56" s="94"/>
      <c r="Q56" s="34"/>
      <c r="W56" s="33"/>
    </row>
    <row r="57" spans="3:23" s="28" customFormat="1" x14ac:dyDescent="0.2">
      <c r="C57" s="40"/>
      <c r="D57" s="40"/>
      <c r="E57" s="40"/>
      <c r="F57" s="40"/>
      <c r="G57" s="40"/>
      <c r="H57" s="40"/>
      <c r="W57" s="33"/>
    </row>
    <row r="58" spans="3:23" s="28" customFormat="1" x14ac:dyDescent="0.2">
      <c r="C58" s="34"/>
      <c r="D58" s="34"/>
      <c r="E58" s="34"/>
      <c r="F58" s="34"/>
      <c r="G58" s="34"/>
      <c r="H58" s="34"/>
      <c r="W58" s="33"/>
    </row>
    <row r="59" spans="3:23" s="28" customFormat="1" x14ac:dyDescent="0.2">
      <c r="C59" s="34"/>
      <c r="D59" s="34"/>
      <c r="E59" s="34"/>
      <c r="F59" s="34"/>
      <c r="G59" s="34"/>
      <c r="H59" s="34"/>
      <c r="I59" s="96"/>
      <c r="J59" s="96"/>
      <c r="L59" s="96"/>
      <c r="M59" s="96"/>
      <c r="N59" s="96"/>
      <c r="O59" s="96"/>
      <c r="P59" s="96"/>
      <c r="Q59" s="96"/>
      <c r="W59" s="33"/>
    </row>
    <row r="60" spans="3:23" s="28" customFormat="1" x14ac:dyDescent="0.2">
      <c r="C60" s="89"/>
      <c r="D60" s="89"/>
      <c r="E60" s="89"/>
      <c r="F60" s="89"/>
      <c r="G60" s="89"/>
      <c r="H60" s="89"/>
      <c r="I60" s="96"/>
      <c r="J60" s="96"/>
      <c r="L60" s="96"/>
      <c r="M60" s="96"/>
      <c r="N60" s="96"/>
      <c r="O60" s="96"/>
      <c r="P60" s="96"/>
      <c r="Q60" s="96"/>
      <c r="W60" s="33"/>
    </row>
    <row r="61" spans="3:23" s="28" customFormat="1" x14ac:dyDescent="0.2">
      <c r="C61" s="89"/>
      <c r="D61" s="89"/>
      <c r="E61" s="89"/>
      <c r="F61" s="89"/>
      <c r="G61" s="89"/>
      <c r="H61" s="89"/>
      <c r="I61" s="96"/>
      <c r="J61" s="96"/>
      <c r="L61" s="96"/>
      <c r="M61" s="96"/>
      <c r="N61" s="96"/>
      <c r="O61" s="96"/>
      <c r="P61" s="96"/>
      <c r="Q61" s="96"/>
      <c r="W61" s="33"/>
    </row>
    <row r="62" spans="3:23" s="28" customFormat="1" x14ac:dyDescent="0.2">
      <c r="C62" s="89"/>
      <c r="D62" s="89"/>
      <c r="E62" s="89"/>
      <c r="F62" s="89"/>
      <c r="G62" s="89"/>
      <c r="H62" s="89"/>
      <c r="W62" s="33"/>
    </row>
    <row r="63" spans="3:23" s="28" customFormat="1" x14ac:dyDescent="0.2">
      <c r="L63" s="25"/>
      <c r="M63" s="25"/>
      <c r="N63" s="25"/>
      <c r="O63" s="25"/>
      <c r="P63" s="25"/>
      <c r="W63" s="33"/>
    </row>
    <row r="64" spans="3:23" s="28" customFormat="1" x14ac:dyDescent="0.2">
      <c r="C64" s="25"/>
      <c r="D64" s="25"/>
      <c r="E64" s="25"/>
      <c r="F64" s="25"/>
      <c r="G64" s="25"/>
      <c r="H64" s="25"/>
      <c r="L64" s="27"/>
      <c r="M64" s="27"/>
      <c r="N64" s="27"/>
      <c r="O64" s="27"/>
      <c r="P64" s="27"/>
      <c r="W64" s="33"/>
    </row>
    <row r="65" spans="2:23" s="28" customFormat="1" x14ac:dyDescent="0.2">
      <c r="C65" s="27"/>
      <c r="D65" s="27"/>
      <c r="E65" s="27"/>
      <c r="F65" s="27"/>
      <c r="G65" s="27"/>
      <c r="H65" s="27"/>
      <c r="L65" s="27"/>
      <c r="M65" s="27"/>
      <c r="N65" s="27"/>
      <c r="O65" s="27"/>
      <c r="P65" s="27"/>
      <c r="W65" s="33"/>
    </row>
    <row r="66" spans="2:23" s="28" customFormat="1" x14ac:dyDescent="0.2">
      <c r="C66" s="27"/>
      <c r="D66" s="27"/>
      <c r="E66" s="27"/>
      <c r="F66" s="27"/>
      <c r="G66" s="27"/>
      <c r="H66" s="27"/>
      <c r="L66" s="27"/>
      <c r="M66" s="27"/>
      <c r="N66" s="27"/>
      <c r="O66" s="27"/>
      <c r="P66" s="27"/>
      <c r="W66" s="33"/>
    </row>
    <row r="67" spans="2:23" s="28" customFormat="1" x14ac:dyDescent="0.2">
      <c r="C67" s="46"/>
      <c r="D67" s="46"/>
      <c r="E67" s="46"/>
      <c r="F67" s="46"/>
      <c r="G67" s="46"/>
      <c r="H67" s="97"/>
      <c r="I67" s="38"/>
      <c r="J67" s="38"/>
      <c r="L67" s="38"/>
      <c r="M67" s="38"/>
      <c r="N67" s="38"/>
      <c r="O67" s="38"/>
      <c r="P67" s="38"/>
      <c r="Q67" s="38"/>
      <c r="W67" s="33"/>
    </row>
    <row r="68" spans="2:23" s="28" customFormat="1" x14ac:dyDescent="0.2">
      <c r="C68" s="40"/>
      <c r="D68" s="40"/>
      <c r="E68" s="40"/>
      <c r="F68" s="40"/>
      <c r="G68" s="40"/>
      <c r="H68" s="40"/>
      <c r="I68" s="38"/>
      <c r="J68" s="38"/>
      <c r="L68" s="38"/>
      <c r="M68" s="38"/>
      <c r="N68" s="38"/>
      <c r="O68" s="38"/>
      <c r="P68" s="38"/>
      <c r="Q68" s="38"/>
      <c r="W68" s="33"/>
    </row>
    <row r="69" spans="2:23" s="28" customFormat="1" x14ac:dyDescent="0.2">
      <c r="C69" s="46"/>
      <c r="D69" s="46"/>
      <c r="E69" s="46"/>
      <c r="F69" s="46"/>
      <c r="G69" s="46"/>
      <c r="H69" s="46"/>
      <c r="I69" s="38"/>
      <c r="J69" s="38"/>
      <c r="L69" s="38"/>
      <c r="M69" s="38"/>
      <c r="N69" s="38"/>
      <c r="O69" s="38"/>
      <c r="P69" s="38"/>
      <c r="Q69" s="38"/>
      <c r="W69" s="33"/>
    </row>
    <row r="70" spans="2:23" s="28" customFormat="1" x14ac:dyDescent="0.2">
      <c r="C70" s="40"/>
      <c r="D70" s="40"/>
      <c r="E70" s="40"/>
      <c r="F70" s="40"/>
      <c r="G70" s="40"/>
      <c r="H70" s="40"/>
      <c r="W70" s="33"/>
    </row>
    <row r="71" spans="2:23" s="28" customFormat="1" x14ac:dyDescent="0.2">
      <c r="B71" s="88"/>
      <c r="C71" s="27"/>
      <c r="D71" s="27"/>
      <c r="E71" s="27"/>
      <c r="F71" s="27"/>
      <c r="G71" s="27"/>
      <c r="H71" s="27"/>
      <c r="I71" s="38"/>
      <c r="J71" s="38"/>
      <c r="O71" s="38"/>
      <c r="Q71" s="38"/>
      <c r="W71" s="33"/>
    </row>
    <row r="72" spans="2:23" s="28" customFormat="1" x14ac:dyDescent="0.2">
      <c r="B72" s="88"/>
      <c r="C72" s="27"/>
      <c r="D72" s="27"/>
      <c r="E72" s="27"/>
      <c r="F72" s="27"/>
      <c r="G72" s="27"/>
      <c r="H72" s="27"/>
      <c r="W72" s="33"/>
    </row>
    <row r="73" spans="2:23" s="28" customFormat="1" x14ac:dyDescent="0.2">
      <c r="C73" s="34"/>
      <c r="D73" s="34"/>
      <c r="E73" s="34"/>
      <c r="F73" s="34"/>
      <c r="G73" s="34"/>
      <c r="H73" s="34"/>
      <c r="W73" s="33"/>
    </row>
    <row r="74" spans="2:23" s="28" customFormat="1" x14ac:dyDescent="0.2">
      <c r="C74" s="25"/>
      <c r="D74" s="25"/>
      <c r="E74" s="25"/>
      <c r="F74" s="34"/>
      <c r="G74" s="34"/>
      <c r="H74" s="34"/>
      <c r="W74" s="33"/>
    </row>
    <row r="75" spans="2:23" s="28" customFormat="1" x14ac:dyDescent="0.2">
      <c r="C75" s="25"/>
      <c r="D75" s="25"/>
      <c r="E75" s="25"/>
      <c r="F75" s="25"/>
      <c r="G75" s="25"/>
      <c r="H75" s="25"/>
      <c r="W75" s="33"/>
    </row>
    <row r="76" spans="2:23" s="28" customFormat="1" x14ac:dyDescent="0.2">
      <c r="C76" s="25"/>
      <c r="D76" s="25"/>
      <c r="E76" s="25"/>
      <c r="F76" s="25"/>
      <c r="G76" s="25"/>
      <c r="H76" s="25"/>
      <c r="W76" s="33"/>
    </row>
    <row r="77" spans="2:23" s="28" customFormat="1" x14ac:dyDescent="0.2">
      <c r="C77" s="91"/>
      <c r="D77" s="91"/>
      <c r="E77" s="91"/>
      <c r="F77" s="40"/>
      <c r="G77" s="40"/>
      <c r="H77" s="40"/>
      <c r="W77" s="33"/>
    </row>
    <row r="78" spans="2:23" s="28" customFormat="1" x14ac:dyDescent="0.2">
      <c r="C78" s="40"/>
      <c r="D78" s="40"/>
      <c r="E78" s="40"/>
      <c r="F78" s="40"/>
      <c r="G78" s="40"/>
      <c r="H78" s="40"/>
      <c r="W78" s="33"/>
    </row>
    <row r="79" spans="2:23" s="28" customFormat="1" x14ac:dyDescent="0.2">
      <c r="C79" s="34"/>
      <c r="D79" s="34"/>
      <c r="E79" s="34"/>
      <c r="F79" s="40"/>
      <c r="G79" s="40"/>
      <c r="H79" s="40"/>
      <c r="W79" s="33"/>
    </row>
    <row r="80" spans="2:23" s="28" customFormat="1" x14ac:dyDescent="0.2">
      <c r="C80" s="40"/>
      <c r="D80" s="40"/>
      <c r="E80" s="40"/>
      <c r="F80" s="40"/>
      <c r="G80" s="40"/>
      <c r="H80" s="40"/>
      <c r="W80" s="33"/>
    </row>
    <row r="81" spans="3:23" s="28" customFormat="1" x14ac:dyDescent="0.2">
      <c r="C81" s="34"/>
      <c r="D81" s="34"/>
      <c r="E81" s="34"/>
      <c r="F81" s="34"/>
      <c r="G81" s="34"/>
      <c r="H81" s="34"/>
      <c r="W81" s="33"/>
    </row>
    <row r="82" spans="3:23" s="28" customFormat="1" x14ac:dyDescent="0.2">
      <c r="C82" s="34"/>
      <c r="D82" s="34"/>
      <c r="E82" s="34"/>
      <c r="F82" s="34"/>
      <c r="G82" s="34"/>
      <c r="H82" s="34"/>
      <c r="W82" s="33"/>
    </row>
    <row r="83" spans="3:23" s="28" customFormat="1" x14ac:dyDescent="0.2">
      <c r="C83" s="40"/>
      <c r="D83" s="40"/>
      <c r="E83" s="40"/>
      <c r="F83" s="40"/>
      <c r="G83" s="40"/>
      <c r="H83" s="40"/>
      <c r="W83" s="33"/>
    </row>
    <row r="84" spans="3:23" s="28" customFormat="1" x14ac:dyDescent="0.2">
      <c r="C84" s="34"/>
      <c r="D84" s="34"/>
      <c r="E84" s="34"/>
      <c r="F84" s="34"/>
      <c r="G84" s="34"/>
      <c r="H84" s="34"/>
      <c r="W84" s="33"/>
    </row>
    <row r="85" spans="3:23" s="28" customFormat="1" x14ac:dyDescent="0.2">
      <c r="C85" s="40"/>
      <c r="D85" s="40"/>
      <c r="E85" s="40"/>
      <c r="F85" s="40"/>
      <c r="G85" s="40"/>
      <c r="H85" s="40"/>
      <c r="W85" s="33"/>
    </row>
    <row r="86" spans="3:23" s="28" customFormat="1" x14ac:dyDescent="0.2">
      <c r="C86" s="34"/>
      <c r="D86" s="34"/>
      <c r="E86" s="34"/>
      <c r="F86" s="34"/>
      <c r="G86" s="34"/>
      <c r="H86" s="34"/>
      <c r="W86" s="33"/>
    </row>
    <row r="87" spans="3:23" s="28" customFormat="1" x14ac:dyDescent="0.2">
      <c r="C87" s="34"/>
      <c r="D87" s="34"/>
      <c r="E87" s="34"/>
      <c r="F87" s="34"/>
      <c r="G87" s="34"/>
      <c r="H87" s="34"/>
      <c r="W87" s="33"/>
    </row>
    <row r="88" spans="3:23" s="28" customFormat="1" x14ac:dyDescent="0.2">
      <c r="C88" s="89"/>
      <c r="D88" s="89"/>
      <c r="E88" s="89"/>
      <c r="F88" s="89"/>
      <c r="G88" s="89"/>
      <c r="H88" s="89"/>
      <c r="W88" s="33"/>
    </row>
    <row r="89" spans="3:23" s="28" customFormat="1" x14ac:dyDescent="0.2">
      <c r="C89" s="89"/>
      <c r="D89" s="89"/>
      <c r="E89" s="89"/>
      <c r="F89" s="89"/>
      <c r="G89" s="89"/>
      <c r="H89" s="89"/>
      <c r="W89" s="33"/>
    </row>
    <row r="90" spans="3:23" s="28" customFormat="1" x14ac:dyDescent="0.2">
      <c r="C90" s="89"/>
      <c r="D90" s="89"/>
      <c r="E90" s="89"/>
      <c r="F90" s="89"/>
      <c r="G90" s="89"/>
      <c r="H90" s="89"/>
      <c r="W90" s="33"/>
    </row>
    <row r="91" spans="3:23" s="28" customFormat="1" x14ac:dyDescent="0.2">
      <c r="W91" s="33"/>
    </row>
    <row r="92" spans="3:23" s="28" customFormat="1" x14ac:dyDescent="0.2">
      <c r="C92" s="25"/>
      <c r="D92" s="25"/>
      <c r="E92" s="25"/>
      <c r="F92" s="25"/>
      <c r="G92" s="25"/>
      <c r="H92" s="25"/>
      <c r="W92" s="33"/>
    </row>
    <row r="93" spans="3:23" s="28" customFormat="1" x14ac:dyDescent="0.2">
      <c r="C93" s="27"/>
      <c r="D93" s="27"/>
      <c r="E93" s="27"/>
      <c r="F93" s="27"/>
      <c r="G93" s="27"/>
      <c r="H93" s="27"/>
      <c r="W93" s="33"/>
    </row>
    <row r="94" spans="3:23" s="28" customFormat="1" x14ac:dyDescent="0.2">
      <c r="C94" s="27"/>
      <c r="D94" s="27"/>
      <c r="E94" s="27"/>
      <c r="F94" s="27"/>
      <c r="G94" s="27"/>
      <c r="H94" s="27"/>
      <c r="W94" s="33"/>
    </row>
    <row r="95" spans="3:23" s="28" customFormat="1" x14ac:dyDescent="0.2">
      <c r="C95" s="46"/>
      <c r="D95" s="46"/>
      <c r="E95" s="46"/>
      <c r="F95" s="46"/>
      <c r="G95" s="46"/>
      <c r="H95" s="97"/>
      <c r="W95" s="33"/>
    </row>
    <row r="96" spans="3:23" s="28" customFormat="1" x14ac:dyDescent="0.2">
      <c r="C96" s="40"/>
      <c r="D96" s="40"/>
      <c r="E96" s="40"/>
      <c r="F96" s="40"/>
      <c r="G96" s="40"/>
      <c r="H96" s="40"/>
      <c r="W96" s="33"/>
    </row>
    <row r="97" spans="2:23" s="28" customFormat="1" x14ac:dyDescent="0.2">
      <c r="C97" s="46"/>
      <c r="D97" s="46"/>
      <c r="E97" s="46"/>
      <c r="F97" s="46"/>
      <c r="G97" s="46"/>
      <c r="H97" s="46"/>
      <c r="W97" s="33"/>
    </row>
    <row r="98" spans="2:23" s="28" customFormat="1" x14ac:dyDescent="0.2">
      <c r="C98" s="40"/>
      <c r="D98" s="40"/>
      <c r="E98" s="40"/>
      <c r="F98" s="40"/>
      <c r="G98" s="40"/>
      <c r="H98" s="40"/>
      <c r="W98" s="33"/>
    </row>
    <row r="99" spans="2:23" s="28" customFormat="1" x14ac:dyDescent="0.2">
      <c r="B99" s="88"/>
      <c r="C99" s="27"/>
      <c r="D99" s="27"/>
      <c r="E99" s="27"/>
      <c r="F99" s="27"/>
      <c r="G99" s="27"/>
      <c r="H99" s="27"/>
      <c r="W99" s="33"/>
    </row>
    <row r="100" spans="2:23" s="28" customFormat="1" x14ac:dyDescent="0.2">
      <c r="B100" s="88"/>
      <c r="C100" s="27"/>
      <c r="D100" s="27"/>
      <c r="E100" s="27"/>
      <c r="F100" s="27"/>
      <c r="G100" s="27"/>
      <c r="H100" s="27"/>
      <c r="W100" s="33"/>
    </row>
    <row r="101" spans="2:23" s="28" customFormat="1" x14ac:dyDescent="0.2">
      <c r="C101" s="34"/>
      <c r="D101" s="34"/>
      <c r="E101" s="34"/>
      <c r="F101" s="34"/>
      <c r="G101" s="34"/>
      <c r="H101" s="34"/>
      <c r="W101" s="33"/>
    </row>
    <row r="102" spans="2:23" s="28" customFormat="1" x14ac:dyDescent="0.2">
      <c r="C102" s="25"/>
      <c r="D102" s="25"/>
      <c r="E102" s="25"/>
      <c r="F102" s="34"/>
      <c r="G102" s="34"/>
      <c r="H102" s="34"/>
      <c r="W102" s="33"/>
    </row>
    <row r="103" spans="2:23" s="28" customFormat="1" x14ac:dyDescent="0.2">
      <c r="C103" s="25"/>
      <c r="D103" s="25"/>
      <c r="E103" s="25"/>
      <c r="F103" s="25"/>
      <c r="G103" s="25"/>
      <c r="H103" s="25"/>
      <c r="W103" s="33"/>
    </row>
    <row r="104" spans="2:23" s="28" customFormat="1" x14ac:dyDescent="0.2">
      <c r="C104" s="25"/>
      <c r="D104" s="25"/>
      <c r="E104" s="25"/>
      <c r="F104" s="25"/>
      <c r="G104" s="25"/>
      <c r="H104" s="25"/>
      <c r="W104" s="33"/>
    </row>
    <row r="105" spans="2:23" s="28" customFormat="1" x14ac:dyDescent="0.2">
      <c r="C105" s="91"/>
      <c r="D105" s="91"/>
      <c r="E105" s="91"/>
      <c r="F105" s="40"/>
      <c r="G105" s="40"/>
      <c r="H105" s="40"/>
      <c r="W105" s="33"/>
    </row>
    <row r="106" spans="2:23" s="28" customFormat="1" x14ac:dyDescent="0.2">
      <c r="C106" s="40"/>
      <c r="D106" s="40"/>
      <c r="E106" s="40"/>
      <c r="F106" s="40"/>
      <c r="G106" s="40"/>
      <c r="H106" s="40"/>
      <c r="W106" s="33"/>
    </row>
    <row r="107" spans="2:23" s="28" customFormat="1" x14ac:dyDescent="0.2">
      <c r="C107" s="34"/>
      <c r="D107" s="34"/>
      <c r="E107" s="34"/>
      <c r="F107" s="40"/>
      <c r="G107" s="40"/>
      <c r="H107" s="40"/>
      <c r="W107" s="33"/>
    </row>
    <row r="108" spans="2:23" s="28" customFormat="1" x14ac:dyDescent="0.2">
      <c r="C108" s="40"/>
      <c r="D108" s="40"/>
      <c r="E108" s="40"/>
      <c r="F108" s="40"/>
      <c r="G108" s="40"/>
      <c r="H108" s="40"/>
      <c r="W108" s="33"/>
    </row>
    <row r="109" spans="2:23" s="28" customFormat="1" x14ac:dyDescent="0.2">
      <c r="C109" s="34"/>
      <c r="D109" s="34"/>
      <c r="E109" s="34"/>
      <c r="F109" s="34"/>
      <c r="G109" s="34"/>
      <c r="H109" s="34"/>
      <c r="W109" s="33"/>
    </row>
    <row r="110" spans="2:23" s="28" customFormat="1" x14ac:dyDescent="0.2">
      <c r="C110" s="34"/>
      <c r="D110" s="34"/>
      <c r="E110" s="34"/>
      <c r="F110" s="34"/>
      <c r="G110" s="34"/>
      <c r="H110" s="34"/>
      <c r="W110" s="33"/>
    </row>
    <row r="111" spans="2:23" s="28" customFormat="1" x14ac:dyDescent="0.2">
      <c r="C111" s="40"/>
      <c r="D111" s="40"/>
      <c r="E111" s="40"/>
      <c r="F111" s="40"/>
      <c r="G111" s="40"/>
      <c r="H111" s="40"/>
      <c r="W111" s="33"/>
    </row>
    <row r="112" spans="2:23" s="28" customFormat="1" x14ac:dyDescent="0.2">
      <c r="C112" s="34"/>
      <c r="D112" s="34"/>
      <c r="E112" s="34"/>
      <c r="F112" s="34"/>
      <c r="G112" s="34"/>
      <c r="H112" s="34"/>
      <c r="W112" s="33"/>
    </row>
    <row r="113" spans="3:23" s="28" customFormat="1" x14ac:dyDescent="0.2">
      <c r="C113" s="40"/>
      <c r="D113" s="40"/>
      <c r="E113" s="40"/>
      <c r="F113" s="40"/>
      <c r="G113" s="40"/>
      <c r="H113" s="40"/>
      <c r="W113" s="33"/>
    </row>
    <row r="114" spans="3:23" s="28" customFormat="1" x14ac:dyDescent="0.2">
      <c r="C114" s="34"/>
      <c r="D114" s="34"/>
      <c r="E114" s="34"/>
      <c r="F114" s="34"/>
      <c r="G114" s="34"/>
      <c r="H114" s="34"/>
      <c r="W114" s="33"/>
    </row>
    <row r="115" spans="3:23" s="28" customFormat="1" x14ac:dyDescent="0.2">
      <c r="C115" s="34"/>
      <c r="D115" s="34"/>
      <c r="E115" s="34"/>
      <c r="F115" s="34"/>
      <c r="G115" s="34"/>
      <c r="H115" s="34"/>
      <c r="W115" s="33"/>
    </row>
    <row r="116" spans="3:23" s="28" customFormat="1" x14ac:dyDescent="0.2">
      <c r="C116" s="89"/>
      <c r="D116" s="89"/>
      <c r="E116" s="89"/>
      <c r="F116" s="89"/>
      <c r="G116" s="89"/>
      <c r="H116" s="89"/>
      <c r="W116" s="33"/>
    </row>
    <row r="117" spans="3:23" s="28" customFormat="1" x14ac:dyDescent="0.2">
      <c r="C117" s="89"/>
      <c r="D117" s="89"/>
      <c r="E117" s="89"/>
      <c r="F117" s="89"/>
      <c r="G117" s="89"/>
      <c r="H117" s="89"/>
      <c r="W117" s="33"/>
    </row>
    <row r="118" spans="3:23" s="28" customFormat="1" x14ac:dyDescent="0.2">
      <c r="C118" s="89"/>
      <c r="D118" s="89"/>
      <c r="E118" s="89"/>
      <c r="F118" s="89"/>
      <c r="G118" s="89"/>
      <c r="H118" s="89"/>
      <c r="W118" s="33"/>
    </row>
    <row r="119" spans="3:23" s="28" customFormat="1" x14ac:dyDescent="0.2">
      <c r="W119" s="33"/>
    </row>
    <row r="120" spans="3:23" s="28" customFormat="1" x14ac:dyDescent="0.2">
      <c r="C120" s="25"/>
      <c r="D120" s="25"/>
      <c r="E120" s="25"/>
      <c r="F120" s="25"/>
      <c r="G120" s="25"/>
      <c r="H120" s="25"/>
      <c r="W120" s="33"/>
    </row>
    <row r="121" spans="3:23" s="28" customFormat="1" x14ac:dyDescent="0.2">
      <c r="C121" s="27"/>
      <c r="D121" s="27"/>
      <c r="E121" s="27"/>
      <c r="F121" s="27"/>
      <c r="G121" s="27"/>
      <c r="H121" s="27"/>
      <c r="W121" s="33"/>
    </row>
    <row r="122" spans="3:23" s="28" customFormat="1" x14ac:dyDescent="0.2">
      <c r="C122" s="27"/>
      <c r="D122" s="27"/>
      <c r="E122" s="27"/>
      <c r="F122" s="27"/>
      <c r="G122" s="27"/>
      <c r="H122" s="27"/>
      <c r="W122" s="33"/>
    </row>
    <row r="123" spans="3:23" s="28" customFormat="1" x14ac:dyDescent="0.2">
      <c r="C123" s="46"/>
      <c r="D123" s="46"/>
      <c r="E123" s="46"/>
      <c r="F123" s="46"/>
      <c r="G123" s="46"/>
      <c r="H123" s="97"/>
      <c r="W123" s="33"/>
    </row>
    <row r="124" spans="3:23" s="28" customFormat="1" x14ac:dyDescent="0.2">
      <c r="C124" s="40"/>
      <c r="D124" s="40"/>
      <c r="E124" s="40"/>
      <c r="F124" s="40"/>
      <c r="G124" s="40"/>
      <c r="H124" s="40"/>
      <c r="W124" s="33"/>
    </row>
    <row r="125" spans="3:23" s="28" customFormat="1" x14ac:dyDescent="0.2">
      <c r="C125" s="46"/>
      <c r="D125" s="46"/>
      <c r="E125" s="46"/>
      <c r="F125" s="46"/>
      <c r="G125" s="46"/>
      <c r="H125" s="46"/>
      <c r="W125" s="33"/>
    </row>
    <row r="126" spans="3:23" s="28" customFormat="1" x14ac:dyDescent="0.2">
      <c r="C126" s="40"/>
      <c r="D126" s="40"/>
      <c r="E126" s="40"/>
      <c r="F126" s="40"/>
      <c r="G126" s="40"/>
      <c r="H126" s="40"/>
      <c r="W126" s="33"/>
    </row>
    <row r="127" spans="3:23" s="28" customFormat="1" x14ac:dyDescent="0.2">
      <c r="W127" s="33"/>
    </row>
  </sheetData>
  <mergeCells count="35">
    <mergeCell ref="AG8:AN8"/>
    <mergeCell ref="B1:H1"/>
    <mergeCell ref="B2:F2"/>
    <mergeCell ref="B3:F3"/>
    <mergeCell ref="B4:F4"/>
    <mergeCell ref="B8:D8"/>
    <mergeCell ref="E8:L8"/>
    <mergeCell ref="M8:S8"/>
    <mergeCell ref="T8:W8"/>
    <mergeCell ref="X8:AF8"/>
    <mergeCell ref="B7:AN7"/>
    <mergeCell ref="B6:AN6"/>
    <mergeCell ref="T9:U9"/>
    <mergeCell ref="X9:Y9"/>
    <mergeCell ref="AG9:AH9"/>
    <mergeCell ref="B10:B12"/>
    <mergeCell ref="C10:C12"/>
    <mergeCell ref="D10:D12"/>
    <mergeCell ref="G10:G12"/>
    <mergeCell ref="K10:K12"/>
    <mergeCell ref="L10:L12"/>
    <mergeCell ref="AC10:AC12"/>
    <mergeCell ref="R10:R12"/>
    <mergeCell ref="S10:S12"/>
    <mergeCell ref="V10:V12"/>
    <mergeCell ref="W10:W12"/>
    <mergeCell ref="Z10:Z12"/>
    <mergeCell ref="AL10:AL12"/>
    <mergeCell ref="AM10:AM12"/>
    <mergeCell ref="AN10:AN12"/>
    <mergeCell ref="AB10:AB12"/>
    <mergeCell ref="AE10:AE12"/>
    <mergeCell ref="AF10:AF12"/>
    <mergeCell ref="AI10:AI12"/>
    <mergeCell ref="AK10:AK1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6F049ACA-2A32-4FF1-B0C8-B938D5EADA0C}">
          <x14:formula1>
            <xm:f>'Background Information'!$B$17:$B$18</xm:f>
          </x14:formula1>
          <xm:sqref>D10:D12</xm:sqref>
        </x14:dataValidation>
        <x14:dataValidation type="list" allowBlank="1" showInputMessage="1" showErrorMessage="1" xr:uid="{167056AE-07D1-455D-B7E4-2D4C7D9D32D7}">
          <x14:formula1>
            <xm:f>'Background Information'!$A$4:$A$10</xm:f>
          </x14:formula1>
          <xm:sqref>L63:N63 L36:N36 J36 L44:N44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9685B-14B6-4CFC-9A8E-DC4A0E943A80}">
  <sheetPr>
    <outlinePr summaryBelow="0" summaryRight="0"/>
  </sheetPr>
  <dimension ref="B1:AP126"/>
  <sheetViews>
    <sheetView zoomScale="86" zoomScaleNormal="100" workbookViewId="0">
      <selection activeCell="C46" sqref="C46"/>
    </sheetView>
  </sheetViews>
  <sheetFormatPr baseColWidth="10" defaultColWidth="8.83203125" defaultRowHeight="15" outlineLevelRow="2" x14ac:dyDescent="0.2"/>
  <cols>
    <col min="2" max="2" width="25.6640625" customWidth="1"/>
    <col min="3" max="3" width="15.6640625" customWidth="1"/>
    <col min="4" max="9" width="12.6640625" customWidth="1"/>
    <col min="10" max="13" width="14.6640625" customWidth="1"/>
    <col min="14" max="15" width="12.6640625" customWidth="1"/>
    <col min="16" max="17" width="15.6640625" customWidth="1"/>
    <col min="18" max="20" width="14.6640625" customWidth="1"/>
    <col min="21" max="21" width="18.6640625" customWidth="1"/>
    <col min="22" max="22" width="12.6640625" customWidth="1"/>
    <col min="23" max="23" width="15.6640625" customWidth="1"/>
    <col min="24" max="24" width="15.6640625" style="43" customWidth="1"/>
    <col min="25" max="25" width="15.6640625" customWidth="1"/>
    <col min="26" max="27" width="8.1640625" customWidth="1"/>
    <col min="28" max="30" width="12.6640625" customWidth="1"/>
    <col min="31" max="33" width="14.6640625" customWidth="1"/>
    <col min="34" max="34" width="12.6640625" customWidth="1"/>
    <col min="35" max="35" width="8.1640625" customWidth="1"/>
    <col min="36" max="36" width="14.33203125" bestFit="1" customWidth="1"/>
    <col min="37" max="40" width="15.6640625" customWidth="1"/>
    <col min="41" max="41" width="18.6640625" bestFit="1" customWidth="1"/>
    <col min="42" max="42" width="15.6640625" customWidth="1"/>
  </cols>
  <sheetData>
    <row r="1" spans="2:42" x14ac:dyDescent="0.2">
      <c r="B1" s="154" t="s">
        <v>35</v>
      </c>
      <c r="C1" s="154"/>
      <c r="D1" s="154"/>
      <c r="E1" s="154"/>
      <c r="F1" s="154"/>
      <c r="G1" s="154"/>
      <c r="H1" s="154"/>
      <c r="I1" s="154"/>
    </row>
    <row r="2" spans="2:42" x14ac:dyDescent="0.2">
      <c r="B2" s="145" t="s">
        <v>41</v>
      </c>
      <c r="C2" s="145"/>
      <c r="D2" s="145"/>
      <c r="E2" s="145"/>
      <c r="F2" s="145"/>
      <c r="G2" s="145"/>
      <c r="I2" s="24">
        <f>AH10+AH46</f>
        <v>915440</v>
      </c>
      <c r="U2" s="10"/>
    </row>
    <row r="3" spans="2:42" x14ac:dyDescent="0.2">
      <c r="B3" s="145" t="s">
        <v>42</v>
      </c>
      <c r="C3" s="145"/>
      <c r="D3" s="145"/>
      <c r="E3" s="145"/>
      <c r="F3" s="145"/>
      <c r="G3" s="145"/>
      <c r="I3" s="20">
        <f>AP10+AP46</f>
        <v>399413.56492799998</v>
      </c>
      <c r="J3" s="2"/>
      <c r="K3" s="2"/>
      <c r="M3" s="2"/>
      <c r="N3" s="2"/>
      <c r="O3" s="2"/>
      <c r="P3" s="2"/>
      <c r="Q3" s="2"/>
      <c r="U3" s="10"/>
    </row>
    <row r="4" spans="2:42" x14ac:dyDescent="0.2">
      <c r="B4" s="145" t="s">
        <v>43</v>
      </c>
      <c r="C4" s="145"/>
      <c r="D4" s="145"/>
      <c r="E4" s="145"/>
      <c r="F4" s="145"/>
      <c r="G4" s="145"/>
      <c r="I4" s="20">
        <f>(AM10*12)+(AM46*12)</f>
        <v>10619.900928000003</v>
      </c>
      <c r="J4" s="2"/>
      <c r="K4" s="2"/>
      <c r="M4" s="2"/>
      <c r="N4" s="2"/>
      <c r="O4" s="2"/>
      <c r="P4" s="2"/>
      <c r="Q4" s="2"/>
      <c r="U4" s="10"/>
    </row>
    <row r="5" spans="2:42" ht="16" thickBot="1" x14ac:dyDescent="0.25">
      <c r="B5" s="16"/>
      <c r="C5" s="16"/>
      <c r="D5" s="16"/>
      <c r="E5" s="16"/>
      <c r="F5" s="16"/>
      <c r="G5" s="16"/>
      <c r="H5" s="16"/>
      <c r="I5" s="16"/>
      <c r="J5" s="16"/>
      <c r="K5" s="16"/>
      <c r="M5" s="2"/>
      <c r="N5" s="2"/>
      <c r="O5" s="2"/>
      <c r="P5" s="2"/>
      <c r="Q5" s="2"/>
      <c r="U5" s="10"/>
    </row>
    <row r="6" spans="2:42" s="18" customFormat="1" ht="25" customHeight="1" thickBot="1" x14ac:dyDescent="0.25">
      <c r="B6" s="203" t="s">
        <v>12</v>
      </c>
      <c r="C6" s="204"/>
      <c r="D6" s="204"/>
      <c r="E6" s="204"/>
      <c r="F6" s="204"/>
      <c r="G6" s="204"/>
      <c r="H6" s="204"/>
      <c r="I6" s="204"/>
      <c r="J6" s="204"/>
      <c r="K6" s="204"/>
      <c r="L6" s="204"/>
      <c r="M6" s="204"/>
      <c r="N6" s="204"/>
      <c r="O6" s="204"/>
      <c r="P6" s="204"/>
      <c r="Q6" s="204"/>
      <c r="R6" s="204"/>
      <c r="S6" s="204"/>
      <c r="T6" s="204"/>
      <c r="U6" s="204"/>
      <c r="V6" s="204"/>
      <c r="W6" s="204"/>
      <c r="X6" s="204"/>
      <c r="Y6" s="204"/>
      <c r="Z6" s="204"/>
      <c r="AA6" s="204"/>
      <c r="AB6" s="204"/>
      <c r="AC6" s="204"/>
      <c r="AD6" s="204"/>
      <c r="AE6" s="204"/>
      <c r="AF6" s="204"/>
      <c r="AG6" s="204"/>
      <c r="AH6" s="204"/>
      <c r="AI6" s="204"/>
      <c r="AJ6" s="204"/>
      <c r="AK6" s="204"/>
      <c r="AL6" s="204"/>
      <c r="AM6" s="204"/>
      <c r="AN6" s="204"/>
      <c r="AO6" s="204"/>
      <c r="AP6" s="205"/>
    </row>
    <row r="7" spans="2:42" s="104" customFormat="1" ht="25" customHeight="1" outlineLevel="1" thickBot="1" x14ac:dyDescent="0.25">
      <c r="B7" s="206" t="s">
        <v>115</v>
      </c>
      <c r="C7" s="207"/>
      <c r="D7" s="207"/>
      <c r="E7" s="207"/>
      <c r="F7" s="207"/>
      <c r="G7" s="207"/>
      <c r="H7" s="207"/>
      <c r="I7" s="207"/>
      <c r="J7" s="207"/>
      <c r="K7" s="207"/>
      <c r="L7" s="207"/>
      <c r="M7" s="207"/>
      <c r="N7" s="207"/>
      <c r="O7" s="207"/>
      <c r="P7" s="207"/>
      <c r="Q7" s="207"/>
      <c r="R7" s="207"/>
      <c r="S7" s="207"/>
      <c r="T7" s="207"/>
      <c r="U7" s="207"/>
      <c r="V7" s="207"/>
      <c r="W7" s="207"/>
      <c r="X7" s="207"/>
      <c r="Y7" s="207"/>
      <c r="Z7" s="207"/>
      <c r="AA7" s="207"/>
      <c r="AB7" s="207"/>
      <c r="AC7" s="207"/>
      <c r="AD7" s="207"/>
      <c r="AE7" s="207"/>
      <c r="AF7" s="207"/>
      <c r="AG7" s="207"/>
      <c r="AH7" s="207"/>
      <c r="AI7" s="207"/>
      <c r="AJ7" s="207"/>
      <c r="AK7" s="207"/>
      <c r="AL7" s="207"/>
      <c r="AM7" s="207"/>
      <c r="AN7" s="207"/>
      <c r="AO7" s="207"/>
      <c r="AP7" s="208"/>
    </row>
    <row r="8" spans="2:42" s="105" customFormat="1" ht="25" customHeight="1" outlineLevel="2" x14ac:dyDescent="0.2">
      <c r="B8" s="195" t="s">
        <v>92</v>
      </c>
      <c r="C8" s="196"/>
      <c r="D8" s="196"/>
      <c r="E8" s="200"/>
      <c r="F8" s="197" t="s">
        <v>1</v>
      </c>
      <c r="G8" s="198"/>
      <c r="H8" s="198"/>
      <c r="I8" s="198"/>
      <c r="J8" s="198"/>
      <c r="K8" s="198"/>
      <c r="L8" s="198"/>
      <c r="M8" s="199"/>
      <c r="N8" s="195" t="s">
        <v>90</v>
      </c>
      <c r="O8" s="196"/>
      <c r="P8" s="196"/>
      <c r="Q8" s="196"/>
      <c r="R8" s="196"/>
      <c r="S8" s="196"/>
      <c r="T8" s="200"/>
      <c r="U8" s="195"/>
      <c r="V8" s="196"/>
      <c r="W8" s="196"/>
      <c r="X8" s="196"/>
      <c r="Y8" s="200"/>
      <c r="Z8" s="197" t="s">
        <v>91</v>
      </c>
      <c r="AA8" s="198"/>
      <c r="AB8" s="198"/>
      <c r="AC8" s="198"/>
      <c r="AD8" s="198"/>
      <c r="AE8" s="198"/>
      <c r="AF8" s="198"/>
      <c r="AG8" s="198"/>
      <c r="AH8" s="199"/>
      <c r="AI8" s="192" t="s">
        <v>93</v>
      </c>
      <c r="AJ8" s="193"/>
      <c r="AK8" s="193"/>
      <c r="AL8" s="193"/>
      <c r="AM8" s="193"/>
      <c r="AN8" s="193"/>
      <c r="AO8" s="193"/>
      <c r="AP8" s="194"/>
    </row>
    <row r="9" spans="2:42" s="28" customFormat="1" ht="80" outlineLevel="2" x14ac:dyDescent="0.2">
      <c r="B9" s="81" t="s">
        <v>48</v>
      </c>
      <c r="C9" s="51" t="s">
        <v>50</v>
      </c>
      <c r="D9" s="52" t="s">
        <v>77</v>
      </c>
      <c r="E9" s="82" t="s">
        <v>19</v>
      </c>
      <c r="F9" s="66" t="s">
        <v>51</v>
      </c>
      <c r="G9" s="52" t="s">
        <v>21</v>
      </c>
      <c r="H9" s="53" t="s">
        <v>85</v>
      </c>
      <c r="I9" s="52" t="s">
        <v>114</v>
      </c>
      <c r="J9" s="53" t="s">
        <v>54</v>
      </c>
      <c r="K9" s="52" t="s">
        <v>60</v>
      </c>
      <c r="L9" s="53" t="s">
        <v>56</v>
      </c>
      <c r="M9" s="67" t="s">
        <v>57</v>
      </c>
      <c r="N9" s="66" t="s">
        <v>51</v>
      </c>
      <c r="O9" s="52" t="s">
        <v>21</v>
      </c>
      <c r="P9" s="53" t="s">
        <v>58</v>
      </c>
      <c r="Q9" s="53" t="s">
        <v>59</v>
      </c>
      <c r="R9" s="53" t="s">
        <v>61</v>
      </c>
      <c r="S9" s="53" t="s">
        <v>62</v>
      </c>
      <c r="T9" s="67" t="s">
        <v>63</v>
      </c>
      <c r="U9" s="173" t="s">
        <v>89</v>
      </c>
      <c r="V9" s="174"/>
      <c r="W9" s="53" t="s">
        <v>66</v>
      </c>
      <c r="X9" s="54" t="s">
        <v>67</v>
      </c>
      <c r="Y9" s="83" t="s">
        <v>68</v>
      </c>
      <c r="Z9" s="173" t="s">
        <v>71</v>
      </c>
      <c r="AA9" s="174"/>
      <c r="AB9" s="53" t="s">
        <v>70</v>
      </c>
      <c r="AC9" s="53" t="s">
        <v>74</v>
      </c>
      <c r="AD9" s="53" t="s">
        <v>88</v>
      </c>
      <c r="AE9" s="53" t="s">
        <v>69</v>
      </c>
      <c r="AF9" s="53" t="s">
        <v>99</v>
      </c>
      <c r="AG9" s="53" t="s">
        <v>100</v>
      </c>
      <c r="AH9" s="67" t="s">
        <v>113</v>
      </c>
      <c r="AI9" s="173" t="s">
        <v>72</v>
      </c>
      <c r="AJ9" s="174"/>
      <c r="AK9" s="53" t="s">
        <v>73</v>
      </c>
      <c r="AL9" s="53" t="s">
        <v>75</v>
      </c>
      <c r="AM9" s="53" t="s">
        <v>94</v>
      </c>
      <c r="AN9" s="53" t="s">
        <v>86</v>
      </c>
      <c r="AO9" s="53" t="s">
        <v>87</v>
      </c>
      <c r="AP9" s="67" t="s">
        <v>86</v>
      </c>
    </row>
    <row r="10" spans="2:42" s="28" customFormat="1" outlineLevel="2" x14ac:dyDescent="0.2">
      <c r="B10" s="175" t="s">
        <v>55</v>
      </c>
      <c r="C10" s="177" t="s">
        <v>55</v>
      </c>
      <c r="D10" s="179" t="s">
        <v>79</v>
      </c>
      <c r="E10" s="212">
        <v>10</v>
      </c>
      <c r="F10" s="68" t="s">
        <v>2</v>
      </c>
      <c r="G10" s="55">
        <f>VLOOKUP(F10,Salescharge,2,)</f>
        <v>0</v>
      </c>
      <c r="H10" s="182">
        <f>IF(D10="No",VLOOKUP((M10+T10),bonusrate,3),(VLOOKUP((M10+T10),bonusrate2,3)))</f>
        <v>7.4999999999999997E-3</v>
      </c>
      <c r="I10" s="56">
        <v>20000</v>
      </c>
      <c r="J10" s="57">
        <v>1</v>
      </c>
      <c r="K10" s="58">
        <f>E10*I10*J10</f>
        <v>200000</v>
      </c>
      <c r="L10" s="184">
        <f>SUM(K10:K12)</f>
        <v>1000000</v>
      </c>
      <c r="M10" s="186">
        <f>L10*12</f>
        <v>12000000</v>
      </c>
      <c r="N10" s="68" t="s">
        <v>2</v>
      </c>
      <c r="O10" s="55">
        <f>VLOOKUP(N10,Salescharge,2,)</f>
        <v>0</v>
      </c>
      <c r="P10" s="60">
        <v>100</v>
      </c>
      <c r="Q10" s="61">
        <v>1</v>
      </c>
      <c r="R10" s="62">
        <f>E10*P10*Q10</f>
        <v>1000</v>
      </c>
      <c r="S10" s="169">
        <f>SUM(R10:R12)</f>
        <v>3000</v>
      </c>
      <c r="T10" s="188">
        <f>S10*12</f>
        <v>36000</v>
      </c>
      <c r="U10" s="84" t="s">
        <v>64</v>
      </c>
      <c r="V10" s="59">
        <v>0.7</v>
      </c>
      <c r="W10" s="190" t="str">
        <f>$B$6</f>
        <v>Training Associate</v>
      </c>
      <c r="X10" s="190">
        <f>VLOOKUP(W10,Agentlevels,2,)</f>
        <v>0.26</v>
      </c>
      <c r="Y10" s="209">
        <f>MAX(0,'Personal AUM'!$C$9-'Baseshop Monthly Activity'!X10)</f>
        <v>0.4</v>
      </c>
      <c r="Z10" s="77" t="s">
        <v>2</v>
      </c>
      <c r="AA10" s="63">
        <f>ROUNDUP((K10*G10*84%)+(R10*G10*84%),0)</f>
        <v>0</v>
      </c>
      <c r="AB10" s="163">
        <f>SUM(AA10:AA12)</f>
        <v>34182</v>
      </c>
      <c r="AC10" s="64">
        <f>ROUNDUP((K10*V10*0.504%*84%)+(R10*V10*0.504%*84%)+(K10*V11*1.008%*84%)+(R10*V11*1.008%*84%),0)</f>
        <v>1107</v>
      </c>
      <c r="AD10" s="163">
        <f>SUM(AC10:AC12)</f>
        <v>1107</v>
      </c>
      <c r="AE10" s="165">
        <f>AB10+AD10</f>
        <v>35289</v>
      </c>
      <c r="AF10" s="64">
        <f>ROUNDUP((K10*G10*85%)+(R10*G10*84%),0)</f>
        <v>0</v>
      </c>
      <c r="AG10" s="165">
        <f>SUM(AF10:AF12)</f>
        <v>34182</v>
      </c>
      <c r="AH10" s="167">
        <f>(AE10*12)+AG10</f>
        <v>457650</v>
      </c>
      <c r="AI10" s="77" t="s">
        <v>2</v>
      </c>
      <c r="AJ10" s="62">
        <f>(K10*G10*84%*Y10)+(R10*G10*84%*Y10)</f>
        <v>0</v>
      </c>
      <c r="AK10" s="169">
        <f>SUM(AJ10:AJ12)</f>
        <v>13672.176000000001</v>
      </c>
      <c r="AL10" s="62">
        <f>(K10*V10*0.504%*84%*Y10)+(K10*V11*1.008%*84%*Y10)+(R10*V10*0.504%*84%*Y10)+(R10*V11*1.008%*84%*Y10)</f>
        <v>442.49587200000002</v>
      </c>
      <c r="AM10" s="158">
        <f>SUM(AL10:AL12)</f>
        <v>442.49587200000002</v>
      </c>
      <c r="AN10" s="156">
        <f>(AK10+AM10)*12</f>
        <v>169376.06246400002</v>
      </c>
      <c r="AO10" s="158">
        <f>IF(D10="No",MIN(75000,(M10+T10)*H10*84%*Y10),MIN(100000,(M10+T10)*H10*84%*Y10))</f>
        <v>30330.720000000001</v>
      </c>
      <c r="AP10" s="161">
        <f>AN10+AO10</f>
        <v>199706.78246400002</v>
      </c>
    </row>
    <row r="11" spans="2:42" s="28" customFormat="1" outlineLevel="2" x14ac:dyDescent="0.2">
      <c r="B11" s="175"/>
      <c r="C11" s="177"/>
      <c r="D11" s="180"/>
      <c r="E11" s="212"/>
      <c r="F11" s="68" t="s">
        <v>52</v>
      </c>
      <c r="G11" s="55">
        <f>VLOOKUP(F11,Salescharge,2,)</f>
        <v>3.5000000000000003E-2</v>
      </c>
      <c r="H11" s="182"/>
      <c r="I11" s="56">
        <v>20000</v>
      </c>
      <c r="J11" s="57">
        <v>1</v>
      </c>
      <c r="K11" s="58">
        <f>E10*I11*J11</f>
        <v>200000</v>
      </c>
      <c r="L11" s="184"/>
      <c r="M11" s="186"/>
      <c r="N11" s="68" t="s">
        <v>52</v>
      </c>
      <c r="O11" s="55">
        <f>VLOOKUP(N11,Salescharge,2,)</f>
        <v>3.5000000000000003E-2</v>
      </c>
      <c r="P11" s="60">
        <v>100</v>
      </c>
      <c r="Q11" s="61">
        <v>1</v>
      </c>
      <c r="R11" s="62">
        <f>E10*P11*Q11</f>
        <v>1000</v>
      </c>
      <c r="S11" s="169"/>
      <c r="T11" s="188"/>
      <c r="U11" s="84" t="s">
        <v>25</v>
      </c>
      <c r="V11" s="65">
        <f>1-V10</f>
        <v>0.30000000000000004</v>
      </c>
      <c r="W11" s="190"/>
      <c r="X11" s="190"/>
      <c r="Y11" s="210"/>
      <c r="Z11" s="77" t="s">
        <v>52</v>
      </c>
      <c r="AA11" s="63">
        <f>ROUNDUP((K11*G11*84%)+(R11*O11*84%),0)</f>
        <v>5910</v>
      </c>
      <c r="AB11" s="163"/>
      <c r="AC11" s="64">
        <f>ROUNDUP((K11*V10*0.504%*84%)+(R11*V10*0.504%*84%)+(K11*V11*1.008%*84%)+(R11*V11*1.008%*84%),0)*0</f>
        <v>0</v>
      </c>
      <c r="AD11" s="163"/>
      <c r="AE11" s="165"/>
      <c r="AF11" s="64">
        <f>ROUNDUP((K11*G11*84%)+(R11*G11*84%),0)</f>
        <v>5910</v>
      </c>
      <c r="AG11" s="165"/>
      <c r="AH11" s="167"/>
      <c r="AI11" s="77" t="s">
        <v>52</v>
      </c>
      <c r="AJ11" s="62">
        <f>(K11*G11*84%*Y10)+(R11*G11*84%*Y10)</f>
        <v>2363.7600000000007</v>
      </c>
      <c r="AK11" s="169"/>
      <c r="AL11" s="62">
        <f>((K11*V10*0.504%*84%*Y10)+(K11*V11*1.008%*84%*Y10)+(R11*V10*0.504%*84%*Y10)+(R11*V11*1.008%*84%*Y10))*0</f>
        <v>0</v>
      </c>
      <c r="AM11" s="171"/>
      <c r="AN11" s="156"/>
      <c r="AO11" s="159"/>
      <c r="AP11" s="161"/>
    </row>
    <row r="12" spans="2:42" s="28" customFormat="1" ht="16" outlineLevel="2" thickBot="1" x14ac:dyDescent="0.25">
      <c r="B12" s="176"/>
      <c r="C12" s="178"/>
      <c r="D12" s="181"/>
      <c r="E12" s="213"/>
      <c r="F12" s="69" t="s">
        <v>53</v>
      </c>
      <c r="G12" s="70">
        <f>VLOOKUP(F12,Salescharge,2,)</f>
        <v>5.5999999999999994E-2</v>
      </c>
      <c r="H12" s="183"/>
      <c r="I12" s="71">
        <v>60000</v>
      </c>
      <c r="J12" s="72">
        <v>1</v>
      </c>
      <c r="K12" s="73">
        <f>E10*I12*J12</f>
        <v>600000</v>
      </c>
      <c r="L12" s="185"/>
      <c r="M12" s="187"/>
      <c r="N12" s="69" t="s">
        <v>53</v>
      </c>
      <c r="O12" s="70">
        <f>VLOOKUP(N12,Salescharge,2,)</f>
        <v>5.5999999999999994E-2</v>
      </c>
      <c r="P12" s="74">
        <v>100</v>
      </c>
      <c r="Q12" s="75">
        <v>1</v>
      </c>
      <c r="R12" s="76">
        <f>E10*P12*Q12</f>
        <v>1000</v>
      </c>
      <c r="S12" s="170"/>
      <c r="T12" s="189"/>
      <c r="U12" s="85" t="s">
        <v>65</v>
      </c>
      <c r="V12" s="86">
        <f>SUM(V10:V11)</f>
        <v>1</v>
      </c>
      <c r="W12" s="191"/>
      <c r="X12" s="191"/>
      <c r="Y12" s="211"/>
      <c r="Z12" s="78" t="s">
        <v>53</v>
      </c>
      <c r="AA12" s="79">
        <f>ROUNDUP((K12*G12*84%)+(R12*O12*84%),0)</f>
        <v>28272</v>
      </c>
      <c r="AB12" s="164"/>
      <c r="AC12" s="80">
        <f>ROUNDUP((K12*V10*0.504%*84%)+(R12*V10*0.504%*84%)+(K12*V11*1.008%*84%)+(R12*V11*1.008%*84%),0)*0</f>
        <v>0</v>
      </c>
      <c r="AD12" s="164"/>
      <c r="AE12" s="166"/>
      <c r="AF12" s="80">
        <f>ROUNDUP((K12*G12*84%)+(R12*G12*84%),0)</f>
        <v>28272</v>
      </c>
      <c r="AG12" s="166"/>
      <c r="AH12" s="168"/>
      <c r="AI12" s="78" t="s">
        <v>53</v>
      </c>
      <c r="AJ12" s="76">
        <f>(K12*G12*84%*Y10)+(R12*G12*84%*Y10)</f>
        <v>11308.416000000001</v>
      </c>
      <c r="AK12" s="170"/>
      <c r="AL12" s="76">
        <f>((K12*V10*0.504%*84%*Y10)+(K12*V11*1.008%*84%*Y10)+(R12*V10*0.504%*84%*Y10)+(R12*V11*1.008%*84%*Y10))*0</f>
        <v>0</v>
      </c>
      <c r="AM12" s="172"/>
      <c r="AN12" s="157"/>
      <c r="AO12" s="160"/>
      <c r="AP12" s="162"/>
    </row>
    <row r="13" spans="2:42" s="18" customFormat="1" ht="25" customHeight="1" outlineLevel="1" collapsed="1" thickBot="1" x14ac:dyDescent="0.25">
      <c r="B13" s="206" t="s">
        <v>116</v>
      </c>
      <c r="C13" s="207"/>
      <c r="D13" s="207"/>
      <c r="E13" s="207"/>
      <c r="F13" s="207"/>
      <c r="G13" s="207"/>
      <c r="H13" s="207"/>
      <c r="I13" s="207"/>
      <c r="J13" s="207"/>
      <c r="K13" s="207"/>
      <c r="L13" s="207"/>
      <c r="M13" s="207"/>
      <c r="N13" s="207"/>
      <c r="O13" s="207"/>
      <c r="P13" s="207"/>
      <c r="Q13" s="207"/>
      <c r="R13" s="207"/>
      <c r="S13" s="207"/>
      <c r="T13" s="207"/>
      <c r="U13" s="207"/>
      <c r="V13" s="207"/>
      <c r="W13" s="207"/>
      <c r="X13" s="207"/>
      <c r="Y13" s="207"/>
      <c r="Z13" s="207"/>
      <c r="AA13" s="207"/>
      <c r="AB13" s="207"/>
      <c r="AC13" s="207"/>
      <c r="AD13" s="207"/>
      <c r="AE13" s="207"/>
      <c r="AF13" s="207"/>
      <c r="AG13" s="207"/>
      <c r="AH13" s="207"/>
      <c r="AI13" s="207"/>
      <c r="AJ13" s="207"/>
      <c r="AK13" s="207"/>
      <c r="AL13" s="207"/>
      <c r="AM13" s="207"/>
      <c r="AN13" s="207"/>
      <c r="AO13" s="207"/>
      <c r="AP13" s="208"/>
    </row>
    <row r="14" spans="2:42" s="18" customFormat="1" ht="25" hidden="1" customHeight="1" outlineLevel="2" x14ac:dyDescent="0.2">
      <c r="B14" s="195" t="s">
        <v>92</v>
      </c>
      <c r="C14" s="196"/>
      <c r="D14" s="196"/>
      <c r="E14" s="200"/>
      <c r="F14" s="197" t="s">
        <v>1</v>
      </c>
      <c r="G14" s="198"/>
      <c r="H14" s="198"/>
      <c r="I14" s="198"/>
      <c r="J14" s="198"/>
      <c r="K14" s="198"/>
      <c r="L14" s="198"/>
      <c r="M14" s="199"/>
      <c r="N14" s="195" t="s">
        <v>90</v>
      </c>
      <c r="O14" s="196"/>
      <c r="P14" s="196"/>
      <c r="Q14" s="196"/>
      <c r="R14" s="196"/>
      <c r="S14" s="196"/>
      <c r="T14" s="200"/>
      <c r="U14" s="195"/>
      <c r="V14" s="196"/>
      <c r="W14" s="196"/>
      <c r="X14" s="196"/>
      <c r="Y14" s="200"/>
      <c r="Z14" s="197" t="s">
        <v>91</v>
      </c>
      <c r="AA14" s="198"/>
      <c r="AB14" s="198"/>
      <c r="AC14" s="198"/>
      <c r="AD14" s="198"/>
      <c r="AE14" s="198"/>
      <c r="AF14" s="198"/>
      <c r="AG14" s="198"/>
      <c r="AH14" s="199"/>
      <c r="AI14" s="192" t="s">
        <v>93</v>
      </c>
      <c r="AJ14" s="193"/>
      <c r="AK14" s="193"/>
      <c r="AL14" s="193"/>
      <c r="AM14" s="193"/>
      <c r="AN14" s="193"/>
      <c r="AO14" s="193"/>
      <c r="AP14" s="194"/>
    </row>
    <row r="15" spans="2:42" s="28" customFormat="1" ht="81" hidden="1" outlineLevel="2" thickBot="1" x14ac:dyDescent="0.25">
      <c r="B15" s="110" t="s">
        <v>48</v>
      </c>
      <c r="C15" s="111" t="s">
        <v>50</v>
      </c>
      <c r="D15" s="112" t="s">
        <v>77</v>
      </c>
      <c r="E15" s="113" t="s">
        <v>19</v>
      </c>
      <c r="F15" s="114" t="s">
        <v>51</v>
      </c>
      <c r="G15" s="112" t="s">
        <v>21</v>
      </c>
      <c r="H15" s="115" t="s">
        <v>85</v>
      </c>
      <c r="I15" s="112" t="s">
        <v>114</v>
      </c>
      <c r="J15" s="115" t="s">
        <v>54</v>
      </c>
      <c r="K15" s="112" t="s">
        <v>60</v>
      </c>
      <c r="L15" s="115" t="s">
        <v>56</v>
      </c>
      <c r="M15" s="116" t="s">
        <v>57</v>
      </c>
      <c r="N15" s="114" t="s">
        <v>51</v>
      </c>
      <c r="O15" s="112" t="s">
        <v>21</v>
      </c>
      <c r="P15" s="115" t="s">
        <v>58</v>
      </c>
      <c r="Q15" s="115" t="s">
        <v>59</v>
      </c>
      <c r="R15" s="115" t="s">
        <v>61</v>
      </c>
      <c r="S15" s="115" t="s">
        <v>62</v>
      </c>
      <c r="T15" s="116" t="s">
        <v>63</v>
      </c>
      <c r="U15" s="214" t="s">
        <v>89</v>
      </c>
      <c r="V15" s="215"/>
      <c r="W15" s="115" t="s">
        <v>66</v>
      </c>
      <c r="X15" s="117" t="s">
        <v>67</v>
      </c>
      <c r="Y15" s="118" t="s">
        <v>68</v>
      </c>
      <c r="Z15" s="214" t="s">
        <v>71</v>
      </c>
      <c r="AA15" s="215"/>
      <c r="AB15" s="115" t="s">
        <v>70</v>
      </c>
      <c r="AC15" s="115" t="s">
        <v>74</v>
      </c>
      <c r="AD15" s="115" t="s">
        <v>88</v>
      </c>
      <c r="AE15" s="115" t="s">
        <v>69</v>
      </c>
      <c r="AF15" s="115" t="s">
        <v>99</v>
      </c>
      <c r="AG15" s="115" t="s">
        <v>100</v>
      </c>
      <c r="AH15" s="116" t="s">
        <v>113</v>
      </c>
      <c r="AI15" s="214" t="s">
        <v>72</v>
      </c>
      <c r="AJ15" s="215"/>
      <c r="AK15" s="115" t="s">
        <v>73</v>
      </c>
      <c r="AL15" s="115" t="s">
        <v>75</v>
      </c>
      <c r="AM15" s="115" t="s">
        <v>94</v>
      </c>
      <c r="AN15" s="115" t="s">
        <v>86</v>
      </c>
      <c r="AO15" s="115" t="s">
        <v>87</v>
      </c>
      <c r="AP15" s="116" t="s">
        <v>86</v>
      </c>
    </row>
    <row r="16" spans="2:42" s="28" customFormat="1" hidden="1" outlineLevel="2" x14ac:dyDescent="0.2">
      <c r="B16" s="216" t="s">
        <v>55</v>
      </c>
      <c r="C16" s="217" t="s">
        <v>55</v>
      </c>
      <c r="D16" s="218" t="s">
        <v>79</v>
      </c>
      <c r="E16" s="219" t="s">
        <v>55</v>
      </c>
      <c r="F16" s="132" t="s">
        <v>2</v>
      </c>
      <c r="G16" s="133">
        <f t="shared" ref="G16:G45" si="0">VLOOKUP(F16,Salescharge,2,)</f>
        <v>0</v>
      </c>
      <c r="H16" s="222">
        <f>IF(D16="No",VLOOKUP((M16+T16),bonusrate,3),(VLOOKUP((M16+T16),bonusrate2,3)))</f>
        <v>7.4999999999999997E-3</v>
      </c>
      <c r="I16" s="134">
        <v>20000</v>
      </c>
      <c r="J16" s="135">
        <v>1</v>
      </c>
      <c r="K16" s="136">
        <f>I16*J16</f>
        <v>20000</v>
      </c>
      <c r="L16" s="223">
        <f>SUM(K16:K18)</f>
        <v>100000</v>
      </c>
      <c r="M16" s="224">
        <f>L16*12</f>
        <v>1200000</v>
      </c>
      <c r="N16" s="132" t="s">
        <v>2</v>
      </c>
      <c r="O16" s="133">
        <f t="shared" ref="O16:O45" si="1">VLOOKUP(N16,Salescharge,2,)</f>
        <v>0</v>
      </c>
      <c r="P16" s="137">
        <v>100</v>
      </c>
      <c r="Q16" s="138">
        <v>1</v>
      </c>
      <c r="R16" s="139">
        <f>P16*Q16</f>
        <v>100</v>
      </c>
      <c r="S16" s="225">
        <f>SUM(R16:R18)</f>
        <v>300</v>
      </c>
      <c r="T16" s="226">
        <f>S16*12</f>
        <v>3600</v>
      </c>
      <c r="U16" s="140" t="s">
        <v>64</v>
      </c>
      <c r="V16" s="141">
        <v>0.7</v>
      </c>
      <c r="W16" s="227" t="str">
        <f>$B$6</f>
        <v>Training Associate</v>
      </c>
      <c r="X16" s="227">
        <f>VLOOKUP(W16,Agentlevels,2,)</f>
        <v>0.26</v>
      </c>
      <c r="Y16" s="228">
        <f>MAX(0,'Personal AUM'!$C$9-'Baseshop Monthly Activity'!X16)</f>
        <v>0.4</v>
      </c>
      <c r="Z16" s="142" t="s">
        <v>2</v>
      </c>
      <c r="AA16" s="143">
        <f>ROUNDUP((K16*G16*84%)+(R16*G16*84%),0)</f>
        <v>0</v>
      </c>
      <c r="AB16" s="229">
        <f>SUM(AA16:AA18)</f>
        <v>3419</v>
      </c>
      <c r="AC16" s="144">
        <f>ROUNDUP((K16*V16*0.504%*84%)+(R16*V16*0.504%*84%)+(K16*V17*1.008%*84%)+(R16*V17*1.008%*84%),0)</f>
        <v>111</v>
      </c>
      <c r="AD16" s="229">
        <f>SUM(AC16:AC18)</f>
        <v>111</v>
      </c>
      <c r="AE16" s="243">
        <f>AB16+AD16</f>
        <v>3530</v>
      </c>
      <c r="AF16" s="144">
        <f>ROUNDUP((K16*G16*85%)+(R16*G16*84%),0)</f>
        <v>0</v>
      </c>
      <c r="AG16" s="243">
        <f>SUM(AF16:AF18)</f>
        <v>3419</v>
      </c>
      <c r="AH16" s="244">
        <f>(AE16*12)+AG16</f>
        <v>45779</v>
      </c>
      <c r="AI16" s="142" t="s">
        <v>2</v>
      </c>
      <c r="AJ16" s="139">
        <f>(K16*G16*84%*Y16)+(R16*G16*84%*Y16)</f>
        <v>0</v>
      </c>
      <c r="AK16" s="225">
        <f>SUM(AJ16:AJ18)</f>
        <v>1367.2175999999997</v>
      </c>
      <c r="AL16" s="139">
        <f>(K16*V16*0.504%*84%*Y16)+(K16*V17*1.008%*84%*Y16)+(R16*V16*0.504%*84%*Y16)+(R16*V17*1.008%*84%*Y16)</f>
        <v>44.249587200000008</v>
      </c>
      <c r="AM16" s="230">
        <f>SUM(AL16:AL18)</f>
        <v>44.249587200000008</v>
      </c>
      <c r="AN16" s="231">
        <f>(AK16+AM16)*12</f>
        <v>16937.606246399995</v>
      </c>
      <c r="AO16" s="230">
        <f>IF(D16="No",MIN(75000,(M16+T16)*H16*84%*Y16),MIN(100000,(M16+T16)*H16*84%*Y16))</f>
        <v>3033.0720000000001</v>
      </c>
      <c r="AP16" s="232">
        <f>AN16+AO16</f>
        <v>19970.678246399995</v>
      </c>
    </row>
    <row r="17" spans="2:42" s="28" customFormat="1" hidden="1" outlineLevel="2" x14ac:dyDescent="0.2">
      <c r="B17" s="175"/>
      <c r="C17" s="177"/>
      <c r="D17" s="180"/>
      <c r="E17" s="220"/>
      <c r="F17" s="68" t="s">
        <v>52</v>
      </c>
      <c r="G17" s="55">
        <f t="shared" si="0"/>
        <v>3.5000000000000003E-2</v>
      </c>
      <c r="H17" s="182"/>
      <c r="I17" s="56">
        <v>20000</v>
      </c>
      <c r="J17" s="57">
        <v>1</v>
      </c>
      <c r="K17" s="58">
        <f t="shared" ref="K17:K18" si="2">I17*J17</f>
        <v>20000</v>
      </c>
      <c r="L17" s="184"/>
      <c r="M17" s="186"/>
      <c r="N17" s="68" t="s">
        <v>52</v>
      </c>
      <c r="O17" s="55">
        <f t="shared" si="1"/>
        <v>3.5000000000000003E-2</v>
      </c>
      <c r="P17" s="60">
        <v>100</v>
      </c>
      <c r="Q17" s="61">
        <v>1</v>
      </c>
      <c r="R17" s="62">
        <f t="shared" ref="R17:R18" si="3">P17*Q17</f>
        <v>100</v>
      </c>
      <c r="S17" s="169"/>
      <c r="T17" s="188"/>
      <c r="U17" s="84" t="s">
        <v>25</v>
      </c>
      <c r="V17" s="65">
        <f>1-V16</f>
        <v>0.30000000000000004</v>
      </c>
      <c r="W17" s="190"/>
      <c r="X17" s="190"/>
      <c r="Y17" s="210"/>
      <c r="Z17" s="77" t="s">
        <v>52</v>
      </c>
      <c r="AA17" s="63">
        <f>ROUNDUP((K17*G17*84%)+(R17*O17*84%),0)</f>
        <v>591</v>
      </c>
      <c r="AB17" s="163"/>
      <c r="AC17" s="64">
        <f>ROUNDUP((K17*V16*0.504%*84%)+(R17*V16*0.504%*84%)+(K17*V17*1.008%*84%)+(R17*V17*1.008%*84%),0)*0</f>
        <v>0</v>
      </c>
      <c r="AD17" s="163"/>
      <c r="AE17" s="165"/>
      <c r="AF17" s="64">
        <f>ROUNDUP((K17*G17*84%)+(R17*G17*84%),0)</f>
        <v>591</v>
      </c>
      <c r="AG17" s="165"/>
      <c r="AH17" s="167"/>
      <c r="AI17" s="77" t="s">
        <v>52</v>
      </c>
      <c r="AJ17" s="62">
        <f>(K17*G17*84%*Y16)+(R17*G17*84%*Y16)</f>
        <v>236.37600000000003</v>
      </c>
      <c r="AK17" s="169"/>
      <c r="AL17" s="62">
        <f>((K17*V16*0.504%*84%*Y16)+(K17*V17*1.008%*84%*Y16)+(R17*V16*0.504%*84%*Y16)+(R17*V17*1.008%*84%*Y16))*0</f>
        <v>0</v>
      </c>
      <c r="AM17" s="171"/>
      <c r="AN17" s="156"/>
      <c r="AO17" s="159"/>
      <c r="AP17" s="161"/>
    </row>
    <row r="18" spans="2:42" s="28" customFormat="1" ht="16" hidden="1" outlineLevel="2" thickBot="1" x14ac:dyDescent="0.25">
      <c r="B18" s="176"/>
      <c r="C18" s="178"/>
      <c r="D18" s="181"/>
      <c r="E18" s="221"/>
      <c r="F18" s="69" t="s">
        <v>53</v>
      </c>
      <c r="G18" s="70">
        <f t="shared" si="0"/>
        <v>5.5999999999999994E-2</v>
      </c>
      <c r="H18" s="183"/>
      <c r="I18" s="71">
        <v>60000</v>
      </c>
      <c r="J18" s="72">
        <v>1</v>
      </c>
      <c r="K18" s="73">
        <f t="shared" si="2"/>
        <v>60000</v>
      </c>
      <c r="L18" s="185"/>
      <c r="M18" s="187"/>
      <c r="N18" s="69" t="s">
        <v>53</v>
      </c>
      <c r="O18" s="70">
        <f t="shared" si="1"/>
        <v>5.5999999999999994E-2</v>
      </c>
      <c r="P18" s="74">
        <v>100</v>
      </c>
      <c r="Q18" s="75">
        <v>1</v>
      </c>
      <c r="R18" s="76">
        <f t="shared" si="3"/>
        <v>100</v>
      </c>
      <c r="S18" s="170"/>
      <c r="T18" s="189"/>
      <c r="U18" s="85" t="s">
        <v>65</v>
      </c>
      <c r="V18" s="86">
        <f>SUM(V16:V17)</f>
        <v>1</v>
      </c>
      <c r="W18" s="191"/>
      <c r="X18" s="191"/>
      <c r="Y18" s="211"/>
      <c r="Z18" s="78" t="s">
        <v>53</v>
      </c>
      <c r="AA18" s="79">
        <f>ROUNDUP((K18*G18*84%)+(R18*O18*84%),0)</f>
        <v>2828</v>
      </c>
      <c r="AB18" s="164"/>
      <c r="AC18" s="80">
        <f>ROUNDUP((K18*V16*0.504%*84%)+(R18*V16*0.504%*84%)+(K18*V17*1.008%*84%)+(R18*V17*1.008%*84%),0)*0</f>
        <v>0</v>
      </c>
      <c r="AD18" s="164"/>
      <c r="AE18" s="166"/>
      <c r="AF18" s="80">
        <f>ROUNDUP((K18*G18*84%)+(R18*G18*84%),0)</f>
        <v>2828</v>
      </c>
      <c r="AG18" s="166"/>
      <c r="AH18" s="168"/>
      <c r="AI18" s="78" t="s">
        <v>53</v>
      </c>
      <c r="AJ18" s="76">
        <f>(K18*G18*84%*Y16)+(R18*G18*84%*Y16)</f>
        <v>1130.8415999999997</v>
      </c>
      <c r="AK18" s="170"/>
      <c r="AL18" s="76">
        <f>((K18*V16*0.504%*84%*Y16)+(K18*V17*1.008%*84%*Y16)+(R18*V16*0.504%*84%*Y16)+(R18*V17*1.008%*84%*Y16))*0</f>
        <v>0</v>
      </c>
      <c r="AM18" s="172"/>
      <c r="AN18" s="157"/>
      <c r="AO18" s="160"/>
      <c r="AP18" s="162"/>
    </row>
    <row r="19" spans="2:42" s="28" customFormat="1" hidden="1" outlineLevel="2" x14ac:dyDescent="0.2">
      <c r="B19" s="233" t="s">
        <v>55</v>
      </c>
      <c r="C19" s="234" t="s">
        <v>55</v>
      </c>
      <c r="D19" s="180" t="s">
        <v>79</v>
      </c>
      <c r="E19" s="235" t="s">
        <v>55</v>
      </c>
      <c r="F19" s="119" t="s">
        <v>2</v>
      </c>
      <c r="G19" s="120">
        <f t="shared" si="0"/>
        <v>0</v>
      </c>
      <c r="H19" s="236">
        <f>IF(D19="No",VLOOKUP((M19+T19),bonusrate,3),(VLOOKUP((M19+T19),bonusrate2,3)))</f>
        <v>7.4999999999999997E-3</v>
      </c>
      <c r="I19" s="121">
        <v>20000</v>
      </c>
      <c r="J19" s="122">
        <v>1</v>
      </c>
      <c r="K19" s="123">
        <f>I19*J19</f>
        <v>20000</v>
      </c>
      <c r="L19" s="237">
        <f>SUM(K19:K21)</f>
        <v>100000</v>
      </c>
      <c r="M19" s="238">
        <f>L19*12</f>
        <v>1200000</v>
      </c>
      <c r="N19" s="119" t="s">
        <v>2</v>
      </c>
      <c r="O19" s="120">
        <f t="shared" si="1"/>
        <v>0</v>
      </c>
      <c r="P19" s="124">
        <v>100</v>
      </c>
      <c r="Q19" s="125">
        <v>1</v>
      </c>
      <c r="R19" s="126">
        <f>P19*Q19</f>
        <v>100</v>
      </c>
      <c r="S19" s="239">
        <f>SUM(R19:R21)</f>
        <v>300</v>
      </c>
      <c r="T19" s="240">
        <f>S19*12</f>
        <v>3600</v>
      </c>
      <c r="U19" s="127" t="s">
        <v>64</v>
      </c>
      <c r="V19" s="128">
        <v>0.7</v>
      </c>
      <c r="W19" s="241" t="str">
        <f>$B$6</f>
        <v>Training Associate</v>
      </c>
      <c r="X19" s="241">
        <f>VLOOKUP(W19,Agentlevels,2,)</f>
        <v>0.26</v>
      </c>
      <c r="Y19" s="242">
        <f>MAX(0,'Personal AUM'!$C$9-'Baseshop Monthly Activity'!X19)</f>
        <v>0.4</v>
      </c>
      <c r="Z19" s="129" t="s">
        <v>2</v>
      </c>
      <c r="AA19" s="130">
        <f>ROUNDUP((K19*G19*84%)+(R19*G19*84%),0)</f>
        <v>0</v>
      </c>
      <c r="AB19" s="247">
        <f>SUM(AA19:AA21)</f>
        <v>3419</v>
      </c>
      <c r="AC19" s="131">
        <f>ROUNDUP((K19*V19*0.504%*84%)+(R19*V19*0.504%*84%)+(K19*V20*1.008%*84%)+(R19*V20*1.008%*84%),0)</f>
        <v>111</v>
      </c>
      <c r="AD19" s="247">
        <f>SUM(AC19:AC21)</f>
        <v>111</v>
      </c>
      <c r="AE19" s="248">
        <f>AB19+AD19</f>
        <v>3530</v>
      </c>
      <c r="AF19" s="131">
        <f>ROUNDUP((K19*G19*85%)+(R19*G19*84%),0)</f>
        <v>0</v>
      </c>
      <c r="AG19" s="248">
        <f>SUM(AF19:AF21)</f>
        <v>3419</v>
      </c>
      <c r="AH19" s="249">
        <f>(AE19*12)+AG19</f>
        <v>45779</v>
      </c>
      <c r="AI19" s="129" t="s">
        <v>2</v>
      </c>
      <c r="AJ19" s="126">
        <f>(K19*G19*84%*Y19)+(R19*G19*84%*Y19)</f>
        <v>0</v>
      </c>
      <c r="AK19" s="239">
        <f>SUM(AJ19:AJ21)</f>
        <v>1367.2175999999997</v>
      </c>
      <c r="AL19" s="126">
        <f>(K19*V19*0.504%*84%*Y19)+(K19*V20*1.008%*84%*Y19)+(R19*V19*0.504%*84%*Y19)+(R19*V20*1.008%*84%*Y19)</f>
        <v>44.249587200000008</v>
      </c>
      <c r="AM19" s="159">
        <f>SUM(AL19:AL21)</f>
        <v>44.249587200000008</v>
      </c>
      <c r="AN19" s="245">
        <f>(AK19+AM19)*12</f>
        <v>16937.606246399995</v>
      </c>
      <c r="AO19" s="159">
        <f>IF(D19="No",MIN(75000,(M19+T19)*H19*84%*Y19),MIN(100000,(M19+T19)*H19*84%*Y19))</f>
        <v>3033.0720000000001</v>
      </c>
      <c r="AP19" s="246">
        <f>AN19+AO19</f>
        <v>19970.678246399995</v>
      </c>
    </row>
    <row r="20" spans="2:42" s="28" customFormat="1" hidden="1" outlineLevel="2" x14ac:dyDescent="0.2">
      <c r="B20" s="175"/>
      <c r="C20" s="177"/>
      <c r="D20" s="180"/>
      <c r="E20" s="220"/>
      <c r="F20" s="68" t="s">
        <v>52</v>
      </c>
      <c r="G20" s="55">
        <f t="shared" si="0"/>
        <v>3.5000000000000003E-2</v>
      </c>
      <c r="H20" s="182"/>
      <c r="I20" s="56">
        <v>20000</v>
      </c>
      <c r="J20" s="57">
        <v>1</v>
      </c>
      <c r="K20" s="58">
        <f t="shared" ref="K20:K21" si="4">I20*J20</f>
        <v>20000</v>
      </c>
      <c r="L20" s="184"/>
      <c r="M20" s="186"/>
      <c r="N20" s="68" t="s">
        <v>52</v>
      </c>
      <c r="O20" s="55">
        <f t="shared" si="1"/>
        <v>3.5000000000000003E-2</v>
      </c>
      <c r="P20" s="60">
        <v>100</v>
      </c>
      <c r="Q20" s="61">
        <v>1</v>
      </c>
      <c r="R20" s="62">
        <f t="shared" ref="R20:R21" si="5">P20*Q20</f>
        <v>100</v>
      </c>
      <c r="S20" s="169"/>
      <c r="T20" s="188"/>
      <c r="U20" s="84" t="s">
        <v>25</v>
      </c>
      <c r="V20" s="65">
        <f>1-V19</f>
        <v>0.30000000000000004</v>
      </c>
      <c r="W20" s="190"/>
      <c r="X20" s="190"/>
      <c r="Y20" s="210"/>
      <c r="Z20" s="77" t="s">
        <v>52</v>
      </c>
      <c r="AA20" s="63">
        <f>ROUNDUP((K20*G20*84%)+(R20*O20*84%),0)</f>
        <v>591</v>
      </c>
      <c r="AB20" s="163"/>
      <c r="AC20" s="64">
        <f>ROUNDUP((K20*V19*0.504%*84%)+(R20*V19*0.504%*84%)+(K20*V20*1.008%*84%)+(R20*V20*1.008%*84%),0)*0</f>
        <v>0</v>
      </c>
      <c r="AD20" s="163"/>
      <c r="AE20" s="165"/>
      <c r="AF20" s="64">
        <f>ROUNDUP((K20*G20*84%)+(R20*G20*84%),0)</f>
        <v>591</v>
      </c>
      <c r="AG20" s="165"/>
      <c r="AH20" s="167"/>
      <c r="AI20" s="77" t="s">
        <v>52</v>
      </c>
      <c r="AJ20" s="62">
        <f>(K20*G20*84%*Y19)+(R20*G20*84%*Y19)</f>
        <v>236.37600000000003</v>
      </c>
      <c r="AK20" s="169"/>
      <c r="AL20" s="62">
        <f>((K20*V19*0.504%*84%*Y19)+(K20*V20*1.008%*84%*Y19)+(R20*V19*0.504%*84%*Y19)+(R20*V20*1.008%*84%*Y19))*0</f>
        <v>0</v>
      </c>
      <c r="AM20" s="171"/>
      <c r="AN20" s="156"/>
      <c r="AO20" s="159"/>
      <c r="AP20" s="161"/>
    </row>
    <row r="21" spans="2:42" s="28" customFormat="1" ht="16" hidden="1" outlineLevel="2" thickBot="1" x14ac:dyDescent="0.25">
      <c r="B21" s="176"/>
      <c r="C21" s="178"/>
      <c r="D21" s="181"/>
      <c r="E21" s="221"/>
      <c r="F21" s="69" t="s">
        <v>53</v>
      </c>
      <c r="G21" s="70">
        <f t="shared" si="0"/>
        <v>5.5999999999999994E-2</v>
      </c>
      <c r="H21" s="183"/>
      <c r="I21" s="71">
        <v>60000</v>
      </c>
      <c r="J21" s="72">
        <v>1</v>
      </c>
      <c r="K21" s="58">
        <f t="shared" si="4"/>
        <v>60000</v>
      </c>
      <c r="L21" s="185"/>
      <c r="M21" s="187"/>
      <c r="N21" s="69" t="s">
        <v>53</v>
      </c>
      <c r="O21" s="70">
        <f t="shared" si="1"/>
        <v>5.5999999999999994E-2</v>
      </c>
      <c r="P21" s="74">
        <v>100</v>
      </c>
      <c r="Q21" s="75">
        <v>1</v>
      </c>
      <c r="R21" s="62">
        <f t="shared" si="5"/>
        <v>100</v>
      </c>
      <c r="S21" s="170"/>
      <c r="T21" s="189"/>
      <c r="U21" s="85" t="s">
        <v>65</v>
      </c>
      <c r="V21" s="86">
        <f>SUM(V19:V20)</f>
        <v>1</v>
      </c>
      <c r="W21" s="191"/>
      <c r="X21" s="191"/>
      <c r="Y21" s="211"/>
      <c r="Z21" s="78" t="s">
        <v>53</v>
      </c>
      <c r="AA21" s="79">
        <f>ROUNDUP((K21*G21*84%)+(R21*O21*84%),0)</f>
        <v>2828</v>
      </c>
      <c r="AB21" s="164"/>
      <c r="AC21" s="80">
        <f>ROUNDUP((K21*V19*0.504%*84%)+(R21*V19*0.504%*84%)+(K21*V20*1.008%*84%)+(R21*V20*1.008%*84%),0)*0</f>
        <v>0</v>
      </c>
      <c r="AD21" s="164"/>
      <c r="AE21" s="166"/>
      <c r="AF21" s="80">
        <f>ROUNDUP((K21*G21*84%)+(R21*G21*84%),0)</f>
        <v>2828</v>
      </c>
      <c r="AG21" s="166"/>
      <c r="AH21" s="168"/>
      <c r="AI21" s="78" t="s">
        <v>53</v>
      </c>
      <c r="AJ21" s="76">
        <f>(K21*G21*84%*Y19)+(R21*G21*84%*Y19)</f>
        <v>1130.8415999999997</v>
      </c>
      <c r="AK21" s="170"/>
      <c r="AL21" s="76">
        <f>((K21*V19*0.504%*84%*Y19)+(K21*V20*1.008%*84%*Y19)+(R21*V19*0.504%*84%*Y19)+(R21*V20*1.008%*84%*Y19))*0</f>
        <v>0</v>
      </c>
      <c r="AM21" s="172"/>
      <c r="AN21" s="157"/>
      <c r="AO21" s="160"/>
      <c r="AP21" s="162"/>
    </row>
    <row r="22" spans="2:42" s="28" customFormat="1" hidden="1" outlineLevel="2" x14ac:dyDescent="0.2">
      <c r="B22" s="175" t="s">
        <v>55</v>
      </c>
      <c r="C22" s="177" t="s">
        <v>55</v>
      </c>
      <c r="D22" s="179" t="s">
        <v>79</v>
      </c>
      <c r="E22" s="220" t="s">
        <v>55</v>
      </c>
      <c r="F22" s="68" t="s">
        <v>2</v>
      </c>
      <c r="G22" s="55">
        <f t="shared" si="0"/>
        <v>0</v>
      </c>
      <c r="H22" s="182">
        <f>IF(D22="No",VLOOKUP((M22+T22),bonusrate,3),(VLOOKUP((M22+T22),bonusrate2,3)))</f>
        <v>7.4999999999999997E-3</v>
      </c>
      <c r="I22" s="56">
        <v>20000</v>
      </c>
      <c r="J22" s="57">
        <v>1</v>
      </c>
      <c r="K22" s="58">
        <f>I22*J22</f>
        <v>20000</v>
      </c>
      <c r="L22" s="184">
        <f>SUM(K22:K24)</f>
        <v>100000</v>
      </c>
      <c r="M22" s="186">
        <f>L22*12</f>
        <v>1200000</v>
      </c>
      <c r="N22" s="68" t="s">
        <v>2</v>
      </c>
      <c r="O22" s="55">
        <f t="shared" si="1"/>
        <v>0</v>
      </c>
      <c r="P22" s="60">
        <v>100</v>
      </c>
      <c r="Q22" s="61">
        <v>1</v>
      </c>
      <c r="R22" s="62">
        <f>P22*Q22</f>
        <v>100</v>
      </c>
      <c r="S22" s="169">
        <f>SUM(R22:R24)</f>
        <v>300</v>
      </c>
      <c r="T22" s="188">
        <f>S22*12</f>
        <v>3600</v>
      </c>
      <c r="U22" s="84" t="s">
        <v>64</v>
      </c>
      <c r="V22" s="59">
        <v>0.7</v>
      </c>
      <c r="W22" s="190" t="str">
        <f>$B$6</f>
        <v>Training Associate</v>
      </c>
      <c r="X22" s="190">
        <f>VLOOKUP(W22,Agentlevels,2,)</f>
        <v>0.26</v>
      </c>
      <c r="Y22" s="209">
        <f>MAX(0,'Personal AUM'!$C$9-'Baseshop Monthly Activity'!X22)</f>
        <v>0.4</v>
      </c>
      <c r="Z22" s="77" t="s">
        <v>2</v>
      </c>
      <c r="AA22" s="63">
        <f>ROUNDUP((K22*G22*84%)+(R22*G22*84%),0)</f>
        <v>0</v>
      </c>
      <c r="AB22" s="163">
        <f>SUM(AA22:AA24)</f>
        <v>3419</v>
      </c>
      <c r="AC22" s="64">
        <f>ROUNDUP((K22*V22*0.504%*84%)+(R22*V22*0.504%*84%)+(K22*V23*1.008%*84%)+(R22*V23*1.008%*84%),0)</f>
        <v>111</v>
      </c>
      <c r="AD22" s="163">
        <f>SUM(AC22:AC24)</f>
        <v>111</v>
      </c>
      <c r="AE22" s="165">
        <f>AB22+AD22</f>
        <v>3530</v>
      </c>
      <c r="AF22" s="64">
        <f>ROUNDUP((K22*G22*85%)+(R22*G22*84%),0)</f>
        <v>0</v>
      </c>
      <c r="AG22" s="165">
        <f>SUM(AF22:AF24)</f>
        <v>3419</v>
      </c>
      <c r="AH22" s="167">
        <f>(AE22*12)+AG22</f>
        <v>45779</v>
      </c>
      <c r="AI22" s="77" t="s">
        <v>2</v>
      </c>
      <c r="AJ22" s="62">
        <f>(K22*G22*84%*Y22)+(R22*G22*84%*Y22)</f>
        <v>0</v>
      </c>
      <c r="AK22" s="169">
        <f>SUM(AJ22:AJ24)</f>
        <v>1367.2175999999997</v>
      </c>
      <c r="AL22" s="62">
        <f>(K22*V22*0.504%*84%*Y22)+(K22*V23*1.008%*84%*Y22)+(R22*V22*0.504%*84%*Y22)+(R22*V23*1.008%*84%*Y22)</f>
        <v>44.249587200000008</v>
      </c>
      <c r="AM22" s="158">
        <f>SUM(AL22:AL24)</f>
        <v>44.249587200000008</v>
      </c>
      <c r="AN22" s="156">
        <f>(AK22+AM22)*12</f>
        <v>16937.606246399995</v>
      </c>
      <c r="AO22" s="158">
        <f>IF(D22="No",MIN(75000,(M22+T22)*H22*84%*Y22),MIN(100000,(M22+T22)*H22*84%*Y22))</f>
        <v>3033.0720000000001</v>
      </c>
      <c r="AP22" s="161">
        <f>AN22+AO22</f>
        <v>19970.678246399995</v>
      </c>
    </row>
    <row r="23" spans="2:42" s="28" customFormat="1" hidden="1" outlineLevel="2" x14ac:dyDescent="0.2">
      <c r="B23" s="175"/>
      <c r="C23" s="177"/>
      <c r="D23" s="180"/>
      <c r="E23" s="220"/>
      <c r="F23" s="68" t="s">
        <v>52</v>
      </c>
      <c r="G23" s="55">
        <f t="shared" si="0"/>
        <v>3.5000000000000003E-2</v>
      </c>
      <c r="H23" s="182"/>
      <c r="I23" s="56">
        <v>20000</v>
      </c>
      <c r="J23" s="57">
        <v>1</v>
      </c>
      <c r="K23" s="58">
        <f t="shared" ref="K23:K24" si="6">I23*J23</f>
        <v>20000</v>
      </c>
      <c r="L23" s="184"/>
      <c r="M23" s="186"/>
      <c r="N23" s="68" t="s">
        <v>52</v>
      </c>
      <c r="O23" s="55">
        <f t="shared" si="1"/>
        <v>3.5000000000000003E-2</v>
      </c>
      <c r="P23" s="60">
        <v>100</v>
      </c>
      <c r="Q23" s="61">
        <v>1</v>
      </c>
      <c r="R23" s="62">
        <f t="shared" ref="R23:R24" si="7">P23*Q23</f>
        <v>100</v>
      </c>
      <c r="S23" s="169"/>
      <c r="T23" s="188"/>
      <c r="U23" s="84" t="s">
        <v>25</v>
      </c>
      <c r="V23" s="65">
        <f>1-V22</f>
        <v>0.30000000000000004</v>
      </c>
      <c r="W23" s="190"/>
      <c r="X23" s="190"/>
      <c r="Y23" s="210"/>
      <c r="Z23" s="77" t="s">
        <v>52</v>
      </c>
      <c r="AA23" s="63">
        <f>ROUNDUP((K23*G23*84%)+(R23*O23*84%),0)</f>
        <v>591</v>
      </c>
      <c r="AB23" s="163"/>
      <c r="AC23" s="64">
        <f>ROUNDUP((K23*V22*0.504%*84%)+(R23*V22*0.504%*84%)+(K23*V23*1.008%*84%)+(R23*V23*1.008%*84%),0)*0</f>
        <v>0</v>
      </c>
      <c r="AD23" s="163"/>
      <c r="AE23" s="165"/>
      <c r="AF23" s="64">
        <f>ROUNDUP((K23*G23*84%)+(R23*G23*84%),0)</f>
        <v>591</v>
      </c>
      <c r="AG23" s="165"/>
      <c r="AH23" s="167"/>
      <c r="AI23" s="77" t="s">
        <v>52</v>
      </c>
      <c r="AJ23" s="62">
        <f>(K23*G23*84%*Y22)+(R23*G23*84%*Y22)</f>
        <v>236.37600000000003</v>
      </c>
      <c r="AK23" s="169"/>
      <c r="AL23" s="62">
        <f>((K23*V22*0.504%*84%*Y22)+(K23*V23*1.008%*84%*Y22)+(R23*V22*0.504%*84%*Y22)+(R23*V23*1.008%*84%*Y22))*0</f>
        <v>0</v>
      </c>
      <c r="AM23" s="171"/>
      <c r="AN23" s="156"/>
      <c r="AO23" s="159"/>
      <c r="AP23" s="161"/>
    </row>
    <row r="24" spans="2:42" s="28" customFormat="1" ht="16" hidden="1" outlineLevel="2" thickBot="1" x14ac:dyDescent="0.25">
      <c r="B24" s="176"/>
      <c r="C24" s="178"/>
      <c r="D24" s="181"/>
      <c r="E24" s="221"/>
      <c r="F24" s="69" t="s">
        <v>53</v>
      </c>
      <c r="G24" s="70">
        <f t="shared" si="0"/>
        <v>5.5999999999999994E-2</v>
      </c>
      <c r="H24" s="183"/>
      <c r="I24" s="71">
        <v>60000</v>
      </c>
      <c r="J24" s="72">
        <v>1</v>
      </c>
      <c r="K24" s="58">
        <f t="shared" si="6"/>
        <v>60000</v>
      </c>
      <c r="L24" s="185"/>
      <c r="M24" s="187"/>
      <c r="N24" s="69" t="s">
        <v>53</v>
      </c>
      <c r="O24" s="70">
        <f t="shared" si="1"/>
        <v>5.5999999999999994E-2</v>
      </c>
      <c r="P24" s="74">
        <v>100</v>
      </c>
      <c r="Q24" s="75">
        <v>1</v>
      </c>
      <c r="R24" s="62">
        <f t="shared" si="7"/>
        <v>100</v>
      </c>
      <c r="S24" s="170"/>
      <c r="T24" s="189"/>
      <c r="U24" s="85" t="s">
        <v>65</v>
      </c>
      <c r="V24" s="86">
        <f>SUM(V22:V23)</f>
        <v>1</v>
      </c>
      <c r="W24" s="191"/>
      <c r="X24" s="191"/>
      <c r="Y24" s="211"/>
      <c r="Z24" s="78" t="s">
        <v>53</v>
      </c>
      <c r="AA24" s="79">
        <f>ROUNDUP((K24*G24*84%)+(R24*O24*84%),0)</f>
        <v>2828</v>
      </c>
      <c r="AB24" s="164"/>
      <c r="AC24" s="80">
        <f>ROUNDUP((K24*V22*0.504%*84%)+(R24*V22*0.504%*84%)+(K24*V23*1.008%*84%)+(R24*V23*1.008%*84%),0)*0</f>
        <v>0</v>
      </c>
      <c r="AD24" s="164"/>
      <c r="AE24" s="166"/>
      <c r="AF24" s="80">
        <f>ROUNDUP((K24*G24*84%)+(R24*G24*84%),0)</f>
        <v>2828</v>
      </c>
      <c r="AG24" s="166"/>
      <c r="AH24" s="168"/>
      <c r="AI24" s="78" t="s">
        <v>53</v>
      </c>
      <c r="AJ24" s="76">
        <f>(K24*G24*84%*Y22)+(R24*G24*84%*Y22)</f>
        <v>1130.8415999999997</v>
      </c>
      <c r="AK24" s="170"/>
      <c r="AL24" s="76">
        <f>((K24*V22*0.504%*84%*Y22)+(K24*V23*1.008%*84%*Y22)+(R24*V22*0.504%*84%*Y22)+(R24*V23*1.008%*84%*Y22))*0</f>
        <v>0</v>
      </c>
      <c r="AM24" s="172"/>
      <c r="AN24" s="157"/>
      <c r="AO24" s="160"/>
      <c r="AP24" s="162"/>
    </row>
    <row r="25" spans="2:42" s="28" customFormat="1" hidden="1" outlineLevel="2" x14ac:dyDescent="0.2">
      <c r="B25" s="175" t="s">
        <v>55</v>
      </c>
      <c r="C25" s="177" t="s">
        <v>55</v>
      </c>
      <c r="D25" s="179" t="s">
        <v>79</v>
      </c>
      <c r="E25" s="220" t="s">
        <v>55</v>
      </c>
      <c r="F25" s="68" t="s">
        <v>2</v>
      </c>
      <c r="G25" s="55">
        <f t="shared" si="0"/>
        <v>0</v>
      </c>
      <c r="H25" s="182">
        <f>IF(D25="No",VLOOKUP((M25+T25),bonusrate,3),(VLOOKUP((M25+T25),bonusrate2,3)))</f>
        <v>7.4999999999999997E-3</v>
      </c>
      <c r="I25" s="56">
        <v>20000</v>
      </c>
      <c r="J25" s="57">
        <v>1</v>
      </c>
      <c r="K25" s="58">
        <f>I25*J25</f>
        <v>20000</v>
      </c>
      <c r="L25" s="184">
        <f>SUM(K25:K27)</f>
        <v>100000</v>
      </c>
      <c r="M25" s="186">
        <f>L25*12</f>
        <v>1200000</v>
      </c>
      <c r="N25" s="68" t="s">
        <v>2</v>
      </c>
      <c r="O25" s="55">
        <f t="shared" si="1"/>
        <v>0</v>
      </c>
      <c r="P25" s="60">
        <v>100</v>
      </c>
      <c r="Q25" s="61">
        <v>1</v>
      </c>
      <c r="R25" s="62">
        <f>P25*Q25</f>
        <v>100</v>
      </c>
      <c r="S25" s="169">
        <f>SUM(R25:R27)</f>
        <v>300</v>
      </c>
      <c r="T25" s="188">
        <f>S25*12</f>
        <v>3600</v>
      </c>
      <c r="U25" s="84" t="s">
        <v>64</v>
      </c>
      <c r="V25" s="59">
        <v>0.7</v>
      </c>
      <c r="W25" s="190" t="str">
        <f>$B$6</f>
        <v>Training Associate</v>
      </c>
      <c r="X25" s="190">
        <f>VLOOKUP(W25,Agentlevels,2,)</f>
        <v>0.26</v>
      </c>
      <c r="Y25" s="209">
        <f>MAX(0,'Personal AUM'!$C$9-'Baseshop Monthly Activity'!X25)</f>
        <v>0.4</v>
      </c>
      <c r="Z25" s="77" t="s">
        <v>2</v>
      </c>
      <c r="AA25" s="63">
        <f>ROUNDUP((K25*G25*84%)+(R25*G25*84%),0)</f>
        <v>0</v>
      </c>
      <c r="AB25" s="163">
        <f>SUM(AA25:AA27)</f>
        <v>3419</v>
      </c>
      <c r="AC25" s="64">
        <f>ROUNDUP((K25*V25*0.504%*84%)+(R25*V25*0.504%*84%)+(K25*V26*1.008%*84%)+(R25*V26*1.008%*84%),0)</f>
        <v>111</v>
      </c>
      <c r="AD25" s="163">
        <f>SUM(AC25:AC27)</f>
        <v>111</v>
      </c>
      <c r="AE25" s="165">
        <f>AB25+AD25</f>
        <v>3530</v>
      </c>
      <c r="AF25" s="64">
        <f>ROUNDUP((K25*G25*85%)+(R25*G25*84%),0)</f>
        <v>0</v>
      </c>
      <c r="AG25" s="165">
        <f>SUM(AF25:AF27)</f>
        <v>3419</v>
      </c>
      <c r="AH25" s="167">
        <f>(AE25*12)+AG25</f>
        <v>45779</v>
      </c>
      <c r="AI25" s="77" t="s">
        <v>2</v>
      </c>
      <c r="AJ25" s="62">
        <f>(K25*G25*84%*Y25)+(R25*G25*84%*Y25)</f>
        <v>0</v>
      </c>
      <c r="AK25" s="169">
        <f>SUM(AJ25:AJ27)</f>
        <v>1367.2175999999997</v>
      </c>
      <c r="AL25" s="62">
        <f>(K25*V25*0.504%*84%*Y25)+(K25*V26*1.008%*84%*Y25)+(R25*V25*0.504%*84%*Y25)+(R25*V26*1.008%*84%*Y25)</f>
        <v>44.249587200000008</v>
      </c>
      <c r="AM25" s="158">
        <f>SUM(AL25:AL27)</f>
        <v>44.249587200000008</v>
      </c>
      <c r="AN25" s="156">
        <f>(AK25+AM25)*12</f>
        <v>16937.606246399995</v>
      </c>
      <c r="AO25" s="158">
        <f>IF(D25="No",MIN(75000,(M25+T25)*H25*84%*Y25),MIN(100000,(M25+T25)*H25*84%*Y25))</f>
        <v>3033.0720000000001</v>
      </c>
      <c r="AP25" s="161">
        <f>AN25+AO25</f>
        <v>19970.678246399995</v>
      </c>
    </row>
    <row r="26" spans="2:42" s="28" customFormat="1" hidden="1" outlineLevel="2" x14ac:dyDescent="0.2">
      <c r="B26" s="175"/>
      <c r="C26" s="177"/>
      <c r="D26" s="180"/>
      <c r="E26" s="220"/>
      <c r="F26" s="68" t="s">
        <v>52</v>
      </c>
      <c r="G26" s="55">
        <f t="shared" si="0"/>
        <v>3.5000000000000003E-2</v>
      </c>
      <c r="H26" s="182"/>
      <c r="I26" s="56">
        <v>20000</v>
      </c>
      <c r="J26" s="57">
        <v>1</v>
      </c>
      <c r="K26" s="58">
        <f t="shared" ref="K26:K27" si="8">I26*J26</f>
        <v>20000</v>
      </c>
      <c r="L26" s="184"/>
      <c r="M26" s="186"/>
      <c r="N26" s="68" t="s">
        <v>52</v>
      </c>
      <c r="O26" s="55">
        <f t="shared" si="1"/>
        <v>3.5000000000000003E-2</v>
      </c>
      <c r="P26" s="60">
        <v>100</v>
      </c>
      <c r="Q26" s="61">
        <v>1</v>
      </c>
      <c r="R26" s="62">
        <f t="shared" ref="R26:R27" si="9">P26*Q26</f>
        <v>100</v>
      </c>
      <c r="S26" s="169"/>
      <c r="T26" s="188"/>
      <c r="U26" s="84" t="s">
        <v>25</v>
      </c>
      <c r="V26" s="65">
        <f>1-V25</f>
        <v>0.30000000000000004</v>
      </c>
      <c r="W26" s="190"/>
      <c r="X26" s="190"/>
      <c r="Y26" s="210"/>
      <c r="Z26" s="77" t="s">
        <v>52</v>
      </c>
      <c r="AA26" s="63">
        <f>ROUNDUP((K26*G26*84%)+(R26*O26*84%),0)</f>
        <v>591</v>
      </c>
      <c r="AB26" s="163"/>
      <c r="AC26" s="64">
        <f>ROUNDUP((K26*V25*0.504%*84%)+(R26*V25*0.504%*84%)+(K26*V26*1.008%*84%)+(R26*V26*1.008%*84%),0)*0</f>
        <v>0</v>
      </c>
      <c r="AD26" s="163"/>
      <c r="AE26" s="165"/>
      <c r="AF26" s="64">
        <f>ROUNDUP((K26*G26*84%)+(R26*G26*84%),0)</f>
        <v>591</v>
      </c>
      <c r="AG26" s="165"/>
      <c r="AH26" s="167"/>
      <c r="AI26" s="77" t="s">
        <v>52</v>
      </c>
      <c r="AJ26" s="62">
        <f>(K26*G26*84%*Y25)+(R26*G26*84%*Y25)</f>
        <v>236.37600000000003</v>
      </c>
      <c r="AK26" s="169"/>
      <c r="AL26" s="62">
        <f>((K26*V25*0.504%*84%*Y25)+(K26*V26*1.008%*84%*Y25)+(R26*V25*0.504%*84%*Y25)+(R26*V26*1.008%*84%*Y25))*0</f>
        <v>0</v>
      </c>
      <c r="AM26" s="171"/>
      <c r="AN26" s="156"/>
      <c r="AO26" s="159"/>
      <c r="AP26" s="161"/>
    </row>
    <row r="27" spans="2:42" s="28" customFormat="1" ht="16" hidden="1" outlineLevel="2" thickBot="1" x14ac:dyDescent="0.25">
      <c r="B27" s="176"/>
      <c r="C27" s="178"/>
      <c r="D27" s="181"/>
      <c r="E27" s="221"/>
      <c r="F27" s="69" t="s">
        <v>53</v>
      </c>
      <c r="G27" s="70">
        <f t="shared" si="0"/>
        <v>5.5999999999999994E-2</v>
      </c>
      <c r="H27" s="183"/>
      <c r="I27" s="71">
        <v>60000</v>
      </c>
      <c r="J27" s="72">
        <v>1</v>
      </c>
      <c r="K27" s="58">
        <f t="shared" si="8"/>
        <v>60000</v>
      </c>
      <c r="L27" s="185"/>
      <c r="M27" s="187"/>
      <c r="N27" s="69" t="s">
        <v>53</v>
      </c>
      <c r="O27" s="70">
        <f t="shared" si="1"/>
        <v>5.5999999999999994E-2</v>
      </c>
      <c r="P27" s="74">
        <v>100</v>
      </c>
      <c r="Q27" s="75">
        <v>1</v>
      </c>
      <c r="R27" s="62">
        <f t="shared" si="9"/>
        <v>100</v>
      </c>
      <c r="S27" s="170"/>
      <c r="T27" s="189"/>
      <c r="U27" s="85" t="s">
        <v>65</v>
      </c>
      <c r="V27" s="86">
        <f>SUM(V25:V26)</f>
        <v>1</v>
      </c>
      <c r="W27" s="191"/>
      <c r="X27" s="191"/>
      <c r="Y27" s="211"/>
      <c r="Z27" s="78" t="s">
        <v>53</v>
      </c>
      <c r="AA27" s="79">
        <f>ROUNDUP((K27*G27*84%)+(R27*O27*84%),0)</f>
        <v>2828</v>
      </c>
      <c r="AB27" s="164"/>
      <c r="AC27" s="80">
        <f>ROUNDUP((K27*V25*0.504%*84%)+(R27*V25*0.504%*84%)+(K27*V26*1.008%*84%)+(R27*V26*1.008%*84%),0)*0</f>
        <v>0</v>
      </c>
      <c r="AD27" s="164"/>
      <c r="AE27" s="166"/>
      <c r="AF27" s="80">
        <f>ROUNDUP((K27*G27*84%)+(R27*G27*84%),0)</f>
        <v>2828</v>
      </c>
      <c r="AG27" s="166"/>
      <c r="AH27" s="168"/>
      <c r="AI27" s="78" t="s">
        <v>53</v>
      </c>
      <c r="AJ27" s="76">
        <f>(K27*G27*84%*Y25)+(R27*G27*84%*Y25)</f>
        <v>1130.8415999999997</v>
      </c>
      <c r="AK27" s="170"/>
      <c r="AL27" s="76">
        <f>((K27*V25*0.504%*84%*Y25)+(K27*V26*1.008%*84%*Y25)+(R27*V25*0.504%*84%*Y25)+(R27*V26*1.008%*84%*Y25))*0</f>
        <v>0</v>
      </c>
      <c r="AM27" s="172"/>
      <c r="AN27" s="157"/>
      <c r="AO27" s="160"/>
      <c r="AP27" s="162"/>
    </row>
    <row r="28" spans="2:42" s="28" customFormat="1" hidden="1" outlineLevel="2" x14ac:dyDescent="0.2">
      <c r="B28" s="175" t="s">
        <v>55</v>
      </c>
      <c r="C28" s="177" t="s">
        <v>55</v>
      </c>
      <c r="D28" s="179" t="s">
        <v>79</v>
      </c>
      <c r="E28" s="220" t="s">
        <v>55</v>
      </c>
      <c r="F28" s="68" t="s">
        <v>2</v>
      </c>
      <c r="G28" s="55">
        <f t="shared" si="0"/>
        <v>0</v>
      </c>
      <c r="H28" s="182">
        <f>IF(D28="No",VLOOKUP((M28+T28),bonusrate,3),(VLOOKUP((M28+T28),bonusrate2,3)))</f>
        <v>7.4999999999999997E-3</v>
      </c>
      <c r="I28" s="56">
        <v>20000</v>
      </c>
      <c r="J28" s="57">
        <v>1</v>
      </c>
      <c r="K28" s="58">
        <f>I28*J28</f>
        <v>20000</v>
      </c>
      <c r="L28" s="184">
        <f>SUM(K28:K30)</f>
        <v>100000</v>
      </c>
      <c r="M28" s="186">
        <f>L28*12</f>
        <v>1200000</v>
      </c>
      <c r="N28" s="68" t="s">
        <v>2</v>
      </c>
      <c r="O28" s="55">
        <f t="shared" si="1"/>
        <v>0</v>
      </c>
      <c r="P28" s="60">
        <v>100</v>
      </c>
      <c r="Q28" s="61">
        <v>1</v>
      </c>
      <c r="R28" s="62">
        <f>P28*Q28</f>
        <v>100</v>
      </c>
      <c r="S28" s="169">
        <f>SUM(R28:R30)</f>
        <v>300</v>
      </c>
      <c r="T28" s="188">
        <f>S28*12</f>
        <v>3600</v>
      </c>
      <c r="U28" s="84" t="s">
        <v>64</v>
      </c>
      <c r="V28" s="59">
        <v>0.7</v>
      </c>
      <c r="W28" s="190" t="str">
        <f>$B$6</f>
        <v>Training Associate</v>
      </c>
      <c r="X28" s="190">
        <f>VLOOKUP(W28,Agentlevels,2,)</f>
        <v>0.26</v>
      </c>
      <c r="Y28" s="209">
        <f>MAX(0,'Personal AUM'!$C$9-'Baseshop Monthly Activity'!X28)</f>
        <v>0.4</v>
      </c>
      <c r="Z28" s="77" t="s">
        <v>2</v>
      </c>
      <c r="AA28" s="63">
        <f>ROUNDUP((K28*G28*84%)+(R28*G28*84%),0)</f>
        <v>0</v>
      </c>
      <c r="AB28" s="163">
        <f>SUM(AA28:AA30)</f>
        <v>3419</v>
      </c>
      <c r="AC28" s="64">
        <f>ROUNDUP((K28*V28*0.504%*84%)+(R28*V28*0.504%*84%)+(K28*V29*1.008%*84%)+(R28*V29*1.008%*84%),0)</f>
        <v>111</v>
      </c>
      <c r="AD28" s="163">
        <f>SUM(AC28:AC30)</f>
        <v>111</v>
      </c>
      <c r="AE28" s="165">
        <f>AB28+AD28</f>
        <v>3530</v>
      </c>
      <c r="AF28" s="64">
        <f>ROUNDUP((K28*G28*85%)+(R28*G28*84%),0)</f>
        <v>0</v>
      </c>
      <c r="AG28" s="165">
        <f>SUM(AF28:AF30)</f>
        <v>3419</v>
      </c>
      <c r="AH28" s="167">
        <f>(AE28*12)+AG28</f>
        <v>45779</v>
      </c>
      <c r="AI28" s="77" t="s">
        <v>2</v>
      </c>
      <c r="AJ28" s="62">
        <f>(K28*G28*84%*Y28)+(R28*G28*84%*Y28)</f>
        <v>0</v>
      </c>
      <c r="AK28" s="169">
        <f>SUM(AJ28:AJ30)</f>
        <v>1367.2175999999997</v>
      </c>
      <c r="AL28" s="62">
        <f>(K28*V28*0.504%*84%*Y28)+(K28*V29*1.008%*84%*Y28)+(R28*V28*0.504%*84%*Y28)+(R28*V29*1.008%*84%*Y28)</f>
        <v>44.249587200000008</v>
      </c>
      <c r="AM28" s="158">
        <f>SUM(AL28:AL30)</f>
        <v>44.249587200000008</v>
      </c>
      <c r="AN28" s="156">
        <f>(AK28+AM28)*12</f>
        <v>16937.606246399995</v>
      </c>
      <c r="AO28" s="158">
        <f>IF(D28="No",MIN(75000,(M28+T28)*H28*84%*Y28),MIN(100000,(M28+T28)*H28*84%*Y28))</f>
        <v>3033.0720000000001</v>
      </c>
      <c r="AP28" s="161">
        <f>AN28+AO28</f>
        <v>19970.678246399995</v>
      </c>
    </row>
    <row r="29" spans="2:42" s="28" customFormat="1" hidden="1" outlineLevel="2" x14ac:dyDescent="0.2">
      <c r="B29" s="175"/>
      <c r="C29" s="177"/>
      <c r="D29" s="180"/>
      <c r="E29" s="220"/>
      <c r="F29" s="68" t="s">
        <v>52</v>
      </c>
      <c r="G29" s="55">
        <f t="shared" si="0"/>
        <v>3.5000000000000003E-2</v>
      </c>
      <c r="H29" s="182"/>
      <c r="I29" s="56">
        <v>20000</v>
      </c>
      <c r="J29" s="57">
        <v>1</v>
      </c>
      <c r="K29" s="58">
        <f t="shared" ref="K29:K30" si="10">I29*J29</f>
        <v>20000</v>
      </c>
      <c r="L29" s="184"/>
      <c r="M29" s="186"/>
      <c r="N29" s="68" t="s">
        <v>52</v>
      </c>
      <c r="O29" s="55">
        <f t="shared" si="1"/>
        <v>3.5000000000000003E-2</v>
      </c>
      <c r="P29" s="60">
        <v>100</v>
      </c>
      <c r="Q29" s="61">
        <v>1</v>
      </c>
      <c r="R29" s="62">
        <f t="shared" ref="R29:R30" si="11">P29*Q29</f>
        <v>100</v>
      </c>
      <c r="S29" s="169"/>
      <c r="T29" s="188"/>
      <c r="U29" s="84" t="s">
        <v>25</v>
      </c>
      <c r="V29" s="65">
        <f>1-V28</f>
        <v>0.30000000000000004</v>
      </c>
      <c r="W29" s="190"/>
      <c r="X29" s="190"/>
      <c r="Y29" s="210"/>
      <c r="Z29" s="77" t="s">
        <v>52</v>
      </c>
      <c r="AA29" s="63">
        <f>ROUNDUP((K29*G29*84%)+(R29*O29*84%),0)</f>
        <v>591</v>
      </c>
      <c r="AB29" s="163"/>
      <c r="AC29" s="64">
        <f>ROUNDUP((K29*V28*0.504%*84%)+(R29*V28*0.504%*84%)+(K29*V29*1.008%*84%)+(R29*V29*1.008%*84%),0)*0</f>
        <v>0</v>
      </c>
      <c r="AD29" s="163"/>
      <c r="AE29" s="165"/>
      <c r="AF29" s="64">
        <f>ROUNDUP((K29*G29*84%)+(R29*G29*84%),0)</f>
        <v>591</v>
      </c>
      <c r="AG29" s="165"/>
      <c r="AH29" s="167"/>
      <c r="AI29" s="77" t="s">
        <v>52</v>
      </c>
      <c r="AJ29" s="62">
        <f>(K29*G29*84%*Y28)+(R29*G29*84%*Y28)</f>
        <v>236.37600000000003</v>
      </c>
      <c r="AK29" s="169"/>
      <c r="AL29" s="62">
        <f>((K29*V28*0.504%*84%*Y28)+(K29*V29*1.008%*84%*Y28)+(R29*V28*0.504%*84%*Y28)+(R29*V29*1.008%*84%*Y28))*0</f>
        <v>0</v>
      </c>
      <c r="AM29" s="171"/>
      <c r="AN29" s="156"/>
      <c r="AO29" s="159"/>
      <c r="AP29" s="161"/>
    </row>
    <row r="30" spans="2:42" s="28" customFormat="1" ht="16" hidden="1" outlineLevel="2" thickBot="1" x14ac:dyDescent="0.25">
      <c r="B30" s="176"/>
      <c r="C30" s="178"/>
      <c r="D30" s="181"/>
      <c r="E30" s="221"/>
      <c r="F30" s="69" t="s">
        <v>53</v>
      </c>
      <c r="G30" s="70">
        <f t="shared" si="0"/>
        <v>5.5999999999999994E-2</v>
      </c>
      <c r="H30" s="183"/>
      <c r="I30" s="71">
        <v>60000</v>
      </c>
      <c r="J30" s="72">
        <v>1</v>
      </c>
      <c r="K30" s="58">
        <f t="shared" si="10"/>
        <v>60000</v>
      </c>
      <c r="L30" s="185"/>
      <c r="M30" s="187"/>
      <c r="N30" s="69" t="s">
        <v>53</v>
      </c>
      <c r="O30" s="70">
        <f t="shared" si="1"/>
        <v>5.5999999999999994E-2</v>
      </c>
      <c r="P30" s="74">
        <v>100</v>
      </c>
      <c r="Q30" s="75">
        <v>1</v>
      </c>
      <c r="R30" s="62">
        <f t="shared" si="11"/>
        <v>100</v>
      </c>
      <c r="S30" s="170"/>
      <c r="T30" s="189"/>
      <c r="U30" s="85" t="s">
        <v>65</v>
      </c>
      <c r="V30" s="86">
        <f>SUM(V28:V29)</f>
        <v>1</v>
      </c>
      <c r="W30" s="191"/>
      <c r="X30" s="191"/>
      <c r="Y30" s="211"/>
      <c r="Z30" s="78" t="s">
        <v>53</v>
      </c>
      <c r="AA30" s="79">
        <f>ROUNDUP((K30*G30*84%)+(R30*O30*84%),0)</f>
        <v>2828</v>
      </c>
      <c r="AB30" s="164"/>
      <c r="AC30" s="80">
        <f>ROUNDUP((K30*V28*0.504%*84%)+(R30*V28*0.504%*84%)+(K30*V29*1.008%*84%)+(R30*V29*1.008%*84%),0)*0</f>
        <v>0</v>
      </c>
      <c r="AD30" s="164"/>
      <c r="AE30" s="166"/>
      <c r="AF30" s="80">
        <f>ROUNDUP((K30*G30*84%)+(R30*G30*84%),0)</f>
        <v>2828</v>
      </c>
      <c r="AG30" s="166"/>
      <c r="AH30" s="168"/>
      <c r="AI30" s="78" t="s">
        <v>53</v>
      </c>
      <c r="AJ30" s="76">
        <f>(K30*G30*84%*Y28)+(R30*G30*84%*Y28)</f>
        <v>1130.8415999999997</v>
      </c>
      <c r="AK30" s="170"/>
      <c r="AL30" s="76">
        <f>((K30*V28*0.504%*84%*Y28)+(K30*V29*1.008%*84%*Y28)+(R30*V28*0.504%*84%*Y28)+(R30*V29*1.008%*84%*Y28))*0</f>
        <v>0</v>
      </c>
      <c r="AM30" s="172"/>
      <c r="AN30" s="157"/>
      <c r="AO30" s="160"/>
      <c r="AP30" s="162"/>
    </row>
    <row r="31" spans="2:42" s="28" customFormat="1" hidden="1" outlineLevel="2" x14ac:dyDescent="0.2">
      <c r="B31" s="175" t="s">
        <v>55</v>
      </c>
      <c r="C31" s="177" t="s">
        <v>55</v>
      </c>
      <c r="D31" s="179" t="s">
        <v>79</v>
      </c>
      <c r="E31" s="220" t="s">
        <v>55</v>
      </c>
      <c r="F31" s="68" t="s">
        <v>2</v>
      </c>
      <c r="G31" s="55">
        <f t="shared" si="0"/>
        <v>0</v>
      </c>
      <c r="H31" s="182">
        <f>IF(D31="No",VLOOKUP((M31+T31),bonusrate,3),(VLOOKUP((M31+T31),bonusrate2,3)))</f>
        <v>7.4999999999999997E-3</v>
      </c>
      <c r="I31" s="56">
        <v>20000</v>
      </c>
      <c r="J31" s="57">
        <v>1</v>
      </c>
      <c r="K31" s="58">
        <f>I31*J31</f>
        <v>20000</v>
      </c>
      <c r="L31" s="184">
        <f>SUM(K31:K33)</f>
        <v>100000</v>
      </c>
      <c r="M31" s="186">
        <f>L31*12</f>
        <v>1200000</v>
      </c>
      <c r="N31" s="68" t="s">
        <v>2</v>
      </c>
      <c r="O31" s="55">
        <f t="shared" si="1"/>
        <v>0</v>
      </c>
      <c r="P31" s="60">
        <v>100</v>
      </c>
      <c r="Q31" s="61">
        <v>1</v>
      </c>
      <c r="R31" s="62">
        <f>P31*Q31</f>
        <v>100</v>
      </c>
      <c r="S31" s="169">
        <f>SUM(R31:R33)</f>
        <v>300</v>
      </c>
      <c r="T31" s="188">
        <f>S31*12</f>
        <v>3600</v>
      </c>
      <c r="U31" s="84" t="s">
        <v>64</v>
      </c>
      <c r="V31" s="59">
        <v>0.7</v>
      </c>
      <c r="W31" s="190" t="str">
        <f>$B$6</f>
        <v>Training Associate</v>
      </c>
      <c r="X31" s="190">
        <f>VLOOKUP(W31,Agentlevels,2,)</f>
        <v>0.26</v>
      </c>
      <c r="Y31" s="209">
        <f>MAX(0,'Personal AUM'!$C$9-'Baseshop Monthly Activity'!X31)</f>
        <v>0.4</v>
      </c>
      <c r="Z31" s="77" t="s">
        <v>2</v>
      </c>
      <c r="AA31" s="63">
        <f>ROUNDUP((K31*G31*84%)+(R31*G31*84%),0)</f>
        <v>0</v>
      </c>
      <c r="AB31" s="163">
        <f>SUM(AA31:AA33)</f>
        <v>3419</v>
      </c>
      <c r="AC31" s="64">
        <f>ROUNDUP((K31*V31*0.504%*84%)+(R31*V31*0.504%*84%)+(K31*V32*1.008%*84%)+(R31*V32*1.008%*84%),0)</f>
        <v>111</v>
      </c>
      <c r="AD31" s="163">
        <f>SUM(AC31:AC33)</f>
        <v>111</v>
      </c>
      <c r="AE31" s="165">
        <f>AB31+AD31</f>
        <v>3530</v>
      </c>
      <c r="AF31" s="64">
        <f>ROUNDUP((K31*G31*85%)+(R31*G31*84%),0)</f>
        <v>0</v>
      </c>
      <c r="AG31" s="165">
        <f>SUM(AF31:AF33)</f>
        <v>3419</v>
      </c>
      <c r="AH31" s="167">
        <f>(AE31*12)+AG31</f>
        <v>45779</v>
      </c>
      <c r="AI31" s="77" t="s">
        <v>2</v>
      </c>
      <c r="AJ31" s="62">
        <f>(K31*G31*84%*Y31)+(R31*G31*84%*Y31)</f>
        <v>0</v>
      </c>
      <c r="AK31" s="169">
        <f>SUM(AJ31:AJ33)</f>
        <v>1367.2175999999997</v>
      </c>
      <c r="AL31" s="62">
        <f>(K31*V31*0.504%*84%*Y31)+(K31*V32*1.008%*84%*Y31)+(R31*V31*0.504%*84%*Y31)+(R31*V32*1.008%*84%*Y31)</f>
        <v>44.249587200000008</v>
      </c>
      <c r="AM31" s="158">
        <f>SUM(AL31:AL33)</f>
        <v>44.249587200000008</v>
      </c>
      <c r="AN31" s="156">
        <f>(AK31+AM31)*12</f>
        <v>16937.606246399995</v>
      </c>
      <c r="AO31" s="158">
        <f>IF(D31="No",MIN(75000,(M31+T31)*H31*84%*Y31),MIN(100000,(M31+T31)*H31*84%*Y31))</f>
        <v>3033.0720000000001</v>
      </c>
      <c r="AP31" s="161">
        <f>AN31+AO31</f>
        <v>19970.678246399995</v>
      </c>
    </row>
    <row r="32" spans="2:42" s="28" customFormat="1" hidden="1" outlineLevel="2" x14ac:dyDescent="0.2">
      <c r="B32" s="175"/>
      <c r="C32" s="177"/>
      <c r="D32" s="180"/>
      <c r="E32" s="220"/>
      <c r="F32" s="68" t="s">
        <v>52</v>
      </c>
      <c r="G32" s="55">
        <f t="shared" si="0"/>
        <v>3.5000000000000003E-2</v>
      </c>
      <c r="H32" s="182"/>
      <c r="I32" s="56">
        <v>20000</v>
      </c>
      <c r="J32" s="57">
        <v>1</v>
      </c>
      <c r="K32" s="58">
        <f t="shared" ref="K32:K33" si="12">I32*J32</f>
        <v>20000</v>
      </c>
      <c r="L32" s="184"/>
      <c r="M32" s="186"/>
      <c r="N32" s="68" t="s">
        <v>52</v>
      </c>
      <c r="O32" s="55">
        <f t="shared" si="1"/>
        <v>3.5000000000000003E-2</v>
      </c>
      <c r="P32" s="60">
        <v>100</v>
      </c>
      <c r="Q32" s="61">
        <v>1</v>
      </c>
      <c r="R32" s="62">
        <f t="shared" ref="R32:R33" si="13">P32*Q32</f>
        <v>100</v>
      </c>
      <c r="S32" s="169"/>
      <c r="T32" s="188"/>
      <c r="U32" s="84" t="s">
        <v>25</v>
      </c>
      <c r="V32" s="65">
        <f>1-V31</f>
        <v>0.30000000000000004</v>
      </c>
      <c r="W32" s="190"/>
      <c r="X32" s="190"/>
      <c r="Y32" s="210"/>
      <c r="Z32" s="77" t="s">
        <v>52</v>
      </c>
      <c r="AA32" s="63">
        <f>ROUNDUP((K32*G32*84%)+(R32*O32*84%),0)</f>
        <v>591</v>
      </c>
      <c r="AB32" s="163"/>
      <c r="AC32" s="64">
        <f>ROUNDUP((K32*V31*0.504%*84%)+(R32*V31*0.504%*84%)+(K32*V32*1.008%*84%)+(R32*V32*1.008%*84%),0)*0</f>
        <v>0</v>
      </c>
      <c r="AD32" s="163"/>
      <c r="AE32" s="165"/>
      <c r="AF32" s="64">
        <f>ROUNDUP((K32*G32*84%)+(R32*G32*84%),0)</f>
        <v>591</v>
      </c>
      <c r="AG32" s="165"/>
      <c r="AH32" s="167"/>
      <c r="AI32" s="77" t="s">
        <v>52</v>
      </c>
      <c r="AJ32" s="62">
        <f>(K32*G32*84%*Y31)+(R32*G32*84%*Y31)</f>
        <v>236.37600000000003</v>
      </c>
      <c r="AK32" s="169"/>
      <c r="AL32" s="62">
        <f>((K32*V31*0.504%*84%*Y31)+(K32*V32*1.008%*84%*Y31)+(R32*V31*0.504%*84%*Y31)+(R32*V32*1.008%*84%*Y31))*0</f>
        <v>0</v>
      </c>
      <c r="AM32" s="171"/>
      <c r="AN32" s="156"/>
      <c r="AO32" s="159"/>
      <c r="AP32" s="161"/>
    </row>
    <row r="33" spans="2:42" s="28" customFormat="1" ht="16" hidden="1" outlineLevel="2" thickBot="1" x14ac:dyDescent="0.25">
      <c r="B33" s="176"/>
      <c r="C33" s="178"/>
      <c r="D33" s="181"/>
      <c r="E33" s="221"/>
      <c r="F33" s="69" t="s">
        <v>53</v>
      </c>
      <c r="G33" s="70">
        <f t="shared" si="0"/>
        <v>5.5999999999999994E-2</v>
      </c>
      <c r="H33" s="183"/>
      <c r="I33" s="71">
        <v>60000</v>
      </c>
      <c r="J33" s="72">
        <v>1</v>
      </c>
      <c r="K33" s="58">
        <f t="shared" si="12"/>
        <v>60000</v>
      </c>
      <c r="L33" s="185"/>
      <c r="M33" s="187"/>
      <c r="N33" s="69" t="s">
        <v>53</v>
      </c>
      <c r="O33" s="70">
        <f t="shared" si="1"/>
        <v>5.5999999999999994E-2</v>
      </c>
      <c r="P33" s="74">
        <v>100</v>
      </c>
      <c r="Q33" s="75">
        <v>1</v>
      </c>
      <c r="R33" s="62">
        <f t="shared" si="13"/>
        <v>100</v>
      </c>
      <c r="S33" s="170"/>
      <c r="T33" s="189"/>
      <c r="U33" s="85" t="s">
        <v>65</v>
      </c>
      <c r="V33" s="86">
        <f>SUM(V31:V32)</f>
        <v>1</v>
      </c>
      <c r="W33" s="191"/>
      <c r="X33" s="191"/>
      <c r="Y33" s="211"/>
      <c r="Z33" s="78" t="s">
        <v>53</v>
      </c>
      <c r="AA33" s="79">
        <f>ROUNDUP((K33*G33*84%)+(R33*O33*84%),0)</f>
        <v>2828</v>
      </c>
      <c r="AB33" s="164"/>
      <c r="AC33" s="80">
        <f>ROUNDUP((K33*V31*0.504%*84%)+(R33*V31*0.504%*84%)+(K33*V32*1.008%*84%)+(R33*V32*1.008%*84%),0)*0</f>
        <v>0</v>
      </c>
      <c r="AD33" s="164"/>
      <c r="AE33" s="166"/>
      <c r="AF33" s="80">
        <f>ROUNDUP((K33*G33*84%)+(R33*G33*84%),0)</f>
        <v>2828</v>
      </c>
      <c r="AG33" s="166"/>
      <c r="AH33" s="168"/>
      <c r="AI33" s="78" t="s">
        <v>53</v>
      </c>
      <c r="AJ33" s="76">
        <f>(K33*G33*84%*Y31)+(R33*G33*84%*Y31)</f>
        <v>1130.8415999999997</v>
      </c>
      <c r="AK33" s="170"/>
      <c r="AL33" s="76">
        <f>((K33*V31*0.504%*84%*Y31)+(K33*V32*1.008%*84%*Y31)+(R33*V31*0.504%*84%*Y31)+(R33*V32*1.008%*84%*Y31))*0</f>
        <v>0</v>
      </c>
      <c r="AM33" s="172"/>
      <c r="AN33" s="157"/>
      <c r="AO33" s="160"/>
      <c r="AP33" s="162"/>
    </row>
    <row r="34" spans="2:42" s="28" customFormat="1" hidden="1" outlineLevel="2" x14ac:dyDescent="0.2">
      <c r="B34" s="175" t="s">
        <v>55</v>
      </c>
      <c r="C34" s="177" t="s">
        <v>55</v>
      </c>
      <c r="D34" s="179" t="s">
        <v>79</v>
      </c>
      <c r="E34" s="220" t="s">
        <v>55</v>
      </c>
      <c r="F34" s="68" t="s">
        <v>2</v>
      </c>
      <c r="G34" s="55">
        <f t="shared" si="0"/>
        <v>0</v>
      </c>
      <c r="H34" s="182">
        <f>IF(D34="No",VLOOKUP((M34+T34),bonusrate,3),(VLOOKUP((M34+T34),bonusrate2,3)))</f>
        <v>7.4999999999999997E-3</v>
      </c>
      <c r="I34" s="56">
        <v>20000</v>
      </c>
      <c r="J34" s="57">
        <v>1</v>
      </c>
      <c r="K34" s="58">
        <f>I34*J34</f>
        <v>20000</v>
      </c>
      <c r="L34" s="184">
        <f>SUM(K34:K36)</f>
        <v>100000</v>
      </c>
      <c r="M34" s="186">
        <f>L34*12</f>
        <v>1200000</v>
      </c>
      <c r="N34" s="68" t="s">
        <v>2</v>
      </c>
      <c r="O34" s="55">
        <f t="shared" si="1"/>
        <v>0</v>
      </c>
      <c r="P34" s="60">
        <v>100</v>
      </c>
      <c r="Q34" s="61">
        <v>1</v>
      </c>
      <c r="R34" s="62">
        <f>P34*Q34</f>
        <v>100</v>
      </c>
      <c r="S34" s="169">
        <f>SUM(R34:R36)</f>
        <v>300</v>
      </c>
      <c r="T34" s="188">
        <f>S34*12</f>
        <v>3600</v>
      </c>
      <c r="U34" s="84" t="s">
        <v>64</v>
      </c>
      <c r="V34" s="59">
        <v>0.7</v>
      </c>
      <c r="W34" s="190" t="str">
        <f>$B$6</f>
        <v>Training Associate</v>
      </c>
      <c r="X34" s="190">
        <f>VLOOKUP(W34,Agentlevels,2,)</f>
        <v>0.26</v>
      </c>
      <c r="Y34" s="209">
        <f>MAX(0,'Personal AUM'!$C$9-'Baseshop Monthly Activity'!X34)</f>
        <v>0.4</v>
      </c>
      <c r="Z34" s="77" t="s">
        <v>2</v>
      </c>
      <c r="AA34" s="63">
        <f>ROUNDUP((K34*G34*84%)+(R34*G34*84%),0)</f>
        <v>0</v>
      </c>
      <c r="AB34" s="163">
        <f>SUM(AA34:AA36)</f>
        <v>3419</v>
      </c>
      <c r="AC34" s="64">
        <f>ROUNDUP((K34*V34*0.504%*84%)+(R34*V34*0.504%*84%)+(K34*V35*1.008%*84%)+(R34*V35*1.008%*84%),0)</f>
        <v>111</v>
      </c>
      <c r="AD34" s="163">
        <f>SUM(AC34:AC36)</f>
        <v>111</v>
      </c>
      <c r="AE34" s="165">
        <f>AB34+AD34</f>
        <v>3530</v>
      </c>
      <c r="AF34" s="64">
        <f>ROUNDUP((K34*G34*85%)+(R34*G34*84%),0)</f>
        <v>0</v>
      </c>
      <c r="AG34" s="165">
        <f>SUM(AF34:AF36)</f>
        <v>3419</v>
      </c>
      <c r="AH34" s="167">
        <f>(AE34*12)+AG34</f>
        <v>45779</v>
      </c>
      <c r="AI34" s="77" t="s">
        <v>2</v>
      </c>
      <c r="AJ34" s="62">
        <f>(K34*G34*84%*Y34)+(R34*G34*84%*Y34)</f>
        <v>0</v>
      </c>
      <c r="AK34" s="169">
        <f>SUM(AJ34:AJ36)</f>
        <v>1367.2175999999997</v>
      </c>
      <c r="AL34" s="62">
        <f>(K34*V34*0.504%*84%*Y34)+(K34*V35*1.008%*84%*Y34)+(R34*V34*0.504%*84%*Y34)+(R34*V35*1.008%*84%*Y34)</f>
        <v>44.249587200000008</v>
      </c>
      <c r="AM34" s="158">
        <f>SUM(AL34:AL36)</f>
        <v>44.249587200000008</v>
      </c>
      <c r="AN34" s="156">
        <f>(AK34+AM34)*12</f>
        <v>16937.606246399995</v>
      </c>
      <c r="AO34" s="158">
        <f>IF(D34="No",MIN(75000,(M34+T34)*H34*84%*Y34),MIN(100000,(M34+T34)*H34*84%*Y34))</f>
        <v>3033.0720000000001</v>
      </c>
      <c r="AP34" s="161">
        <f>AN34+AO34</f>
        <v>19970.678246399995</v>
      </c>
    </row>
    <row r="35" spans="2:42" s="28" customFormat="1" hidden="1" outlineLevel="2" x14ac:dyDescent="0.2">
      <c r="B35" s="175"/>
      <c r="C35" s="177"/>
      <c r="D35" s="180"/>
      <c r="E35" s="220"/>
      <c r="F35" s="68" t="s">
        <v>52</v>
      </c>
      <c r="G35" s="55">
        <f t="shared" si="0"/>
        <v>3.5000000000000003E-2</v>
      </c>
      <c r="H35" s="182"/>
      <c r="I35" s="56">
        <v>20000</v>
      </c>
      <c r="J35" s="57">
        <v>1</v>
      </c>
      <c r="K35" s="58">
        <f t="shared" ref="K35:K36" si="14">I35*J35</f>
        <v>20000</v>
      </c>
      <c r="L35" s="184"/>
      <c r="M35" s="186"/>
      <c r="N35" s="68" t="s">
        <v>52</v>
      </c>
      <c r="O35" s="55">
        <f t="shared" si="1"/>
        <v>3.5000000000000003E-2</v>
      </c>
      <c r="P35" s="60">
        <v>100</v>
      </c>
      <c r="Q35" s="61">
        <v>1</v>
      </c>
      <c r="R35" s="62">
        <f t="shared" ref="R35:R36" si="15">P35*Q35</f>
        <v>100</v>
      </c>
      <c r="S35" s="169"/>
      <c r="T35" s="188"/>
      <c r="U35" s="84" t="s">
        <v>25</v>
      </c>
      <c r="V35" s="65">
        <f>1-V34</f>
        <v>0.30000000000000004</v>
      </c>
      <c r="W35" s="190"/>
      <c r="X35" s="190"/>
      <c r="Y35" s="210"/>
      <c r="Z35" s="77" t="s">
        <v>52</v>
      </c>
      <c r="AA35" s="63">
        <f>ROUNDUP((K35*G35*84%)+(R35*O35*84%),0)</f>
        <v>591</v>
      </c>
      <c r="AB35" s="163"/>
      <c r="AC35" s="64">
        <f>ROUNDUP((K35*V34*0.504%*84%)+(R35*V34*0.504%*84%)+(K35*V35*1.008%*84%)+(R35*V35*1.008%*84%),0)*0</f>
        <v>0</v>
      </c>
      <c r="AD35" s="163"/>
      <c r="AE35" s="165"/>
      <c r="AF35" s="64">
        <f>ROUNDUP((K35*G35*84%)+(R35*G35*84%),0)</f>
        <v>591</v>
      </c>
      <c r="AG35" s="165"/>
      <c r="AH35" s="167"/>
      <c r="AI35" s="77" t="s">
        <v>52</v>
      </c>
      <c r="AJ35" s="62">
        <f>(K35*G35*84%*Y34)+(R35*G35*84%*Y34)</f>
        <v>236.37600000000003</v>
      </c>
      <c r="AK35" s="169"/>
      <c r="AL35" s="62">
        <f>((K35*V34*0.504%*84%*Y34)+(K35*V35*1.008%*84%*Y34)+(R35*V34*0.504%*84%*Y34)+(R35*V35*1.008%*84%*Y34))*0</f>
        <v>0</v>
      </c>
      <c r="AM35" s="171"/>
      <c r="AN35" s="156"/>
      <c r="AO35" s="159"/>
      <c r="AP35" s="161"/>
    </row>
    <row r="36" spans="2:42" s="28" customFormat="1" ht="16" hidden="1" outlineLevel="2" thickBot="1" x14ac:dyDescent="0.25">
      <c r="B36" s="176"/>
      <c r="C36" s="178"/>
      <c r="D36" s="181"/>
      <c r="E36" s="221"/>
      <c r="F36" s="69" t="s">
        <v>53</v>
      </c>
      <c r="G36" s="70">
        <f t="shared" si="0"/>
        <v>5.5999999999999994E-2</v>
      </c>
      <c r="H36" s="183"/>
      <c r="I36" s="71">
        <v>60000</v>
      </c>
      <c r="J36" s="72">
        <v>1</v>
      </c>
      <c r="K36" s="58">
        <f t="shared" si="14"/>
        <v>60000</v>
      </c>
      <c r="L36" s="185"/>
      <c r="M36" s="187"/>
      <c r="N36" s="69" t="s">
        <v>53</v>
      </c>
      <c r="O36" s="70">
        <f t="shared" si="1"/>
        <v>5.5999999999999994E-2</v>
      </c>
      <c r="P36" s="74">
        <v>100</v>
      </c>
      <c r="Q36" s="75">
        <v>1</v>
      </c>
      <c r="R36" s="62">
        <f t="shared" si="15"/>
        <v>100</v>
      </c>
      <c r="S36" s="170"/>
      <c r="T36" s="189"/>
      <c r="U36" s="85" t="s">
        <v>65</v>
      </c>
      <c r="V36" s="86">
        <f>SUM(V34:V35)</f>
        <v>1</v>
      </c>
      <c r="W36" s="191"/>
      <c r="X36" s="191"/>
      <c r="Y36" s="211"/>
      <c r="Z36" s="78" t="s">
        <v>53</v>
      </c>
      <c r="AA36" s="79">
        <f>ROUNDUP((K36*G36*84%)+(R36*O36*84%),0)</f>
        <v>2828</v>
      </c>
      <c r="AB36" s="164"/>
      <c r="AC36" s="80">
        <f>ROUNDUP((K36*V34*0.504%*84%)+(R36*V34*0.504%*84%)+(K36*V35*1.008%*84%)+(R36*V35*1.008%*84%),0)*0</f>
        <v>0</v>
      </c>
      <c r="AD36" s="164"/>
      <c r="AE36" s="166"/>
      <c r="AF36" s="80">
        <f>ROUNDUP((K36*G36*84%)+(R36*G36*84%),0)</f>
        <v>2828</v>
      </c>
      <c r="AG36" s="166"/>
      <c r="AH36" s="168"/>
      <c r="AI36" s="78" t="s">
        <v>53</v>
      </c>
      <c r="AJ36" s="76">
        <f>(K36*G36*84%*Y34)+(R36*G36*84%*Y34)</f>
        <v>1130.8415999999997</v>
      </c>
      <c r="AK36" s="170"/>
      <c r="AL36" s="76">
        <f>((K36*V34*0.504%*84%*Y34)+(K36*V35*1.008%*84%*Y34)+(R36*V34*0.504%*84%*Y34)+(R36*V35*1.008%*84%*Y34))*0</f>
        <v>0</v>
      </c>
      <c r="AM36" s="172"/>
      <c r="AN36" s="157"/>
      <c r="AO36" s="160"/>
      <c r="AP36" s="162"/>
    </row>
    <row r="37" spans="2:42" s="28" customFormat="1" hidden="1" outlineLevel="2" x14ac:dyDescent="0.2">
      <c r="B37" s="175" t="s">
        <v>55</v>
      </c>
      <c r="C37" s="177" t="s">
        <v>55</v>
      </c>
      <c r="D37" s="179" t="s">
        <v>79</v>
      </c>
      <c r="E37" s="220" t="s">
        <v>55</v>
      </c>
      <c r="F37" s="68" t="s">
        <v>2</v>
      </c>
      <c r="G37" s="55">
        <f t="shared" si="0"/>
        <v>0</v>
      </c>
      <c r="H37" s="182">
        <f>IF(D37="No",VLOOKUP((M37+T37),bonusrate,3),(VLOOKUP((M37+T37),bonusrate2,3)))</f>
        <v>7.4999999999999997E-3</v>
      </c>
      <c r="I37" s="56">
        <v>20000</v>
      </c>
      <c r="J37" s="57">
        <v>1</v>
      </c>
      <c r="K37" s="58">
        <f>I37*J37</f>
        <v>20000</v>
      </c>
      <c r="L37" s="184">
        <f>SUM(K37:K39)</f>
        <v>100000</v>
      </c>
      <c r="M37" s="186">
        <f>L37*12</f>
        <v>1200000</v>
      </c>
      <c r="N37" s="68" t="s">
        <v>2</v>
      </c>
      <c r="O37" s="55">
        <f t="shared" si="1"/>
        <v>0</v>
      </c>
      <c r="P37" s="60">
        <v>100</v>
      </c>
      <c r="Q37" s="61">
        <v>1</v>
      </c>
      <c r="R37" s="62">
        <f>P37*Q37</f>
        <v>100</v>
      </c>
      <c r="S37" s="169">
        <f>SUM(R37:R39)</f>
        <v>300</v>
      </c>
      <c r="T37" s="188">
        <f>S37*12</f>
        <v>3600</v>
      </c>
      <c r="U37" s="84" t="s">
        <v>64</v>
      </c>
      <c r="V37" s="59">
        <v>0.7</v>
      </c>
      <c r="W37" s="190" t="str">
        <f>$B$6</f>
        <v>Training Associate</v>
      </c>
      <c r="X37" s="190">
        <f>VLOOKUP(W37,Agentlevels,2,)</f>
        <v>0.26</v>
      </c>
      <c r="Y37" s="209">
        <f>MAX(0,'Personal AUM'!$C$9-'Baseshop Monthly Activity'!X37)</f>
        <v>0.4</v>
      </c>
      <c r="Z37" s="77" t="s">
        <v>2</v>
      </c>
      <c r="AA37" s="63">
        <f>ROUNDUP((K37*G37*84%)+(R37*G37*84%),0)</f>
        <v>0</v>
      </c>
      <c r="AB37" s="163">
        <f>SUM(AA37:AA39)</f>
        <v>3419</v>
      </c>
      <c r="AC37" s="64">
        <f>ROUNDUP((K37*V37*0.504%*84%)+(R37*V37*0.504%*84%)+(K37*V38*1.008%*84%)+(R37*V38*1.008%*84%),0)</f>
        <v>111</v>
      </c>
      <c r="AD37" s="163">
        <f>SUM(AC37:AC39)</f>
        <v>111</v>
      </c>
      <c r="AE37" s="165">
        <f>AB37+AD37</f>
        <v>3530</v>
      </c>
      <c r="AF37" s="64">
        <f>ROUNDUP((K37*G37*85%)+(R37*G37*84%),0)</f>
        <v>0</v>
      </c>
      <c r="AG37" s="165">
        <f>SUM(AF37:AF39)</f>
        <v>3419</v>
      </c>
      <c r="AH37" s="167">
        <f>(AE37*12)+AG37</f>
        <v>45779</v>
      </c>
      <c r="AI37" s="77" t="s">
        <v>2</v>
      </c>
      <c r="AJ37" s="62">
        <f>(K37*G37*84%*Y37)+(R37*G37*84%*Y37)</f>
        <v>0</v>
      </c>
      <c r="AK37" s="169">
        <f>SUM(AJ37:AJ39)</f>
        <v>1367.2175999999997</v>
      </c>
      <c r="AL37" s="62">
        <f>(K37*V37*0.504%*84%*Y37)+(K37*V38*1.008%*84%*Y37)+(R37*V37*0.504%*84%*Y37)+(R37*V38*1.008%*84%*Y37)</f>
        <v>44.249587200000008</v>
      </c>
      <c r="AM37" s="158">
        <f>SUM(AL37:AL39)</f>
        <v>44.249587200000008</v>
      </c>
      <c r="AN37" s="156">
        <f>(AK37+AM37)*12</f>
        <v>16937.606246399995</v>
      </c>
      <c r="AO37" s="158">
        <f>IF(D37="No",MIN(75000,(M37+T37)*H37*84%*Y37),MIN(100000,(M37+T37)*H37*84%*Y37))</f>
        <v>3033.0720000000001</v>
      </c>
      <c r="AP37" s="161">
        <f>AN37+AO37</f>
        <v>19970.678246399995</v>
      </c>
    </row>
    <row r="38" spans="2:42" s="28" customFormat="1" hidden="1" outlineLevel="2" x14ac:dyDescent="0.2">
      <c r="B38" s="175"/>
      <c r="C38" s="177"/>
      <c r="D38" s="180"/>
      <c r="E38" s="220"/>
      <c r="F38" s="68" t="s">
        <v>52</v>
      </c>
      <c r="G38" s="55">
        <f t="shared" si="0"/>
        <v>3.5000000000000003E-2</v>
      </c>
      <c r="H38" s="182"/>
      <c r="I38" s="56">
        <v>20000</v>
      </c>
      <c r="J38" s="57">
        <v>1</v>
      </c>
      <c r="K38" s="58">
        <f t="shared" ref="K38:K39" si="16">I38*J38</f>
        <v>20000</v>
      </c>
      <c r="L38" s="184"/>
      <c r="M38" s="186"/>
      <c r="N38" s="68" t="s">
        <v>52</v>
      </c>
      <c r="O38" s="55">
        <f t="shared" si="1"/>
        <v>3.5000000000000003E-2</v>
      </c>
      <c r="P38" s="60">
        <v>100</v>
      </c>
      <c r="Q38" s="61">
        <v>1</v>
      </c>
      <c r="R38" s="62">
        <f t="shared" ref="R38:R39" si="17">P38*Q38</f>
        <v>100</v>
      </c>
      <c r="S38" s="169"/>
      <c r="T38" s="188"/>
      <c r="U38" s="84" t="s">
        <v>25</v>
      </c>
      <c r="V38" s="65">
        <f>1-V37</f>
        <v>0.30000000000000004</v>
      </c>
      <c r="W38" s="190"/>
      <c r="X38" s="190"/>
      <c r="Y38" s="210"/>
      <c r="Z38" s="77" t="s">
        <v>52</v>
      </c>
      <c r="AA38" s="63">
        <f>ROUNDUP((K38*G38*84%)+(R38*O38*84%),0)</f>
        <v>591</v>
      </c>
      <c r="AB38" s="163"/>
      <c r="AC38" s="64">
        <f>ROUNDUP((K38*V37*0.504%*84%)+(R38*V37*0.504%*84%)+(K38*V38*1.008%*84%)+(R38*V38*1.008%*84%),0)*0</f>
        <v>0</v>
      </c>
      <c r="AD38" s="163"/>
      <c r="AE38" s="165"/>
      <c r="AF38" s="64">
        <f>ROUNDUP((K38*G38*84%)+(R38*G38*84%),0)</f>
        <v>591</v>
      </c>
      <c r="AG38" s="165"/>
      <c r="AH38" s="167"/>
      <c r="AI38" s="77" t="s">
        <v>52</v>
      </c>
      <c r="AJ38" s="62">
        <f>(K38*G38*84%*Y37)+(R38*G38*84%*Y37)</f>
        <v>236.37600000000003</v>
      </c>
      <c r="AK38" s="169"/>
      <c r="AL38" s="62">
        <f>((K38*V37*0.504%*84%*Y37)+(K38*V38*1.008%*84%*Y37)+(R38*V37*0.504%*84%*Y37)+(R38*V38*1.008%*84%*Y37))*0</f>
        <v>0</v>
      </c>
      <c r="AM38" s="171"/>
      <c r="AN38" s="156"/>
      <c r="AO38" s="159"/>
      <c r="AP38" s="161"/>
    </row>
    <row r="39" spans="2:42" s="28" customFormat="1" ht="16" hidden="1" outlineLevel="2" thickBot="1" x14ac:dyDescent="0.25">
      <c r="B39" s="176"/>
      <c r="C39" s="178"/>
      <c r="D39" s="181"/>
      <c r="E39" s="221"/>
      <c r="F39" s="69" t="s">
        <v>53</v>
      </c>
      <c r="G39" s="70">
        <f t="shared" si="0"/>
        <v>5.5999999999999994E-2</v>
      </c>
      <c r="H39" s="183"/>
      <c r="I39" s="71">
        <v>60000</v>
      </c>
      <c r="J39" s="72">
        <v>1</v>
      </c>
      <c r="K39" s="58">
        <f t="shared" si="16"/>
        <v>60000</v>
      </c>
      <c r="L39" s="185"/>
      <c r="M39" s="187"/>
      <c r="N39" s="69" t="s">
        <v>53</v>
      </c>
      <c r="O39" s="70">
        <f t="shared" si="1"/>
        <v>5.5999999999999994E-2</v>
      </c>
      <c r="P39" s="74">
        <v>100</v>
      </c>
      <c r="Q39" s="75">
        <v>1</v>
      </c>
      <c r="R39" s="62">
        <f t="shared" si="17"/>
        <v>100</v>
      </c>
      <c r="S39" s="170"/>
      <c r="T39" s="189"/>
      <c r="U39" s="85" t="s">
        <v>65</v>
      </c>
      <c r="V39" s="86">
        <f>SUM(V37:V38)</f>
        <v>1</v>
      </c>
      <c r="W39" s="191"/>
      <c r="X39" s="191"/>
      <c r="Y39" s="211"/>
      <c r="Z39" s="78" t="s">
        <v>53</v>
      </c>
      <c r="AA39" s="79">
        <f>ROUNDUP((K39*G39*84%)+(R39*O39*84%),0)</f>
        <v>2828</v>
      </c>
      <c r="AB39" s="164"/>
      <c r="AC39" s="80">
        <f>ROUNDUP((K39*V37*0.504%*84%)+(R39*V37*0.504%*84%)+(K39*V38*1.008%*84%)+(R39*V38*1.008%*84%),0)*0</f>
        <v>0</v>
      </c>
      <c r="AD39" s="164"/>
      <c r="AE39" s="166"/>
      <c r="AF39" s="80">
        <f>ROUNDUP((K39*G39*84%)+(R39*G39*84%),0)</f>
        <v>2828</v>
      </c>
      <c r="AG39" s="166"/>
      <c r="AH39" s="168"/>
      <c r="AI39" s="78" t="s">
        <v>53</v>
      </c>
      <c r="AJ39" s="76">
        <f>(K39*G39*84%*Y37)+(R39*G39*84%*Y37)</f>
        <v>1130.8415999999997</v>
      </c>
      <c r="AK39" s="170"/>
      <c r="AL39" s="76">
        <f>((K39*V37*0.504%*84%*Y37)+(K39*V38*1.008%*84%*Y37)+(R39*V37*0.504%*84%*Y37)+(R39*V38*1.008%*84%*Y37))*0</f>
        <v>0</v>
      </c>
      <c r="AM39" s="172"/>
      <c r="AN39" s="157"/>
      <c r="AO39" s="160"/>
      <c r="AP39" s="162"/>
    </row>
    <row r="40" spans="2:42" s="28" customFormat="1" hidden="1" outlineLevel="2" x14ac:dyDescent="0.2">
      <c r="B40" s="175" t="s">
        <v>55</v>
      </c>
      <c r="C40" s="177" t="s">
        <v>55</v>
      </c>
      <c r="D40" s="179" t="s">
        <v>79</v>
      </c>
      <c r="E40" s="220" t="s">
        <v>55</v>
      </c>
      <c r="F40" s="68" t="s">
        <v>2</v>
      </c>
      <c r="G40" s="55">
        <f t="shared" si="0"/>
        <v>0</v>
      </c>
      <c r="H40" s="182">
        <f>IF(D40="No",VLOOKUP((M40+T40),bonusrate,3),(VLOOKUP((M40+T40),bonusrate2,3)))</f>
        <v>7.4999999999999997E-3</v>
      </c>
      <c r="I40" s="56">
        <v>20000</v>
      </c>
      <c r="J40" s="57">
        <v>1</v>
      </c>
      <c r="K40" s="58">
        <f>I40*J40</f>
        <v>20000</v>
      </c>
      <c r="L40" s="184">
        <f>SUM(K40:K42)</f>
        <v>100000</v>
      </c>
      <c r="M40" s="186">
        <f>L40*12</f>
        <v>1200000</v>
      </c>
      <c r="N40" s="68" t="s">
        <v>2</v>
      </c>
      <c r="O40" s="55">
        <f t="shared" si="1"/>
        <v>0</v>
      </c>
      <c r="P40" s="60">
        <v>100</v>
      </c>
      <c r="Q40" s="61">
        <v>1</v>
      </c>
      <c r="R40" s="62">
        <f>P40*Q40</f>
        <v>100</v>
      </c>
      <c r="S40" s="169">
        <f>SUM(R40:R42)</f>
        <v>300</v>
      </c>
      <c r="T40" s="188">
        <f>S40*12</f>
        <v>3600</v>
      </c>
      <c r="U40" s="84" t="s">
        <v>64</v>
      </c>
      <c r="V40" s="59">
        <v>0.7</v>
      </c>
      <c r="W40" s="190" t="str">
        <f>$B$6</f>
        <v>Training Associate</v>
      </c>
      <c r="X40" s="190">
        <f>VLOOKUP(W40,Agentlevels,2,)</f>
        <v>0.26</v>
      </c>
      <c r="Y40" s="209">
        <f>MAX(0,'Personal AUM'!$C$9-'Baseshop Monthly Activity'!X40)</f>
        <v>0.4</v>
      </c>
      <c r="Z40" s="77" t="s">
        <v>2</v>
      </c>
      <c r="AA40" s="63">
        <f>ROUNDUP((K40*G40*84%)+(R40*G40*84%),0)</f>
        <v>0</v>
      </c>
      <c r="AB40" s="163">
        <f>SUM(AA40:AA42)</f>
        <v>3419</v>
      </c>
      <c r="AC40" s="64">
        <f>ROUNDUP((K40*V40*0.504%*84%)+(R40*V40*0.504%*84%)+(K40*V41*1.008%*84%)+(R40*V41*1.008%*84%),0)</f>
        <v>111</v>
      </c>
      <c r="AD40" s="163">
        <f>SUM(AC40:AC42)</f>
        <v>111</v>
      </c>
      <c r="AE40" s="165">
        <f>AB40+AD40</f>
        <v>3530</v>
      </c>
      <c r="AF40" s="64">
        <f>ROUNDUP((K40*G40*85%)+(R40*G40*84%),0)</f>
        <v>0</v>
      </c>
      <c r="AG40" s="165">
        <f>SUM(AF40:AF42)</f>
        <v>3419</v>
      </c>
      <c r="AH40" s="167">
        <f>(AE40*12)+AG40</f>
        <v>45779</v>
      </c>
      <c r="AI40" s="77" t="s">
        <v>2</v>
      </c>
      <c r="AJ40" s="62">
        <f>(K40*G40*84%*Y40)+(R40*G40*84%*Y40)</f>
        <v>0</v>
      </c>
      <c r="AK40" s="169">
        <f>SUM(AJ40:AJ42)</f>
        <v>1367.2175999999997</v>
      </c>
      <c r="AL40" s="62">
        <f>(K40*V40*0.504%*84%*Y40)+(K40*V41*1.008%*84%*Y40)+(R40*V40*0.504%*84%*Y40)+(R40*V41*1.008%*84%*Y40)</f>
        <v>44.249587200000008</v>
      </c>
      <c r="AM40" s="158">
        <f>SUM(AL40:AL42)</f>
        <v>44.249587200000008</v>
      </c>
      <c r="AN40" s="156">
        <f>(AK40+AM40)*12</f>
        <v>16937.606246399995</v>
      </c>
      <c r="AO40" s="158">
        <f>IF(D40="No",MIN(75000,(M40+T40)*H40*84%*Y40),MIN(100000,(M40+T40)*H40*84%*Y40))</f>
        <v>3033.0720000000001</v>
      </c>
      <c r="AP40" s="161">
        <f>AN40+AO40</f>
        <v>19970.678246399995</v>
      </c>
    </row>
    <row r="41" spans="2:42" s="28" customFormat="1" hidden="1" outlineLevel="2" x14ac:dyDescent="0.2">
      <c r="B41" s="175"/>
      <c r="C41" s="177"/>
      <c r="D41" s="180"/>
      <c r="E41" s="220"/>
      <c r="F41" s="68" t="s">
        <v>52</v>
      </c>
      <c r="G41" s="55">
        <f t="shared" si="0"/>
        <v>3.5000000000000003E-2</v>
      </c>
      <c r="H41" s="182"/>
      <c r="I41" s="56">
        <v>20000</v>
      </c>
      <c r="J41" s="57">
        <v>1</v>
      </c>
      <c r="K41" s="58">
        <f t="shared" ref="K41:K42" si="18">I41*J41</f>
        <v>20000</v>
      </c>
      <c r="L41" s="184"/>
      <c r="M41" s="186"/>
      <c r="N41" s="68" t="s">
        <v>52</v>
      </c>
      <c r="O41" s="55">
        <f t="shared" si="1"/>
        <v>3.5000000000000003E-2</v>
      </c>
      <c r="P41" s="60">
        <v>100</v>
      </c>
      <c r="Q41" s="61">
        <v>1</v>
      </c>
      <c r="R41" s="62">
        <f t="shared" ref="R41:R42" si="19">P41*Q41</f>
        <v>100</v>
      </c>
      <c r="S41" s="169"/>
      <c r="T41" s="188"/>
      <c r="U41" s="84" t="s">
        <v>25</v>
      </c>
      <c r="V41" s="65">
        <f>1-V40</f>
        <v>0.30000000000000004</v>
      </c>
      <c r="W41" s="190"/>
      <c r="X41" s="190"/>
      <c r="Y41" s="210"/>
      <c r="Z41" s="77" t="s">
        <v>52</v>
      </c>
      <c r="AA41" s="63">
        <f>ROUNDUP((K41*G41*84%)+(R41*O41*84%),0)</f>
        <v>591</v>
      </c>
      <c r="AB41" s="163"/>
      <c r="AC41" s="64">
        <f>ROUNDUP((K41*V40*0.504%*84%)+(R41*V40*0.504%*84%)+(K41*V41*1.008%*84%)+(R41*V41*1.008%*84%),0)*0</f>
        <v>0</v>
      </c>
      <c r="AD41" s="163"/>
      <c r="AE41" s="165"/>
      <c r="AF41" s="64">
        <f>ROUNDUP((K41*G41*84%)+(R41*G41*84%),0)</f>
        <v>591</v>
      </c>
      <c r="AG41" s="165"/>
      <c r="AH41" s="167"/>
      <c r="AI41" s="77" t="s">
        <v>52</v>
      </c>
      <c r="AJ41" s="62">
        <f>(K41*G41*84%*Y40)+(R41*G41*84%*Y40)</f>
        <v>236.37600000000003</v>
      </c>
      <c r="AK41" s="169"/>
      <c r="AL41" s="62">
        <f>((K41*V40*0.504%*84%*Y40)+(K41*V41*1.008%*84%*Y40)+(R41*V40*0.504%*84%*Y40)+(R41*V41*1.008%*84%*Y40))*0</f>
        <v>0</v>
      </c>
      <c r="AM41" s="171"/>
      <c r="AN41" s="156"/>
      <c r="AO41" s="159"/>
      <c r="AP41" s="161"/>
    </row>
    <row r="42" spans="2:42" s="28" customFormat="1" ht="16" hidden="1" outlineLevel="2" thickBot="1" x14ac:dyDescent="0.25">
      <c r="B42" s="176"/>
      <c r="C42" s="178"/>
      <c r="D42" s="181"/>
      <c r="E42" s="221"/>
      <c r="F42" s="69" t="s">
        <v>53</v>
      </c>
      <c r="G42" s="70">
        <f t="shared" si="0"/>
        <v>5.5999999999999994E-2</v>
      </c>
      <c r="H42" s="183"/>
      <c r="I42" s="71">
        <v>60000</v>
      </c>
      <c r="J42" s="72">
        <v>1</v>
      </c>
      <c r="K42" s="58">
        <f t="shared" si="18"/>
        <v>60000</v>
      </c>
      <c r="L42" s="185"/>
      <c r="M42" s="187"/>
      <c r="N42" s="69" t="s">
        <v>53</v>
      </c>
      <c r="O42" s="70">
        <f t="shared" si="1"/>
        <v>5.5999999999999994E-2</v>
      </c>
      <c r="P42" s="74">
        <v>100</v>
      </c>
      <c r="Q42" s="75">
        <v>1</v>
      </c>
      <c r="R42" s="62">
        <f t="shared" si="19"/>
        <v>100</v>
      </c>
      <c r="S42" s="170"/>
      <c r="T42" s="189"/>
      <c r="U42" s="85" t="s">
        <v>65</v>
      </c>
      <c r="V42" s="86">
        <f>SUM(V40:V41)</f>
        <v>1</v>
      </c>
      <c r="W42" s="191"/>
      <c r="X42" s="191"/>
      <c r="Y42" s="211"/>
      <c r="Z42" s="78" t="s">
        <v>53</v>
      </c>
      <c r="AA42" s="79">
        <f>ROUNDUP((K42*G42*84%)+(R42*O42*84%),0)</f>
        <v>2828</v>
      </c>
      <c r="AB42" s="164"/>
      <c r="AC42" s="80">
        <f>ROUNDUP((K42*V40*0.504%*84%)+(R42*V40*0.504%*84%)+(K42*V41*1.008%*84%)+(R42*V41*1.008%*84%),0)*0</f>
        <v>0</v>
      </c>
      <c r="AD42" s="164"/>
      <c r="AE42" s="166"/>
      <c r="AF42" s="80">
        <f>ROUNDUP((K42*G42*84%)+(R42*G42*84%),0)</f>
        <v>2828</v>
      </c>
      <c r="AG42" s="166"/>
      <c r="AH42" s="168"/>
      <c r="AI42" s="78" t="s">
        <v>53</v>
      </c>
      <c r="AJ42" s="76">
        <f>(K42*G42*84%*Y40)+(R42*G42*84%*Y40)</f>
        <v>1130.8415999999997</v>
      </c>
      <c r="AK42" s="170"/>
      <c r="AL42" s="76">
        <f>((K42*V40*0.504%*84%*Y40)+(K42*V41*1.008%*84%*Y40)+(R42*V40*0.504%*84%*Y40)+(R42*V41*1.008%*84%*Y40))*0</f>
        <v>0</v>
      </c>
      <c r="AM42" s="172"/>
      <c r="AN42" s="157"/>
      <c r="AO42" s="160"/>
      <c r="AP42" s="162"/>
    </row>
    <row r="43" spans="2:42" s="28" customFormat="1" hidden="1" outlineLevel="2" x14ac:dyDescent="0.2">
      <c r="B43" s="175" t="s">
        <v>55</v>
      </c>
      <c r="C43" s="177" t="s">
        <v>55</v>
      </c>
      <c r="D43" s="179" t="s">
        <v>79</v>
      </c>
      <c r="E43" s="220" t="s">
        <v>55</v>
      </c>
      <c r="F43" s="68" t="s">
        <v>2</v>
      </c>
      <c r="G43" s="55">
        <f t="shared" si="0"/>
        <v>0</v>
      </c>
      <c r="H43" s="182">
        <f>IF(D43="No",VLOOKUP((M43+T43),bonusrate,3),(VLOOKUP((M43+T43),bonusrate2,3)))</f>
        <v>7.4999999999999997E-3</v>
      </c>
      <c r="I43" s="56">
        <v>20000</v>
      </c>
      <c r="J43" s="57">
        <v>1</v>
      </c>
      <c r="K43" s="58">
        <f>I43*J43</f>
        <v>20000</v>
      </c>
      <c r="L43" s="184">
        <f>SUM(K43:K45)</f>
        <v>100000</v>
      </c>
      <c r="M43" s="186">
        <f>L43*12</f>
        <v>1200000</v>
      </c>
      <c r="N43" s="68" t="s">
        <v>2</v>
      </c>
      <c r="O43" s="55">
        <f t="shared" si="1"/>
        <v>0</v>
      </c>
      <c r="P43" s="60">
        <v>100</v>
      </c>
      <c r="Q43" s="61">
        <v>1</v>
      </c>
      <c r="R43" s="62">
        <f>P43*Q43</f>
        <v>100</v>
      </c>
      <c r="S43" s="169">
        <f>SUM(R43:R45)</f>
        <v>300</v>
      </c>
      <c r="T43" s="188">
        <f>S43*12</f>
        <v>3600</v>
      </c>
      <c r="U43" s="84" t="s">
        <v>64</v>
      </c>
      <c r="V43" s="59">
        <v>0.7</v>
      </c>
      <c r="W43" s="190" t="str">
        <f>$B$6</f>
        <v>Training Associate</v>
      </c>
      <c r="X43" s="190">
        <f>VLOOKUP(W43,Agentlevels,2,)</f>
        <v>0.26</v>
      </c>
      <c r="Y43" s="209">
        <f>MAX(0,'Personal AUM'!$C$9-'Baseshop Monthly Activity'!X43)</f>
        <v>0.4</v>
      </c>
      <c r="Z43" s="77" t="s">
        <v>2</v>
      </c>
      <c r="AA43" s="63">
        <f>ROUNDUP((K43*G43*84%)+(R43*G43*84%),0)</f>
        <v>0</v>
      </c>
      <c r="AB43" s="163">
        <f>SUM(AA43:AA45)</f>
        <v>3419</v>
      </c>
      <c r="AC43" s="64">
        <f>ROUNDUP((K43*V43*0.504%*84%)+(R43*V43*0.504%*84%)+(K43*V44*1.008%*84%)+(R43*V44*1.008%*84%),0)</f>
        <v>111</v>
      </c>
      <c r="AD43" s="163">
        <f>SUM(AC43:AC45)</f>
        <v>111</v>
      </c>
      <c r="AE43" s="165">
        <f>AB43+AD43</f>
        <v>3530</v>
      </c>
      <c r="AF43" s="64">
        <f>ROUNDUP((K43*G43*85%)+(R43*G43*84%),0)</f>
        <v>0</v>
      </c>
      <c r="AG43" s="165">
        <f>SUM(AF43:AF45)</f>
        <v>3419</v>
      </c>
      <c r="AH43" s="167">
        <f>(AE43*12)+AG43</f>
        <v>45779</v>
      </c>
      <c r="AI43" s="77" t="s">
        <v>2</v>
      </c>
      <c r="AJ43" s="62">
        <f>(K43*G43*84%*Y43)+(R43*G43*84%*Y43)</f>
        <v>0</v>
      </c>
      <c r="AK43" s="169">
        <f>SUM(AJ43:AJ45)</f>
        <v>1367.2175999999997</v>
      </c>
      <c r="AL43" s="62">
        <f>(K43*V43*0.504%*84%*Y43)+(K43*V44*1.008%*84%*Y43)+(R43*V43*0.504%*84%*Y43)+(R43*V44*1.008%*84%*Y43)</f>
        <v>44.249587200000008</v>
      </c>
      <c r="AM43" s="158">
        <f>SUM(AL43:AL45)</f>
        <v>44.249587200000008</v>
      </c>
      <c r="AN43" s="156">
        <f>(AK43+AM43)*12</f>
        <v>16937.606246399995</v>
      </c>
      <c r="AO43" s="158">
        <f>IF(D43="No",MIN(75000,(M43+T43)*H43*84%*Y43),MIN(100000,(M43+T43)*H43*84%*Y43))</f>
        <v>3033.0720000000001</v>
      </c>
      <c r="AP43" s="161">
        <f>AN43+AO43</f>
        <v>19970.678246399995</v>
      </c>
    </row>
    <row r="44" spans="2:42" s="28" customFormat="1" hidden="1" outlineLevel="2" x14ac:dyDescent="0.2">
      <c r="B44" s="175"/>
      <c r="C44" s="177"/>
      <c r="D44" s="180"/>
      <c r="E44" s="220"/>
      <c r="F44" s="68" t="s">
        <v>52</v>
      </c>
      <c r="G44" s="55">
        <f t="shared" si="0"/>
        <v>3.5000000000000003E-2</v>
      </c>
      <c r="H44" s="182"/>
      <c r="I44" s="56">
        <v>20000</v>
      </c>
      <c r="J44" s="57">
        <v>1</v>
      </c>
      <c r="K44" s="58">
        <f t="shared" ref="K44:K45" si="20">I44*J44</f>
        <v>20000</v>
      </c>
      <c r="L44" s="184"/>
      <c r="M44" s="186"/>
      <c r="N44" s="68" t="s">
        <v>52</v>
      </c>
      <c r="O44" s="55">
        <f t="shared" si="1"/>
        <v>3.5000000000000003E-2</v>
      </c>
      <c r="P44" s="60">
        <v>100</v>
      </c>
      <c r="Q44" s="61">
        <v>1</v>
      </c>
      <c r="R44" s="62">
        <f t="shared" ref="R44:R45" si="21">P44*Q44</f>
        <v>100</v>
      </c>
      <c r="S44" s="169"/>
      <c r="T44" s="188"/>
      <c r="U44" s="84" t="s">
        <v>25</v>
      </c>
      <c r="V44" s="65">
        <f>1-V43</f>
        <v>0.30000000000000004</v>
      </c>
      <c r="W44" s="190"/>
      <c r="X44" s="190"/>
      <c r="Y44" s="210"/>
      <c r="Z44" s="77" t="s">
        <v>52</v>
      </c>
      <c r="AA44" s="63">
        <f>ROUNDUP((K44*G44*84%)+(R44*O44*84%),0)</f>
        <v>591</v>
      </c>
      <c r="AB44" s="163"/>
      <c r="AC44" s="64">
        <f>ROUNDUP((K44*V43*0.504%*84%)+(R44*V43*0.504%*84%)+(K44*V44*1.008%*84%)+(R44*V44*1.008%*84%),0)*0</f>
        <v>0</v>
      </c>
      <c r="AD44" s="163"/>
      <c r="AE44" s="165"/>
      <c r="AF44" s="64">
        <f>ROUNDUP((K44*G44*84%)+(R44*G44*84%),0)</f>
        <v>591</v>
      </c>
      <c r="AG44" s="165"/>
      <c r="AH44" s="167"/>
      <c r="AI44" s="77" t="s">
        <v>52</v>
      </c>
      <c r="AJ44" s="62">
        <f>(K44*G44*84%*Y43)+(R44*G44*84%*Y43)</f>
        <v>236.37600000000003</v>
      </c>
      <c r="AK44" s="169"/>
      <c r="AL44" s="62">
        <f>((K44*V43*0.504%*84%*Y43)+(K44*V44*1.008%*84%*Y43)+(R44*V43*0.504%*84%*Y43)+(R44*V44*1.008%*84%*Y43))*0</f>
        <v>0</v>
      </c>
      <c r="AM44" s="171"/>
      <c r="AN44" s="156"/>
      <c r="AO44" s="159"/>
      <c r="AP44" s="161"/>
    </row>
    <row r="45" spans="2:42" s="28" customFormat="1" ht="16" hidden="1" outlineLevel="2" thickBot="1" x14ac:dyDescent="0.25">
      <c r="B45" s="176"/>
      <c r="C45" s="178"/>
      <c r="D45" s="181"/>
      <c r="E45" s="221"/>
      <c r="F45" s="69" t="s">
        <v>53</v>
      </c>
      <c r="G45" s="70">
        <f t="shared" si="0"/>
        <v>5.5999999999999994E-2</v>
      </c>
      <c r="H45" s="183"/>
      <c r="I45" s="71">
        <v>60000</v>
      </c>
      <c r="J45" s="72">
        <v>1</v>
      </c>
      <c r="K45" s="58">
        <f t="shared" si="20"/>
        <v>60000</v>
      </c>
      <c r="L45" s="185"/>
      <c r="M45" s="187"/>
      <c r="N45" s="69" t="s">
        <v>53</v>
      </c>
      <c r="O45" s="70">
        <f t="shared" si="1"/>
        <v>5.5999999999999994E-2</v>
      </c>
      <c r="P45" s="74">
        <v>100</v>
      </c>
      <c r="Q45" s="75">
        <v>1</v>
      </c>
      <c r="R45" s="62">
        <f t="shared" si="21"/>
        <v>100</v>
      </c>
      <c r="S45" s="170"/>
      <c r="T45" s="189"/>
      <c r="U45" s="85" t="s">
        <v>65</v>
      </c>
      <c r="V45" s="86">
        <f>SUM(V43:V44)</f>
        <v>1</v>
      </c>
      <c r="W45" s="191"/>
      <c r="X45" s="191"/>
      <c r="Y45" s="211"/>
      <c r="Z45" s="78" t="s">
        <v>53</v>
      </c>
      <c r="AA45" s="79">
        <f>ROUNDUP((K45*G45*84%)+(R45*O45*84%),0)</f>
        <v>2828</v>
      </c>
      <c r="AB45" s="164"/>
      <c r="AC45" s="80">
        <f>ROUNDUP((K45*V43*0.504%*84%)+(R45*V43*0.504%*84%)+(K45*V44*1.008%*84%)+(R45*V44*1.008%*84%),0)*0</f>
        <v>0</v>
      </c>
      <c r="AD45" s="164"/>
      <c r="AE45" s="166"/>
      <c r="AF45" s="80">
        <f>ROUNDUP((K45*G45*84%)+(R45*G45*84%),0)</f>
        <v>2828</v>
      </c>
      <c r="AG45" s="166"/>
      <c r="AH45" s="168"/>
      <c r="AI45" s="78" t="s">
        <v>53</v>
      </c>
      <c r="AJ45" s="76">
        <f>(K45*G45*84%*Y43)+(R45*G45*84%*Y43)</f>
        <v>1130.8415999999997</v>
      </c>
      <c r="AK45" s="170"/>
      <c r="AL45" s="76">
        <f>((K45*V43*0.504%*84%*Y43)+(K45*V44*1.008%*84%*Y43)+(R45*V43*0.504%*84%*Y43)+(R45*V44*1.008%*84%*Y43))*0</f>
        <v>0</v>
      </c>
      <c r="AM45" s="172"/>
      <c r="AN45" s="157"/>
      <c r="AO45" s="160"/>
      <c r="AP45" s="162"/>
    </row>
    <row r="46" spans="2:42" ht="20" thickBot="1" x14ac:dyDescent="0.3">
      <c r="G46" s="11"/>
      <c r="H46" s="11"/>
      <c r="I46" s="11"/>
      <c r="M46" s="2"/>
      <c r="N46" s="2"/>
      <c r="O46" s="2"/>
      <c r="P46" s="2"/>
      <c r="Q46" s="2"/>
      <c r="Z46" s="250" t="s">
        <v>30</v>
      </c>
      <c r="AA46" s="251"/>
      <c r="AB46" s="106">
        <f>SUM(AB16:AB45)</f>
        <v>34190</v>
      </c>
      <c r="AC46" s="106">
        <f t="shared" ref="AC46:AH46" si="22">SUM(AC16:AC45)</f>
        <v>1110</v>
      </c>
      <c r="AD46" s="106">
        <f t="shared" si="22"/>
        <v>1110</v>
      </c>
      <c r="AE46" s="106">
        <f t="shared" si="22"/>
        <v>35300</v>
      </c>
      <c r="AF46" s="106">
        <f t="shared" si="22"/>
        <v>34190</v>
      </c>
      <c r="AG46" s="106">
        <f t="shared" si="22"/>
        <v>34190</v>
      </c>
      <c r="AH46" s="106">
        <f t="shared" si="22"/>
        <v>457790</v>
      </c>
      <c r="AI46" s="252"/>
      <c r="AJ46" s="253"/>
      <c r="AK46" s="107">
        <f t="shared" ref="AK46" si="23">SUM(AK16:AK45)</f>
        <v>13672.175999999998</v>
      </c>
      <c r="AL46" s="108"/>
      <c r="AM46" s="107">
        <f t="shared" ref="AM46:AO46" si="24">SUM(AM16:AM45)</f>
        <v>442.49587200000008</v>
      </c>
      <c r="AN46" s="107">
        <f t="shared" si="24"/>
        <v>169376.06246399993</v>
      </c>
      <c r="AO46" s="107">
        <f t="shared" si="24"/>
        <v>30330.720000000001</v>
      </c>
      <c r="AP46" s="109">
        <f>SUM(AP16:AP45)</f>
        <v>199706.78246399996</v>
      </c>
    </row>
    <row r="47" spans="2:42" x14ac:dyDescent="0.2">
      <c r="G47" s="2"/>
      <c r="H47" s="2"/>
      <c r="I47" s="2"/>
      <c r="M47" s="2"/>
      <c r="N47" s="2"/>
      <c r="O47" s="2"/>
      <c r="P47" s="2"/>
      <c r="Q47" s="2"/>
    </row>
    <row r="48" spans="2:42" x14ac:dyDescent="0.2">
      <c r="C48" s="2"/>
      <c r="D48" s="2"/>
      <c r="E48" s="2"/>
      <c r="F48" s="2"/>
      <c r="G48" s="2"/>
      <c r="H48" s="2"/>
      <c r="I48" s="2"/>
      <c r="M48" s="7"/>
      <c r="N48" s="7"/>
      <c r="O48" s="7"/>
      <c r="P48" s="7"/>
      <c r="Q48" s="7"/>
    </row>
    <row r="49" spans="3:18" x14ac:dyDescent="0.2">
      <c r="C49" s="7"/>
      <c r="D49" s="7"/>
      <c r="E49" s="7"/>
      <c r="F49" s="7"/>
      <c r="G49" s="103"/>
      <c r="H49" s="21"/>
      <c r="I49" s="103"/>
      <c r="J49" s="4"/>
      <c r="K49" s="4"/>
      <c r="L49" s="18"/>
      <c r="M49" s="14"/>
      <c r="N49" s="14"/>
      <c r="O49" s="14"/>
      <c r="P49" s="14"/>
      <c r="Q49" s="14"/>
      <c r="R49" s="14"/>
    </row>
    <row r="50" spans="3:18" x14ac:dyDescent="0.2">
      <c r="C50" s="21"/>
      <c r="D50" s="21"/>
      <c r="E50" s="21"/>
      <c r="F50" s="21"/>
      <c r="G50" s="103"/>
      <c r="H50" s="21"/>
      <c r="I50" s="103"/>
      <c r="L50" s="18"/>
      <c r="M50" s="14"/>
      <c r="N50" s="14"/>
      <c r="O50" s="14"/>
      <c r="P50" s="14"/>
      <c r="Q50" s="14"/>
      <c r="R50" s="11"/>
    </row>
    <row r="51" spans="3:18" x14ac:dyDescent="0.2">
      <c r="C51" s="11"/>
      <c r="D51" s="11"/>
      <c r="E51" s="11"/>
      <c r="F51" s="11"/>
      <c r="G51" s="103"/>
      <c r="H51" s="21"/>
      <c r="I51" s="103"/>
      <c r="J51" s="4"/>
      <c r="K51" s="4"/>
      <c r="L51" s="18"/>
      <c r="M51" s="14"/>
      <c r="N51" s="14"/>
      <c r="O51" s="14"/>
      <c r="P51" s="14"/>
      <c r="Q51" s="14"/>
      <c r="R51" s="11"/>
    </row>
    <row r="52" spans="3:18" x14ac:dyDescent="0.2">
      <c r="C52" s="21"/>
      <c r="D52" s="21"/>
      <c r="E52" s="21"/>
      <c r="F52" s="21"/>
      <c r="G52" s="103"/>
      <c r="H52" s="21"/>
      <c r="I52" s="103"/>
    </row>
    <row r="53" spans="3:18" x14ac:dyDescent="0.2">
      <c r="C53" s="11"/>
      <c r="D53" s="11"/>
      <c r="E53" s="11"/>
      <c r="F53" s="11"/>
      <c r="G53" s="11"/>
      <c r="H53" s="11"/>
      <c r="I53" s="11"/>
    </row>
    <row r="54" spans="3:18" x14ac:dyDescent="0.2">
      <c r="C54" s="11"/>
      <c r="D54" s="11"/>
      <c r="E54" s="11"/>
      <c r="F54" s="11"/>
      <c r="G54" s="11"/>
      <c r="H54" s="11"/>
      <c r="I54" s="11"/>
      <c r="L54" s="18"/>
      <c r="M54" s="14"/>
      <c r="N54" s="14"/>
      <c r="O54" s="14"/>
      <c r="P54" s="14"/>
      <c r="Q54" s="14"/>
      <c r="R54" s="14"/>
    </row>
    <row r="55" spans="3:18" x14ac:dyDescent="0.2">
      <c r="C55" s="21"/>
      <c r="D55" s="21"/>
      <c r="E55" s="21"/>
      <c r="F55" s="21"/>
      <c r="G55" s="21"/>
      <c r="H55" s="21"/>
      <c r="I55" s="21"/>
      <c r="L55" s="18"/>
      <c r="M55" s="14"/>
      <c r="N55" s="14"/>
      <c r="O55" s="14"/>
      <c r="P55" s="14"/>
      <c r="Q55" s="14"/>
      <c r="R55" s="11"/>
    </row>
    <row r="56" spans="3:18" x14ac:dyDescent="0.2">
      <c r="C56" s="11"/>
      <c r="D56" s="11"/>
      <c r="E56" s="11"/>
      <c r="F56" s="11"/>
      <c r="G56" s="11"/>
      <c r="H56" s="11"/>
      <c r="I56" s="11"/>
      <c r="J56" s="4"/>
      <c r="K56" s="4"/>
      <c r="L56" s="18"/>
      <c r="M56" s="14"/>
      <c r="N56" s="14"/>
      <c r="O56" s="14"/>
      <c r="P56" s="14"/>
      <c r="Q56" s="14"/>
      <c r="R56" s="11"/>
    </row>
    <row r="57" spans="3:18" x14ac:dyDescent="0.2">
      <c r="C57" s="21"/>
      <c r="D57" s="21"/>
      <c r="E57" s="21"/>
      <c r="F57" s="21"/>
      <c r="G57" s="21"/>
      <c r="H57" s="21"/>
      <c r="I57" s="21"/>
    </row>
    <row r="58" spans="3:18" x14ac:dyDescent="0.2">
      <c r="C58" s="11"/>
      <c r="D58" s="11"/>
      <c r="E58" s="11"/>
      <c r="F58" s="11"/>
      <c r="G58" s="11"/>
      <c r="H58" s="11"/>
      <c r="I58" s="11"/>
    </row>
    <row r="59" spans="3:18" x14ac:dyDescent="0.2">
      <c r="C59" s="11"/>
      <c r="D59" s="11"/>
      <c r="E59" s="11"/>
      <c r="F59" s="11"/>
      <c r="G59" s="11"/>
      <c r="H59" s="11"/>
      <c r="I59" s="11"/>
      <c r="J59" s="6"/>
      <c r="K59" s="6"/>
      <c r="M59" s="6"/>
      <c r="N59" s="6"/>
      <c r="O59" s="6"/>
      <c r="P59" s="6"/>
      <c r="Q59" s="6"/>
      <c r="R59" s="6"/>
    </row>
    <row r="60" spans="3:18" x14ac:dyDescent="0.2">
      <c r="C60" s="23"/>
      <c r="D60" s="23"/>
      <c r="E60" s="23"/>
      <c r="F60" s="23"/>
      <c r="G60" s="23"/>
      <c r="H60" s="23"/>
      <c r="I60" s="23"/>
      <c r="J60" s="6"/>
      <c r="K60" s="6"/>
      <c r="M60" s="6"/>
      <c r="N60" s="6"/>
      <c r="O60" s="6"/>
      <c r="P60" s="6"/>
      <c r="Q60" s="6"/>
      <c r="R60" s="6"/>
    </row>
    <row r="61" spans="3:18" x14ac:dyDescent="0.2">
      <c r="C61" s="23"/>
      <c r="D61" s="23"/>
      <c r="E61" s="23"/>
      <c r="F61" s="23"/>
      <c r="G61" s="23"/>
      <c r="H61" s="23"/>
      <c r="I61" s="23"/>
      <c r="J61" s="6"/>
      <c r="K61" s="6"/>
      <c r="M61" s="6"/>
      <c r="N61" s="6"/>
      <c r="O61" s="6"/>
      <c r="P61" s="6"/>
      <c r="Q61" s="6"/>
      <c r="R61" s="6"/>
    </row>
    <row r="62" spans="3:18" x14ac:dyDescent="0.2">
      <c r="C62" s="23"/>
      <c r="D62" s="23"/>
      <c r="E62" s="23"/>
      <c r="F62" s="23"/>
      <c r="G62" s="23"/>
      <c r="H62" s="23"/>
      <c r="I62" s="23"/>
    </row>
    <row r="63" spans="3:18" x14ac:dyDescent="0.2">
      <c r="M63" s="2"/>
      <c r="N63" s="2"/>
      <c r="O63" s="2"/>
      <c r="P63" s="2"/>
      <c r="Q63" s="2"/>
    </row>
    <row r="64" spans="3:18" x14ac:dyDescent="0.2">
      <c r="G64" s="2"/>
      <c r="H64" s="2"/>
      <c r="I64" s="2"/>
      <c r="M64" s="16"/>
      <c r="N64" s="16"/>
      <c r="O64" s="16"/>
      <c r="P64" s="16"/>
      <c r="Q64" s="16"/>
    </row>
    <row r="65" spans="2:18" x14ac:dyDescent="0.2">
      <c r="C65" s="102"/>
      <c r="D65" s="102"/>
      <c r="E65" s="102"/>
      <c r="F65" s="102"/>
      <c r="G65" s="16"/>
      <c r="H65" s="16"/>
      <c r="I65" s="16"/>
      <c r="M65" s="16"/>
      <c r="N65" s="16"/>
      <c r="O65" s="16"/>
      <c r="P65" s="16"/>
      <c r="Q65" s="16"/>
    </row>
    <row r="66" spans="2:18" x14ac:dyDescent="0.2">
      <c r="C66" s="102"/>
      <c r="D66" s="102"/>
      <c r="E66" s="102"/>
      <c r="F66" s="102"/>
      <c r="G66" s="16"/>
      <c r="H66" s="16"/>
      <c r="I66" s="16"/>
      <c r="M66" s="16"/>
      <c r="N66" s="16"/>
      <c r="O66" s="16"/>
      <c r="P66" s="16"/>
      <c r="Q66" s="16"/>
    </row>
    <row r="67" spans="2:18" x14ac:dyDescent="0.2">
      <c r="C67" s="24"/>
      <c r="D67" s="24"/>
      <c r="E67" s="24"/>
      <c r="F67" s="24"/>
      <c r="G67" s="24"/>
      <c r="H67" s="24"/>
      <c r="I67" s="100"/>
      <c r="J67" s="4"/>
      <c r="K67" s="4"/>
      <c r="M67" s="4"/>
      <c r="N67" s="4"/>
      <c r="O67" s="4"/>
      <c r="P67" s="4"/>
      <c r="Q67" s="4"/>
      <c r="R67" s="4"/>
    </row>
    <row r="68" spans="2:18" x14ac:dyDescent="0.2">
      <c r="C68" s="21"/>
      <c r="D68" s="21"/>
      <c r="E68" s="21"/>
      <c r="F68" s="21"/>
      <c r="G68" s="21"/>
      <c r="H68" s="21"/>
      <c r="I68" s="21"/>
      <c r="J68" s="4"/>
      <c r="K68" s="4"/>
      <c r="M68" s="4"/>
      <c r="N68" s="4"/>
      <c r="O68" s="4"/>
      <c r="P68" s="4"/>
      <c r="Q68" s="4"/>
      <c r="R68" s="4"/>
    </row>
    <row r="69" spans="2:18" x14ac:dyDescent="0.2">
      <c r="C69" s="24"/>
      <c r="D69" s="24"/>
      <c r="E69" s="24"/>
      <c r="F69" s="24"/>
      <c r="G69" s="24"/>
      <c r="H69" s="24"/>
      <c r="I69" s="24"/>
      <c r="J69" s="4"/>
      <c r="K69" s="4"/>
      <c r="M69" s="4"/>
      <c r="N69" s="4"/>
      <c r="O69" s="4"/>
      <c r="P69" s="4"/>
      <c r="Q69" s="4"/>
      <c r="R69" s="4"/>
    </row>
    <row r="70" spans="2:18" x14ac:dyDescent="0.2">
      <c r="C70" s="21"/>
      <c r="D70" s="21"/>
      <c r="E70" s="21"/>
      <c r="F70" s="21"/>
      <c r="G70" s="21"/>
      <c r="H70" s="21"/>
      <c r="I70" s="21"/>
    </row>
    <row r="71" spans="2:18" x14ac:dyDescent="0.2">
      <c r="B71" s="101"/>
      <c r="C71" s="26"/>
      <c r="D71" s="26"/>
      <c r="E71" s="26"/>
      <c r="F71" s="26"/>
      <c r="G71" s="26"/>
      <c r="H71" s="26"/>
      <c r="I71" s="26"/>
      <c r="J71" s="4"/>
      <c r="K71" s="4"/>
      <c r="P71" s="4"/>
      <c r="R71" s="4"/>
    </row>
    <row r="72" spans="2:18" x14ac:dyDescent="0.2">
      <c r="B72" s="17"/>
      <c r="C72" s="16"/>
      <c r="D72" s="16"/>
      <c r="E72" s="16"/>
      <c r="F72" s="16"/>
      <c r="G72" s="16"/>
      <c r="H72" s="16"/>
      <c r="I72" s="16"/>
    </row>
    <row r="73" spans="2:18" x14ac:dyDescent="0.2">
      <c r="C73" s="11"/>
      <c r="D73" s="11"/>
      <c r="E73" s="11"/>
      <c r="F73" s="11"/>
      <c r="G73" s="11"/>
      <c r="H73" s="11"/>
      <c r="I73" s="11"/>
    </row>
    <row r="74" spans="2:18" x14ac:dyDescent="0.2">
      <c r="G74" s="11"/>
      <c r="H74" s="11"/>
      <c r="I74" s="11"/>
    </row>
    <row r="75" spans="2:18" x14ac:dyDescent="0.2">
      <c r="G75" s="2"/>
      <c r="H75" s="2"/>
      <c r="I75" s="2"/>
    </row>
    <row r="76" spans="2:18" x14ac:dyDescent="0.2">
      <c r="C76" s="2"/>
      <c r="D76" s="2"/>
      <c r="E76" s="2"/>
      <c r="F76" s="2"/>
      <c r="G76" s="2"/>
      <c r="H76" s="2"/>
      <c r="I76" s="2"/>
    </row>
    <row r="77" spans="2:18" x14ac:dyDescent="0.2">
      <c r="C77" s="7"/>
      <c r="D77" s="7"/>
      <c r="E77" s="7"/>
      <c r="F77" s="7"/>
      <c r="G77" s="103"/>
      <c r="H77" s="21"/>
      <c r="I77" s="103"/>
    </row>
    <row r="78" spans="2:18" x14ac:dyDescent="0.2">
      <c r="C78" s="21"/>
      <c r="D78" s="21"/>
      <c r="E78" s="21"/>
      <c r="F78" s="21"/>
      <c r="G78" s="103"/>
      <c r="H78" s="21"/>
      <c r="I78" s="103"/>
    </row>
    <row r="79" spans="2:18" x14ac:dyDescent="0.2">
      <c r="C79" s="11"/>
      <c r="D79" s="11"/>
      <c r="E79" s="11"/>
      <c r="F79" s="11"/>
      <c r="G79" s="103"/>
      <c r="H79" s="21"/>
      <c r="I79" s="103"/>
    </row>
    <row r="80" spans="2:18" x14ac:dyDescent="0.2">
      <c r="C80" s="21"/>
      <c r="D80" s="21"/>
      <c r="E80" s="21"/>
      <c r="F80" s="21"/>
      <c r="G80" s="103"/>
      <c r="H80" s="21"/>
      <c r="I80" s="103"/>
    </row>
    <row r="81" spans="3:9" x14ac:dyDescent="0.2">
      <c r="C81" s="11"/>
      <c r="D81" s="11"/>
      <c r="E81" s="11"/>
      <c r="F81" s="11"/>
      <c r="G81" s="11"/>
      <c r="H81" s="11"/>
      <c r="I81" s="11"/>
    </row>
    <row r="82" spans="3:9" x14ac:dyDescent="0.2">
      <c r="C82" s="11"/>
      <c r="D82" s="11"/>
      <c r="E82" s="11"/>
      <c r="F82" s="11"/>
      <c r="G82" s="11"/>
      <c r="H82" s="11"/>
      <c r="I82" s="11"/>
    </row>
    <row r="83" spans="3:9" x14ac:dyDescent="0.2">
      <c r="C83" s="21"/>
      <c r="D83" s="21"/>
      <c r="E83" s="21"/>
      <c r="F83" s="21"/>
      <c r="G83" s="21"/>
      <c r="H83" s="21"/>
      <c r="I83" s="21"/>
    </row>
    <row r="84" spans="3:9" x14ac:dyDescent="0.2">
      <c r="C84" s="11"/>
      <c r="D84" s="11"/>
      <c r="E84" s="11"/>
      <c r="F84" s="11"/>
      <c r="G84" s="11"/>
      <c r="H84" s="11"/>
      <c r="I84" s="11"/>
    </row>
    <row r="85" spans="3:9" x14ac:dyDescent="0.2">
      <c r="C85" s="21"/>
      <c r="D85" s="21"/>
      <c r="E85" s="21"/>
      <c r="F85" s="21"/>
      <c r="G85" s="21"/>
      <c r="H85" s="21"/>
      <c r="I85" s="21"/>
    </row>
    <row r="86" spans="3:9" x14ac:dyDescent="0.2">
      <c r="C86" s="11"/>
      <c r="D86" s="11"/>
      <c r="E86" s="11"/>
      <c r="F86" s="11"/>
      <c r="G86" s="11"/>
      <c r="H86" s="11"/>
      <c r="I86" s="11"/>
    </row>
    <row r="87" spans="3:9" x14ac:dyDescent="0.2">
      <c r="C87" s="11"/>
      <c r="D87" s="11"/>
      <c r="E87" s="11"/>
      <c r="F87" s="11"/>
      <c r="G87" s="11"/>
      <c r="H87" s="11"/>
      <c r="I87" s="11"/>
    </row>
    <row r="88" spans="3:9" x14ac:dyDescent="0.2">
      <c r="C88" s="23"/>
      <c r="D88" s="23"/>
      <c r="E88" s="23"/>
      <c r="F88" s="23"/>
      <c r="G88" s="23"/>
      <c r="H88" s="23"/>
      <c r="I88" s="23"/>
    </row>
    <row r="89" spans="3:9" x14ac:dyDescent="0.2">
      <c r="C89" s="23"/>
      <c r="D89" s="23"/>
      <c r="E89" s="23"/>
      <c r="F89" s="23"/>
      <c r="G89" s="23"/>
      <c r="H89" s="23"/>
      <c r="I89" s="23"/>
    </row>
    <row r="90" spans="3:9" x14ac:dyDescent="0.2">
      <c r="C90" s="23"/>
      <c r="D90" s="23"/>
      <c r="E90" s="23"/>
      <c r="F90" s="23"/>
      <c r="G90" s="23"/>
      <c r="H90" s="23"/>
      <c r="I90" s="23"/>
    </row>
    <row r="92" spans="3:9" x14ac:dyDescent="0.2">
      <c r="G92" s="2"/>
      <c r="H92" s="2"/>
      <c r="I92" s="2"/>
    </row>
    <row r="93" spans="3:9" x14ac:dyDescent="0.2">
      <c r="C93" s="102"/>
      <c r="D93" s="102"/>
      <c r="E93" s="102"/>
      <c r="F93" s="102"/>
      <c r="G93" s="16"/>
      <c r="H93" s="16"/>
      <c r="I93" s="16"/>
    </row>
    <row r="94" spans="3:9" x14ac:dyDescent="0.2">
      <c r="C94" s="102"/>
      <c r="D94" s="102"/>
      <c r="E94" s="102"/>
      <c r="F94" s="102"/>
      <c r="G94" s="16"/>
      <c r="H94" s="16"/>
      <c r="I94" s="16"/>
    </row>
    <row r="95" spans="3:9" x14ac:dyDescent="0.2">
      <c r="C95" s="24"/>
      <c r="D95" s="24"/>
      <c r="E95" s="24"/>
      <c r="F95" s="24"/>
      <c r="G95" s="24"/>
      <c r="H95" s="24"/>
      <c r="I95" s="100"/>
    </row>
    <row r="96" spans="3:9" x14ac:dyDescent="0.2">
      <c r="C96" s="21"/>
      <c r="D96" s="21"/>
      <c r="E96" s="21"/>
      <c r="F96" s="21"/>
      <c r="G96" s="21"/>
      <c r="H96" s="21"/>
      <c r="I96" s="21"/>
    </row>
    <row r="97" spans="2:9" x14ac:dyDescent="0.2">
      <c r="C97" s="24"/>
      <c r="D97" s="24"/>
      <c r="E97" s="24"/>
      <c r="F97" s="24"/>
      <c r="G97" s="24"/>
      <c r="H97" s="24"/>
      <c r="I97" s="24"/>
    </row>
    <row r="98" spans="2:9" x14ac:dyDescent="0.2">
      <c r="C98" s="21"/>
      <c r="D98" s="21"/>
      <c r="E98" s="21"/>
      <c r="F98" s="21"/>
      <c r="G98" s="21"/>
      <c r="H98" s="21"/>
      <c r="I98" s="21"/>
    </row>
    <row r="99" spans="2:9" x14ac:dyDescent="0.2">
      <c r="B99" s="101"/>
      <c r="C99" s="26"/>
      <c r="D99" s="26"/>
      <c r="E99" s="26"/>
      <c r="F99" s="26"/>
      <c r="G99" s="26"/>
      <c r="H99" s="26"/>
      <c r="I99" s="26"/>
    </row>
    <row r="100" spans="2:9" x14ac:dyDescent="0.2">
      <c r="B100" s="17"/>
      <c r="C100" s="16"/>
      <c r="D100" s="16"/>
      <c r="E100" s="16"/>
      <c r="F100" s="16"/>
      <c r="G100" s="16"/>
      <c r="H100" s="16"/>
      <c r="I100" s="16"/>
    </row>
    <row r="101" spans="2:9" x14ac:dyDescent="0.2">
      <c r="C101" s="11"/>
      <c r="D101" s="11"/>
      <c r="E101" s="11"/>
      <c r="F101" s="11"/>
      <c r="G101" s="11"/>
      <c r="H101" s="11"/>
      <c r="I101" s="11"/>
    </row>
    <row r="102" spans="2:9" x14ac:dyDescent="0.2">
      <c r="G102" s="11"/>
      <c r="H102" s="11"/>
      <c r="I102" s="11"/>
    </row>
    <row r="103" spans="2:9" x14ac:dyDescent="0.2">
      <c r="G103" s="2"/>
      <c r="H103" s="2"/>
      <c r="I103" s="2"/>
    </row>
    <row r="104" spans="2:9" x14ac:dyDescent="0.2">
      <c r="C104" s="2"/>
      <c r="D104" s="2"/>
      <c r="E104" s="2"/>
      <c r="F104" s="2"/>
      <c r="G104" s="2"/>
      <c r="H104" s="2"/>
      <c r="I104" s="2"/>
    </row>
    <row r="105" spans="2:9" x14ac:dyDescent="0.2">
      <c r="C105" s="7"/>
      <c r="D105" s="7"/>
      <c r="E105" s="7"/>
      <c r="F105" s="7"/>
      <c r="G105" s="103"/>
      <c r="H105" s="21"/>
      <c r="I105" s="103"/>
    </row>
    <row r="106" spans="2:9" x14ac:dyDescent="0.2">
      <c r="C106" s="21"/>
      <c r="D106" s="21"/>
      <c r="E106" s="21"/>
      <c r="F106" s="21"/>
      <c r="G106" s="103"/>
      <c r="H106" s="21"/>
      <c r="I106" s="103"/>
    </row>
    <row r="107" spans="2:9" x14ac:dyDescent="0.2">
      <c r="C107" s="11"/>
      <c r="D107" s="11"/>
      <c r="E107" s="11"/>
      <c r="F107" s="11"/>
      <c r="G107" s="103"/>
      <c r="H107" s="21"/>
      <c r="I107" s="103"/>
    </row>
    <row r="108" spans="2:9" x14ac:dyDescent="0.2">
      <c r="C108" s="21"/>
      <c r="D108" s="21"/>
      <c r="E108" s="21"/>
      <c r="F108" s="21"/>
      <c r="G108" s="103"/>
      <c r="H108" s="21"/>
      <c r="I108" s="103"/>
    </row>
    <row r="109" spans="2:9" x14ac:dyDescent="0.2">
      <c r="C109" s="11"/>
      <c r="D109" s="11"/>
      <c r="E109" s="11"/>
      <c r="F109" s="11"/>
      <c r="G109" s="11"/>
      <c r="H109" s="11"/>
      <c r="I109" s="11"/>
    </row>
    <row r="110" spans="2:9" x14ac:dyDescent="0.2">
      <c r="C110" s="11"/>
      <c r="D110" s="11"/>
      <c r="E110" s="11"/>
      <c r="F110" s="11"/>
      <c r="G110" s="11"/>
      <c r="H110" s="11"/>
      <c r="I110" s="11"/>
    </row>
    <row r="111" spans="2:9" x14ac:dyDescent="0.2">
      <c r="C111" s="21"/>
      <c r="D111" s="21"/>
      <c r="E111" s="21"/>
      <c r="F111" s="21"/>
      <c r="G111" s="21"/>
      <c r="H111" s="21"/>
      <c r="I111" s="21"/>
    </row>
    <row r="112" spans="2:9" x14ac:dyDescent="0.2">
      <c r="C112" s="11"/>
      <c r="D112" s="11"/>
      <c r="E112" s="11"/>
      <c r="F112" s="11"/>
      <c r="G112" s="11"/>
      <c r="H112" s="11"/>
      <c r="I112" s="11"/>
    </row>
    <row r="113" spans="3:9" x14ac:dyDescent="0.2">
      <c r="C113" s="21"/>
      <c r="D113" s="21"/>
      <c r="E113" s="21"/>
      <c r="F113" s="21"/>
      <c r="G113" s="21"/>
      <c r="H113" s="21"/>
      <c r="I113" s="21"/>
    </row>
    <row r="114" spans="3:9" x14ac:dyDescent="0.2">
      <c r="C114" s="11"/>
      <c r="D114" s="11"/>
      <c r="E114" s="11"/>
      <c r="F114" s="11"/>
      <c r="G114" s="11"/>
      <c r="H114" s="11"/>
      <c r="I114" s="11"/>
    </row>
    <row r="115" spans="3:9" x14ac:dyDescent="0.2">
      <c r="C115" s="11"/>
      <c r="D115" s="11"/>
      <c r="E115" s="11"/>
      <c r="F115" s="11"/>
      <c r="G115" s="11"/>
      <c r="H115" s="11"/>
      <c r="I115" s="11"/>
    </row>
    <row r="116" spans="3:9" x14ac:dyDescent="0.2">
      <c r="C116" s="23"/>
      <c r="D116" s="23"/>
      <c r="E116" s="23"/>
      <c r="F116" s="23"/>
      <c r="G116" s="23"/>
      <c r="H116" s="23"/>
      <c r="I116" s="23"/>
    </row>
    <row r="117" spans="3:9" x14ac:dyDescent="0.2">
      <c r="C117" s="23"/>
      <c r="D117" s="23"/>
      <c r="E117" s="23"/>
      <c r="F117" s="23"/>
      <c r="G117" s="23"/>
      <c r="H117" s="23"/>
      <c r="I117" s="23"/>
    </row>
    <row r="118" spans="3:9" x14ac:dyDescent="0.2">
      <c r="C118" s="23"/>
      <c r="D118" s="23"/>
      <c r="E118" s="23"/>
      <c r="F118" s="23"/>
      <c r="G118" s="23"/>
      <c r="H118" s="23"/>
      <c r="I118" s="23"/>
    </row>
    <row r="120" spans="3:9" x14ac:dyDescent="0.2">
      <c r="G120" s="2"/>
      <c r="H120" s="2"/>
      <c r="I120" s="2"/>
    </row>
    <row r="121" spans="3:9" x14ac:dyDescent="0.2">
      <c r="C121" s="102"/>
      <c r="D121" s="102"/>
      <c r="E121" s="102"/>
      <c r="F121" s="102"/>
      <c r="G121" s="16"/>
      <c r="H121" s="16"/>
      <c r="I121" s="16"/>
    </row>
    <row r="122" spans="3:9" x14ac:dyDescent="0.2">
      <c r="C122" s="102"/>
      <c r="D122" s="102"/>
      <c r="E122" s="102"/>
      <c r="F122" s="102"/>
      <c r="G122" s="16"/>
      <c r="H122" s="16"/>
      <c r="I122" s="16"/>
    </row>
    <row r="123" spans="3:9" x14ac:dyDescent="0.2">
      <c r="C123" s="24"/>
      <c r="D123" s="24"/>
      <c r="E123" s="24"/>
      <c r="F123" s="24"/>
      <c r="G123" s="24"/>
      <c r="H123" s="24"/>
      <c r="I123" s="100"/>
    </row>
    <row r="124" spans="3:9" x14ac:dyDescent="0.2">
      <c r="C124" s="21"/>
      <c r="D124" s="21"/>
      <c r="E124" s="21"/>
      <c r="F124" s="21"/>
      <c r="G124" s="21"/>
      <c r="H124" s="21"/>
      <c r="I124" s="21"/>
    </row>
    <row r="125" spans="3:9" x14ac:dyDescent="0.2">
      <c r="C125" s="24"/>
      <c r="D125" s="24"/>
      <c r="E125" s="24"/>
      <c r="F125" s="24"/>
      <c r="G125" s="24"/>
      <c r="H125" s="24"/>
      <c r="I125" s="24"/>
    </row>
    <row r="126" spans="3:9" x14ac:dyDescent="0.2">
      <c r="C126" s="21"/>
      <c r="D126" s="21"/>
      <c r="E126" s="21"/>
      <c r="F126" s="21"/>
      <c r="G126" s="21"/>
      <c r="H126" s="21"/>
      <c r="I126" s="21"/>
    </row>
  </sheetData>
  <mergeCells count="269">
    <mergeCell ref="Z46:AA46"/>
    <mergeCell ref="AI46:AJ46"/>
    <mergeCell ref="AK43:AK45"/>
    <mergeCell ref="AM43:AM45"/>
    <mergeCell ref="AN43:AN45"/>
    <mergeCell ref="AO43:AO45"/>
    <mergeCell ref="AP43:AP45"/>
    <mergeCell ref="AB43:AB45"/>
    <mergeCell ref="AD43:AD45"/>
    <mergeCell ref="AE43:AE45"/>
    <mergeCell ref="AG43:AG45"/>
    <mergeCell ref="AH43:AH45"/>
    <mergeCell ref="AK37:AK39"/>
    <mergeCell ref="AM37:AM39"/>
    <mergeCell ref="AM40:AM42"/>
    <mergeCell ref="AN40:AN42"/>
    <mergeCell ref="AO40:AO42"/>
    <mergeCell ref="AP40:AP42"/>
    <mergeCell ref="B43:B45"/>
    <mergeCell ref="C43:C45"/>
    <mergeCell ref="D43:D45"/>
    <mergeCell ref="E43:E45"/>
    <mergeCell ref="H43:H45"/>
    <mergeCell ref="L43:L45"/>
    <mergeCell ref="M43:M45"/>
    <mergeCell ref="S43:S45"/>
    <mergeCell ref="T43:T45"/>
    <mergeCell ref="W43:W45"/>
    <mergeCell ref="X43:X45"/>
    <mergeCell ref="Y43:Y45"/>
    <mergeCell ref="AD40:AD42"/>
    <mergeCell ref="AE40:AE42"/>
    <mergeCell ref="AG40:AG42"/>
    <mergeCell ref="AH40:AH42"/>
    <mergeCell ref="AK40:AK42"/>
    <mergeCell ref="AM34:AM36"/>
    <mergeCell ref="AN34:AN36"/>
    <mergeCell ref="X34:X36"/>
    <mergeCell ref="Y34:Y36"/>
    <mergeCell ref="AB34:AB36"/>
    <mergeCell ref="AN37:AN39"/>
    <mergeCell ref="AO37:AO39"/>
    <mergeCell ref="AP37:AP39"/>
    <mergeCell ref="B40:B42"/>
    <mergeCell ref="C40:C42"/>
    <mergeCell ref="D40:D42"/>
    <mergeCell ref="E40:E42"/>
    <mergeCell ref="H40:H42"/>
    <mergeCell ref="L40:L42"/>
    <mergeCell ref="M40:M42"/>
    <mergeCell ref="S40:S42"/>
    <mergeCell ref="T40:T42"/>
    <mergeCell ref="W40:W42"/>
    <mergeCell ref="X40:X42"/>
    <mergeCell ref="Y40:Y42"/>
    <mergeCell ref="AB40:AB42"/>
    <mergeCell ref="AE37:AE39"/>
    <mergeCell ref="AG37:AG39"/>
    <mergeCell ref="AH37:AH39"/>
    <mergeCell ref="B34:B36"/>
    <mergeCell ref="C34:C36"/>
    <mergeCell ref="D34:D36"/>
    <mergeCell ref="E34:E36"/>
    <mergeCell ref="H34:H36"/>
    <mergeCell ref="AO34:AO36"/>
    <mergeCell ref="AP34:AP36"/>
    <mergeCell ref="B37:B39"/>
    <mergeCell ref="C37:C39"/>
    <mergeCell ref="D37:D39"/>
    <mergeCell ref="E37:E39"/>
    <mergeCell ref="H37:H39"/>
    <mergeCell ref="L37:L39"/>
    <mergeCell ref="M37:M39"/>
    <mergeCell ref="S37:S39"/>
    <mergeCell ref="T37:T39"/>
    <mergeCell ref="W37:W39"/>
    <mergeCell ref="X37:X39"/>
    <mergeCell ref="Y37:Y39"/>
    <mergeCell ref="AB37:AB39"/>
    <mergeCell ref="AD37:AD39"/>
    <mergeCell ref="AG34:AG36"/>
    <mergeCell ref="AH34:AH36"/>
    <mergeCell ref="AK34:AK36"/>
    <mergeCell ref="AD31:AD33"/>
    <mergeCell ref="AE31:AE33"/>
    <mergeCell ref="AG31:AG33"/>
    <mergeCell ref="AH31:AH33"/>
    <mergeCell ref="AD34:AD36"/>
    <mergeCell ref="AE34:AE36"/>
    <mergeCell ref="L34:L36"/>
    <mergeCell ref="M34:M36"/>
    <mergeCell ref="S34:S36"/>
    <mergeCell ref="T34:T36"/>
    <mergeCell ref="W34:W36"/>
    <mergeCell ref="AP28:AP30"/>
    <mergeCell ref="B31:B33"/>
    <mergeCell ref="C31:C33"/>
    <mergeCell ref="D31:D33"/>
    <mergeCell ref="E31:E33"/>
    <mergeCell ref="H31:H33"/>
    <mergeCell ref="L31:L33"/>
    <mergeCell ref="M31:M33"/>
    <mergeCell ref="S31:S33"/>
    <mergeCell ref="T31:T33"/>
    <mergeCell ref="W31:W33"/>
    <mergeCell ref="X31:X33"/>
    <mergeCell ref="Y31:Y33"/>
    <mergeCell ref="AD28:AD30"/>
    <mergeCell ref="AE28:AE30"/>
    <mergeCell ref="AG28:AG30"/>
    <mergeCell ref="AH28:AH30"/>
    <mergeCell ref="AK28:AK30"/>
    <mergeCell ref="AK31:AK33"/>
    <mergeCell ref="AM31:AM33"/>
    <mergeCell ref="AN31:AN33"/>
    <mergeCell ref="AO31:AO33"/>
    <mergeCell ref="AP31:AP33"/>
    <mergeCell ref="AB31:AB33"/>
    <mergeCell ref="AN25:AN27"/>
    <mergeCell ref="AO25:AO27"/>
    <mergeCell ref="AP25:AP27"/>
    <mergeCell ref="B28:B30"/>
    <mergeCell ref="C28:C30"/>
    <mergeCell ref="D28:D30"/>
    <mergeCell ref="E28:E30"/>
    <mergeCell ref="H28:H30"/>
    <mergeCell ref="L28:L30"/>
    <mergeCell ref="M28:M30"/>
    <mergeCell ref="S28:S30"/>
    <mergeCell ref="T28:T30"/>
    <mergeCell ref="W28:W30"/>
    <mergeCell ref="X28:X30"/>
    <mergeCell ref="Y28:Y30"/>
    <mergeCell ref="AB28:AB30"/>
    <mergeCell ref="AE25:AE27"/>
    <mergeCell ref="AG25:AG27"/>
    <mergeCell ref="AH25:AH27"/>
    <mergeCell ref="AK25:AK27"/>
    <mergeCell ref="AM25:AM27"/>
    <mergeCell ref="AM28:AM30"/>
    <mergeCell ref="AN28:AN30"/>
    <mergeCell ref="AO28:AO30"/>
    <mergeCell ref="W25:W27"/>
    <mergeCell ref="X25:X27"/>
    <mergeCell ref="Y25:Y27"/>
    <mergeCell ref="AB25:AB27"/>
    <mergeCell ref="AD25:AD27"/>
    <mergeCell ref="AG22:AG24"/>
    <mergeCell ref="AH22:AH24"/>
    <mergeCell ref="AK22:AK24"/>
    <mergeCell ref="AM22:AM24"/>
    <mergeCell ref="X22:X24"/>
    <mergeCell ref="Y22:Y24"/>
    <mergeCell ref="AB22:AB24"/>
    <mergeCell ref="B25:B27"/>
    <mergeCell ref="C25:C27"/>
    <mergeCell ref="D25:D27"/>
    <mergeCell ref="E25:E27"/>
    <mergeCell ref="H25:H27"/>
    <mergeCell ref="L25:L27"/>
    <mergeCell ref="M25:M27"/>
    <mergeCell ref="S25:S27"/>
    <mergeCell ref="T25:T27"/>
    <mergeCell ref="L22:L24"/>
    <mergeCell ref="M22:M24"/>
    <mergeCell ref="S22:S24"/>
    <mergeCell ref="T22:T24"/>
    <mergeCell ref="W22:W24"/>
    <mergeCell ref="B22:B24"/>
    <mergeCell ref="C22:C24"/>
    <mergeCell ref="D22:D24"/>
    <mergeCell ref="E22:E24"/>
    <mergeCell ref="H22:H24"/>
    <mergeCell ref="AO19:AO21"/>
    <mergeCell ref="AP19:AP21"/>
    <mergeCell ref="AB19:AB21"/>
    <mergeCell ref="AD19:AD21"/>
    <mergeCell ref="AE19:AE21"/>
    <mergeCell ref="AG19:AG21"/>
    <mergeCell ref="AH19:AH21"/>
    <mergeCell ref="AD22:AD24"/>
    <mergeCell ref="AE22:AE24"/>
    <mergeCell ref="AO22:AO24"/>
    <mergeCell ref="AP22:AP24"/>
    <mergeCell ref="AN22:AN24"/>
    <mergeCell ref="AM16:AM18"/>
    <mergeCell ref="AN16:AN18"/>
    <mergeCell ref="AO16:AO18"/>
    <mergeCell ref="AP16:AP18"/>
    <mergeCell ref="B19:B21"/>
    <mergeCell ref="C19:C21"/>
    <mergeCell ref="D19:D21"/>
    <mergeCell ref="E19:E21"/>
    <mergeCell ref="H19:H21"/>
    <mergeCell ref="L19:L21"/>
    <mergeCell ref="M19:M21"/>
    <mergeCell ref="S19:S21"/>
    <mergeCell ref="T19:T21"/>
    <mergeCell ref="W19:W21"/>
    <mergeCell ref="X19:X21"/>
    <mergeCell ref="Y19:Y21"/>
    <mergeCell ref="AD16:AD18"/>
    <mergeCell ref="AE16:AE18"/>
    <mergeCell ref="AG16:AG18"/>
    <mergeCell ref="AH16:AH18"/>
    <mergeCell ref="AK16:AK18"/>
    <mergeCell ref="AK19:AK21"/>
    <mergeCell ref="AM19:AM21"/>
    <mergeCell ref="AN19:AN21"/>
    <mergeCell ref="U15:V15"/>
    <mergeCell ref="Z15:AA15"/>
    <mergeCell ref="AI15:AJ15"/>
    <mergeCell ref="B16:B18"/>
    <mergeCell ref="C16:C18"/>
    <mergeCell ref="D16:D18"/>
    <mergeCell ref="E16:E18"/>
    <mergeCell ref="H16:H18"/>
    <mergeCell ref="L16:L18"/>
    <mergeCell ref="M16:M18"/>
    <mergeCell ref="S16:S18"/>
    <mergeCell ref="T16:T18"/>
    <mergeCell ref="W16:W18"/>
    <mergeCell ref="X16:X18"/>
    <mergeCell ref="Y16:Y18"/>
    <mergeCell ref="AB16:AB18"/>
    <mergeCell ref="Y10:Y12"/>
    <mergeCell ref="Z9:AA9"/>
    <mergeCell ref="AH10:AH12"/>
    <mergeCell ref="AB10:AB12"/>
    <mergeCell ref="AD10:AD12"/>
    <mergeCell ref="AG10:AG12"/>
    <mergeCell ref="L10:L12"/>
    <mergeCell ref="B13:AP13"/>
    <mergeCell ref="B14:E14"/>
    <mergeCell ref="F14:M14"/>
    <mergeCell ref="N14:T14"/>
    <mergeCell ref="U14:Y14"/>
    <mergeCell ref="Z14:AH14"/>
    <mergeCell ref="AI14:AP14"/>
    <mergeCell ref="E10:E12"/>
    <mergeCell ref="C10:C12"/>
    <mergeCell ref="B10:B12"/>
    <mergeCell ref="D10:D12"/>
    <mergeCell ref="AM10:AM12"/>
    <mergeCell ref="AE10:AE12"/>
    <mergeCell ref="F8:M8"/>
    <mergeCell ref="N8:T8"/>
    <mergeCell ref="Z8:AH8"/>
    <mergeCell ref="M10:M12"/>
    <mergeCell ref="S10:S12"/>
    <mergeCell ref="T10:T12"/>
    <mergeCell ref="U9:V9"/>
    <mergeCell ref="B1:I1"/>
    <mergeCell ref="B2:G2"/>
    <mergeCell ref="B3:G3"/>
    <mergeCell ref="B4:G4"/>
    <mergeCell ref="B6:AP6"/>
    <mergeCell ref="B7:AP7"/>
    <mergeCell ref="H10:H12"/>
    <mergeCell ref="AO10:AO12"/>
    <mergeCell ref="B8:E8"/>
    <mergeCell ref="U8:Y8"/>
    <mergeCell ref="AI8:AP8"/>
    <mergeCell ref="AP10:AP12"/>
    <mergeCell ref="AN10:AN12"/>
    <mergeCell ref="AI9:AJ9"/>
    <mergeCell ref="AK10:AK12"/>
    <mergeCell ref="W10:W12"/>
    <mergeCell ref="X10:X1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1902210D-ABF7-44A3-BFC5-60647DAFDCE5}">
          <x14:formula1>
            <xm:f>'Background Information'!$A$4:$A$10</xm:f>
          </x14:formula1>
          <xm:sqref>M63:O63</xm:sqref>
        </x14:dataValidation>
        <x14:dataValidation type="list" allowBlank="1" showInputMessage="1" showErrorMessage="1" xr:uid="{FECE303C-0691-4AEB-8DF9-AA56C868FA97}">
          <x14:formula1>
            <xm:f>'Background Information'!$B$17:$B$18</xm:f>
          </x14:formula1>
          <xm:sqref>D10:D12 D16:D45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C783B-0242-49FE-8555-C36300F93F94}">
  <dimension ref="A1:H18"/>
  <sheetViews>
    <sheetView workbookViewId="0">
      <selection activeCell="E15" sqref="E15"/>
    </sheetView>
  </sheetViews>
  <sheetFormatPr baseColWidth="10" defaultColWidth="8.83203125" defaultRowHeight="15" x14ac:dyDescent="0.2"/>
  <cols>
    <col min="1" max="1" width="26.83203125" bestFit="1" customWidth="1"/>
    <col min="2" max="2" width="15.33203125" bestFit="1" customWidth="1"/>
    <col min="6" max="6" width="12.33203125" bestFit="1" customWidth="1"/>
    <col min="7" max="7" width="13.33203125" bestFit="1" customWidth="1"/>
    <col min="8" max="8" width="10.33203125" bestFit="1" customWidth="1"/>
  </cols>
  <sheetData>
    <row r="1" spans="1:8" x14ac:dyDescent="0.2">
      <c r="A1" t="s">
        <v>8</v>
      </c>
      <c r="E1" t="s">
        <v>80</v>
      </c>
    </row>
    <row r="3" spans="1:8" x14ac:dyDescent="0.2">
      <c r="A3" t="s">
        <v>9</v>
      </c>
      <c r="B3" t="s">
        <v>10</v>
      </c>
      <c r="C3" t="s">
        <v>11</v>
      </c>
      <c r="E3" t="s">
        <v>81</v>
      </c>
      <c r="F3" t="s">
        <v>82</v>
      </c>
      <c r="G3" t="s">
        <v>83</v>
      </c>
      <c r="H3" t="s">
        <v>84</v>
      </c>
    </row>
    <row r="4" spans="1:8" x14ac:dyDescent="0.2">
      <c r="A4" t="s">
        <v>12</v>
      </c>
      <c r="B4" s="7">
        <v>0.26</v>
      </c>
      <c r="E4">
        <v>1</v>
      </c>
      <c r="F4" s="4">
        <v>0</v>
      </c>
      <c r="G4" s="4">
        <v>249999</v>
      </c>
      <c r="H4" s="6">
        <v>0</v>
      </c>
    </row>
    <row r="5" spans="1:8" x14ac:dyDescent="0.2">
      <c r="A5" t="s">
        <v>13</v>
      </c>
      <c r="B5" s="7">
        <v>0.36</v>
      </c>
      <c r="E5">
        <v>2</v>
      </c>
      <c r="F5" s="4">
        <v>250000</v>
      </c>
      <c r="G5" s="4">
        <v>499999</v>
      </c>
      <c r="H5" s="6">
        <v>2.5000000000000001E-3</v>
      </c>
    </row>
    <row r="6" spans="1:8" x14ac:dyDescent="0.2">
      <c r="A6" t="s">
        <v>14</v>
      </c>
      <c r="B6" s="7">
        <v>0.51</v>
      </c>
      <c r="E6">
        <v>3</v>
      </c>
      <c r="F6" s="4">
        <v>500000</v>
      </c>
      <c r="G6" s="4">
        <v>749999</v>
      </c>
      <c r="H6" s="6">
        <v>5.0000000000000001E-3</v>
      </c>
    </row>
    <row r="7" spans="1:8" x14ac:dyDescent="0.2">
      <c r="A7" t="s">
        <v>15</v>
      </c>
      <c r="B7" s="7">
        <v>0.66</v>
      </c>
      <c r="E7">
        <v>4</v>
      </c>
      <c r="F7" s="4">
        <v>750000</v>
      </c>
      <c r="G7" s="4">
        <v>10000000</v>
      </c>
      <c r="H7" s="6">
        <v>7.4999999999999997E-3</v>
      </c>
    </row>
    <row r="8" spans="1:8" x14ac:dyDescent="0.2">
      <c r="A8" t="s">
        <v>16</v>
      </c>
      <c r="B8" s="7">
        <v>0.66</v>
      </c>
      <c r="F8" s="4"/>
      <c r="G8" s="4"/>
      <c r="H8" s="6"/>
    </row>
    <row r="9" spans="1:8" x14ac:dyDescent="0.2">
      <c r="A9" t="s">
        <v>17</v>
      </c>
      <c r="B9" s="7">
        <v>0.66</v>
      </c>
    </row>
    <row r="10" spans="1:8" x14ac:dyDescent="0.2">
      <c r="A10" t="s">
        <v>18</v>
      </c>
      <c r="B10" s="7">
        <v>0.66</v>
      </c>
      <c r="E10" t="s">
        <v>81</v>
      </c>
      <c r="F10" t="s">
        <v>82</v>
      </c>
      <c r="G10" t="s">
        <v>83</v>
      </c>
      <c r="H10" t="s">
        <v>84</v>
      </c>
    </row>
    <row r="11" spans="1:8" x14ac:dyDescent="0.2">
      <c r="E11">
        <v>1</v>
      </c>
      <c r="F11" s="4">
        <v>0</v>
      </c>
      <c r="G11" s="4">
        <v>249999</v>
      </c>
      <c r="H11" s="6">
        <v>0</v>
      </c>
    </row>
    <row r="12" spans="1:8" x14ac:dyDescent="0.2">
      <c r="A12" t="s">
        <v>20</v>
      </c>
      <c r="E12">
        <v>2</v>
      </c>
      <c r="F12" s="4">
        <v>250000</v>
      </c>
      <c r="G12" s="4">
        <v>499999</v>
      </c>
      <c r="H12" s="6">
        <v>2.5000000000000001E-3</v>
      </c>
    </row>
    <row r="13" spans="1:8" x14ac:dyDescent="0.2">
      <c r="A13" t="s">
        <v>2</v>
      </c>
      <c r="B13" s="7">
        <v>0</v>
      </c>
      <c r="E13">
        <v>3</v>
      </c>
      <c r="F13" s="4">
        <v>500000</v>
      </c>
      <c r="G13" s="4">
        <v>749999</v>
      </c>
      <c r="H13" s="6">
        <v>5.0000000000000001E-3</v>
      </c>
    </row>
    <row r="14" spans="1:8" x14ac:dyDescent="0.2">
      <c r="A14" t="s">
        <v>52</v>
      </c>
      <c r="B14" s="7">
        <v>3.5000000000000003E-2</v>
      </c>
      <c r="E14">
        <v>4</v>
      </c>
      <c r="F14" s="4">
        <v>750000</v>
      </c>
      <c r="G14" s="4">
        <v>10000000</v>
      </c>
      <c r="H14" s="6">
        <v>7.4999999999999997E-3</v>
      </c>
    </row>
    <row r="15" spans="1:8" x14ac:dyDescent="0.2">
      <c r="A15" t="s">
        <v>53</v>
      </c>
      <c r="B15" s="7">
        <v>5.5999999999999994E-2</v>
      </c>
      <c r="E15">
        <v>5</v>
      </c>
      <c r="F15" s="4">
        <v>1250000</v>
      </c>
      <c r="G15" s="4">
        <v>10000000</v>
      </c>
      <c r="H15" s="6">
        <v>0.01</v>
      </c>
    </row>
    <row r="17" spans="1:2" x14ac:dyDescent="0.2">
      <c r="A17" t="s">
        <v>76</v>
      </c>
      <c r="B17" t="s">
        <v>78</v>
      </c>
    </row>
    <row r="18" spans="1:2" x14ac:dyDescent="0.2">
      <c r="B18"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Personal AUM</vt:lpstr>
      <vt:lpstr>Personal Monthly Activity</vt:lpstr>
      <vt:lpstr>Baseshop Monthly Activity</vt:lpstr>
      <vt:lpstr>Background Information</vt:lpstr>
      <vt:lpstr>Agentlevels</vt:lpstr>
      <vt:lpstr>bonusrate</vt:lpstr>
      <vt:lpstr>bonusrate2</vt:lpstr>
      <vt:lpstr>Salescharge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Galbraith</dc:creator>
  <cp:lastModifiedBy>Bradon Valgardson</cp:lastModifiedBy>
  <dcterms:created xsi:type="dcterms:W3CDTF">2022-11-07T16:00:00Z</dcterms:created>
  <dcterms:modified xsi:type="dcterms:W3CDTF">2023-05-05T23:11:09Z</dcterms:modified>
</cp:coreProperties>
</file>